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fha.org\shares\PnCD\PnCD\P&amp;D\1 New File System\Avalon Commons (fka Chestnut-Alluvial)\Finance\TCAC\TCAC (Round 2 2021)\2021 Round 2 Final TCAC Submission Folder\TAB 00 - Excel Workbook\"/>
    </mc:Choice>
  </mc:AlternateContent>
  <bookViews>
    <workbookView xWindow="0" yWindow="0" windowWidth="24000" windowHeight="9600" tabRatio="786" firstSheet="3"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Forma'!$A$1:$AH$77</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Forma'!$A$1:$AH$77</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62913" calcMode="manual" iterate="1" iterateCount="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10" i="4" l="1"/>
  <c r="E5" i="4"/>
  <c r="C30" i="4"/>
  <c r="S45" i="4" l="1"/>
  <c r="H45" i="4"/>
  <c r="C45" i="4"/>
  <c r="E45" i="4" s="1"/>
  <c r="R45" i="4" s="1"/>
  <c r="AJ982" i="3"/>
  <c r="AC864" i="3"/>
  <c r="AM564" i="3"/>
  <c r="AO634" i="3" s="1"/>
  <c r="G53" i="9"/>
  <c r="A68" i="9"/>
  <c r="A66" i="9"/>
  <c r="A40" i="9"/>
  <c r="E44" i="25"/>
  <c r="B44" i="25"/>
  <c r="B42" i="25"/>
  <c r="E94" i="4"/>
  <c r="E93" i="4"/>
  <c r="E92" i="4"/>
  <c r="E91" i="4"/>
  <c r="E89" i="4"/>
  <c r="E88" i="4"/>
  <c r="E87" i="4"/>
  <c r="E85" i="4"/>
  <c r="E84" i="4"/>
  <c r="E83" i="4"/>
  <c r="E82" i="4"/>
  <c r="E79" i="4"/>
  <c r="E78" i="4"/>
  <c r="E74" i="4"/>
  <c r="E68" i="4"/>
  <c r="E64" i="4"/>
  <c r="E52" i="4"/>
  <c r="E51" i="4"/>
  <c r="E50" i="4"/>
  <c r="E49" i="4"/>
  <c r="E46" i="4"/>
  <c r="E40" i="4"/>
  <c r="E37" i="4"/>
  <c r="E35" i="4"/>
  <c r="E31" i="4"/>
  <c r="E29" i="4"/>
  <c r="E10" i="4"/>
  <c r="E6" i="4"/>
  <c r="E4" i="4"/>
  <c r="E98" i="4"/>
  <c r="C43" i="4"/>
  <c r="E43" i="4" s="1"/>
  <c r="C32" i="4"/>
  <c r="C33" i="4" s="1"/>
  <c r="E33" i="4" s="1"/>
  <c r="AF635" i="3"/>
  <c r="E40" i="9" s="1"/>
  <c r="G40" i="9" s="1"/>
  <c r="O635" i="3"/>
  <c r="O633" i="3"/>
  <c r="O632" i="3"/>
  <c r="L920" i="3"/>
  <c r="E32" i="4" l="1"/>
  <c r="C634" i="3" l="1"/>
  <c r="AO633" i="3"/>
  <c r="E43" i="25" s="1"/>
  <c r="C633" i="3"/>
  <c r="AO632" i="3"/>
  <c r="E42" i="25" s="1"/>
  <c r="B43" i="25" l="1"/>
  <c r="A67" i="9"/>
  <c r="B12" i="10"/>
  <c r="B18" i="10"/>
  <c r="R9" i="4" l="1"/>
  <c r="R4" i="4"/>
  <c r="T25" i="5" l="1"/>
  <c r="R10" i="4" l="1"/>
  <c r="R30" i="28" l="1"/>
  <c r="AC706" i="3" l="1"/>
  <c r="AC707" i="3"/>
  <c r="AC708" i="3"/>
  <c r="AC709" i="3"/>
  <c r="AC710" i="3"/>
  <c r="AC711" i="3"/>
  <c r="AC712" i="3"/>
  <c r="AC713" i="3"/>
  <c r="AC714" i="3"/>
  <c r="AC715" i="3"/>
  <c r="AC716" i="3"/>
  <c r="AC717" i="3"/>
  <c r="AC718" i="3"/>
  <c r="BA689" i="3"/>
  <c r="AM706" i="3" l="1"/>
  <c r="BG690" i="3"/>
  <c r="H35" i="18" l="1"/>
  <c r="E35" i="18"/>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K107" i="4"/>
  <c r="L107" i="4"/>
  <c r="M107" i="4"/>
  <c r="N107" i="4"/>
  <c r="O107" i="4"/>
  <c r="P107" i="4"/>
  <c r="Q107" i="4"/>
  <c r="I107" i="4"/>
  <c r="I30" i="4" s="1"/>
  <c r="H107" i="4"/>
  <c r="G107" i="4"/>
  <c r="G30" i="4" s="1"/>
  <c r="F107" i="4"/>
  <c r="F30" i="4" s="1"/>
  <c r="E107" i="4"/>
  <c r="E30" i="4" l="1"/>
  <c r="AF411" i="3"/>
  <c r="B100" i="15" l="1"/>
  <c r="C100" i="15"/>
  <c r="E100" i="15" s="1"/>
  <c r="D100" i="15"/>
  <c r="B101" i="15"/>
  <c r="C101" i="15"/>
  <c r="D101" i="15"/>
  <c r="B102" i="15"/>
  <c r="C102" i="15"/>
  <c r="E102" i="15" s="1"/>
  <c r="D102" i="15"/>
  <c r="B103" i="15"/>
  <c r="C103" i="15"/>
  <c r="D103" i="15"/>
  <c r="D99" i="15"/>
  <c r="C99" i="15"/>
  <c r="B99" i="15"/>
  <c r="B84" i="15"/>
  <c r="C84" i="15"/>
  <c r="D84" i="15"/>
  <c r="B85" i="15"/>
  <c r="C85" i="15"/>
  <c r="E85" i="15" s="1"/>
  <c r="D85" i="15"/>
  <c r="B86" i="15"/>
  <c r="C86" i="15"/>
  <c r="E86" i="15" s="1"/>
  <c r="D86" i="15"/>
  <c r="B87" i="15"/>
  <c r="C87" i="15"/>
  <c r="D87" i="15"/>
  <c r="B88" i="15"/>
  <c r="C88" i="15"/>
  <c r="D88" i="15"/>
  <c r="B89" i="15"/>
  <c r="C89" i="15"/>
  <c r="D89" i="15"/>
  <c r="B90" i="15"/>
  <c r="C90" i="15"/>
  <c r="D90" i="15"/>
  <c r="B91" i="15"/>
  <c r="C91" i="15"/>
  <c r="D91" i="15"/>
  <c r="B92" i="15"/>
  <c r="C92" i="15"/>
  <c r="D92" i="15"/>
  <c r="B93" i="15"/>
  <c r="C93" i="15"/>
  <c r="E93" i="15" s="1"/>
  <c r="D93" i="15"/>
  <c r="B94" i="15"/>
  <c r="C94" i="15"/>
  <c r="E94" i="15" s="1"/>
  <c r="D94" i="15"/>
  <c r="B95" i="15"/>
  <c r="C95" i="15"/>
  <c r="D95" i="15"/>
  <c r="D83" i="15"/>
  <c r="C83" i="15"/>
  <c r="B83" i="15"/>
  <c r="B80" i="15"/>
  <c r="C80" i="15"/>
  <c r="D80" i="15"/>
  <c r="D79" i="15"/>
  <c r="C79" i="15"/>
  <c r="B79" i="15"/>
  <c r="B73" i="15"/>
  <c r="C73" i="15"/>
  <c r="D73" i="15"/>
  <c r="B74" i="15"/>
  <c r="C74" i="15"/>
  <c r="D74" i="15"/>
  <c r="B75" i="15"/>
  <c r="C75" i="15"/>
  <c r="E75" i="15" s="1"/>
  <c r="D75" i="15"/>
  <c r="B76" i="15"/>
  <c r="C76" i="15"/>
  <c r="D76" i="15"/>
  <c r="D72" i="15"/>
  <c r="C72" i="15"/>
  <c r="B72" i="15"/>
  <c r="B66" i="15"/>
  <c r="C66" i="15"/>
  <c r="D66" i="15"/>
  <c r="B67" i="15"/>
  <c r="C67" i="15"/>
  <c r="D67" i="15"/>
  <c r="B68" i="15"/>
  <c r="C68" i="15"/>
  <c r="D68" i="15"/>
  <c r="B69" i="15"/>
  <c r="C69" i="15"/>
  <c r="D69" i="15"/>
  <c r="D65" i="15"/>
  <c r="C65" i="15"/>
  <c r="B65" i="15"/>
  <c r="B57" i="15"/>
  <c r="C57" i="15"/>
  <c r="D57" i="15"/>
  <c r="B58" i="15"/>
  <c r="C58" i="15"/>
  <c r="D58" i="15"/>
  <c r="B59" i="15"/>
  <c r="C59" i="15"/>
  <c r="D59" i="15"/>
  <c r="B60" i="15"/>
  <c r="C60" i="15"/>
  <c r="D60" i="15"/>
  <c r="B61" i="15"/>
  <c r="C61" i="15"/>
  <c r="D61" i="15"/>
  <c r="D56" i="15"/>
  <c r="C56" i="15"/>
  <c r="B56" i="15"/>
  <c r="B47" i="15"/>
  <c r="C47" i="15"/>
  <c r="D47" i="15"/>
  <c r="B48" i="15"/>
  <c r="C48" i="15"/>
  <c r="D48" i="15"/>
  <c r="B49" i="15"/>
  <c r="C49" i="15"/>
  <c r="E49" i="15" s="1"/>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D20" i="15"/>
  <c r="B21" i="15"/>
  <c r="C21" i="15"/>
  <c r="D21" i="15"/>
  <c r="B22" i="15"/>
  <c r="C22" i="15"/>
  <c r="D22" i="15"/>
  <c r="B23" i="15"/>
  <c r="C23" i="15"/>
  <c r="D23" i="15"/>
  <c r="B24" i="15"/>
  <c r="C24" i="15"/>
  <c r="D24" i="15"/>
  <c r="B25" i="15"/>
  <c r="C25" i="15"/>
  <c r="D25" i="15"/>
  <c r="B26" i="15"/>
  <c r="C26" i="15"/>
  <c r="D26" i="15"/>
  <c r="B28" i="15"/>
  <c r="C28" i="15"/>
  <c r="D28" i="15"/>
  <c r="B5" i="15"/>
  <c r="C5" i="15"/>
  <c r="B6" i="15"/>
  <c r="C6" i="15"/>
  <c r="B7" i="15"/>
  <c r="C7" i="15"/>
  <c r="B8" i="15"/>
  <c r="C8" i="15"/>
  <c r="B10" i="15"/>
  <c r="C10" i="15"/>
  <c r="B11" i="15"/>
  <c r="C11" i="15"/>
  <c r="B14" i="15"/>
  <c r="C14" i="15"/>
  <c r="B15" i="15"/>
  <c r="C15" i="15"/>
  <c r="B16" i="15"/>
  <c r="C16" i="15"/>
  <c r="B18" i="15"/>
  <c r="C18" i="15"/>
  <c r="C28" i="10"/>
  <c r="C5" i="10"/>
  <c r="C6" i="10"/>
  <c r="C7" i="10"/>
  <c r="C8" i="10"/>
  <c r="C9" i="10"/>
  <c r="C10" i="10"/>
  <c r="C11" i="10"/>
  <c r="C12" i="10"/>
  <c r="C13" i="10"/>
  <c r="C14" i="10"/>
  <c r="C15" i="10"/>
  <c r="C16" i="10"/>
  <c r="C17" i="10"/>
  <c r="C18" i="10"/>
  <c r="C19" i="10"/>
  <c r="C20" i="10"/>
  <c r="C21" i="10"/>
  <c r="C22" i="10"/>
  <c r="C23" i="10"/>
  <c r="C24" i="10"/>
  <c r="C25" i="10"/>
  <c r="C26" i="10"/>
  <c r="C27" i="10"/>
  <c r="C4" i="10"/>
  <c r="AJ973" i="3"/>
  <c r="E24" i="15" l="1"/>
  <c r="E95" i="15"/>
  <c r="E103" i="15"/>
  <c r="E80" i="15"/>
  <c r="E32" i="15"/>
  <c r="E18" i="15"/>
  <c r="E26" i="15"/>
  <c r="E76" i="15"/>
  <c r="E59" i="15"/>
  <c r="E74" i="15"/>
  <c r="E20" i="15"/>
  <c r="E66" i="15"/>
  <c r="E25" i="15"/>
  <c r="E38" i="15"/>
  <c r="E68" i="15"/>
  <c r="E101" i="15"/>
  <c r="E60" i="15"/>
  <c r="E34" i="15"/>
  <c r="E53" i="15"/>
  <c r="E69"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99" i="15"/>
  <c r="E6" i="15"/>
  <c r="E23" i="15"/>
  <c r="E41" i="15"/>
  <c r="C9" i="15"/>
  <c r="E11" i="15"/>
  <c r="E46" i="15"/>
  <c r="E5" i="15"/>
  <c r="E35" i="15"/>
  <c r="E65" i="15"/>
  <c r="E83" i="15"/>
  <c r="E36" i="15"/>
  <c r="E30" i="15"/>
  <c r="E15" i="15"/>
  <c r="E10" i="15"/>
  <c r="B13" i="15" l="1"/>
  <c r="E12" i="15"/>
  <c r="E9" i="15"/>
  <c r="C13" i="15"/>
  <c r="E13" i="15" s="1"/>
  <c r="E37" i="15"/>
  <c r="AJ993" i="3" l="1"/>
  <c r="AJ989" i="3"/>
  <c r="AJ986" i="3"/>
  <c r="AF983" i="3"/>
  <c r="AF978" i="3"/>
  <c r="AJ970" i="3"/>
  <c r="AJ968" i="3"/>
  <c r="AJ964" i="3"/>
  <c r="AJ958" i="3"/>
  <c r="O776" i="3"/>
  <c r="AC775" i="3"/>
  <c r="AC774" i="3"/>
  <c r="AC773" i="3"/>
  <c r="AC772" i="3"/>
  <c r="AC771" i="3"/>
  <c r="AC770" i="3"/>
  <c r="AC769" i="3"/>
  <c r="AC768" i="3"/>
  <c r="AC767" i="3"/>
  <c r="AC766" i="3"/>
  <c r="O756" i="3"/>
  <c r="AC755" i="3"/>
  <c r="AC754" i="3"/>
  <c r="AC753" i="3"/>
  <c r="AC752" i="3"/>
  <c r="AM723"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s="1"/>
  <c r="AM572" i="3"/>
  <c r="AC756" i="3" l="1"/>
  <c r="T731" i="3"/>
  <c r="BG746" i="3"/>
  <c r="BH723" i="3" s="1"/>
  <c r="AC776" i="3"/>
  <c r="C30" i="10" l="1"/>
  <c r="Y779" i="3"/>
  <c r="Y778" i="3"/>
  <c r="BH721" i="3"/>
  <c r="BI721" i="3" s="1"/>
  <c r="BH739" i="3"/>
  <c r="BH740" i="3"/>
  <c r="BH728" i="3"/>
  <c r="BH724" i="3"/>
  <c r="BH727" i="3"/>
  <c r="BH742" i="3"/>
  <c r="BI742" i="3" s="1"/>
  <c r="BH736" i="3"/>
  <c r="BH732" i="3"/>
  <c r="BH743" i="3"/>
  <c r="BI743" i="3" s="1"/>
  <c r="BH725" i="3"/>
  <c r="BH733" i="3"/>
  <c r="BH735" i="3"/>
  <c r="BH738" i="3"/>
  <c r="BI738" i="3" s="1"/>
  <c r="BH731" i="3"/>
  <c r="BH726" i="3"/>
  <c r="BH734" i="3"/>
  <c r="BH730" i="3"/>
  <c r="BH729" i="3"/>
  <c r="BH741" i="3"/>
  <c r="BI741" i="3" s="1"/>
  <c r="BH744" i="3"/>
  <c r="BI744" i="3" s="1"/>
  <c r="BH737" i="3"/>
  <c r="BH745" i="3"/>
  <c r="BI745" i="3" s="1"/>
  <c r="BH722" i="3"/>
  <c r="BH746" i="3" l="1"/>
  <c r="H64" i="18"/>
  <c r="H65" i="18"/>
  <c r="H66" i="18"/>
  <c r="E64" i="18"/>
  <c r="E65" i="18"/>
  <c r="E66" i="18"/>
  <c r="B64" i="18"/>
  <c r="B65" i="18"/>
  <c r="B66" i="18"/>
  <c r="B101" i="4"/>
  <c r="R101" i="4"/>
  <c r="R67" i="4"/>
  <c r="R66" i="4"/>
  <c r="R65" i="4"/>
  <c r="B67" i="4"/>
  <c r="B66" i="4"/>
  <c r="B65" i="4"/>
  <c r="B36" i="4"/>
  <c r="R36" i="4"/>
  <c r="R24" i="4"/>
  <c r="B24" i="4"/>
  <c r="G54" i="9"/>
  <c r="I54" i="9" s="1"/>
  <c r="K54" i="9" s="1"/>
  <c r="M54" i="9" s="1"/>
  <c r="O54" i="9" s="1"/>
  <c r="Q54" i="9" s="1"/>
  <c r="S54" i="9" s="1"/>
  <c r="U54" i="9" s="1"/>
  <c r="W54" i="9" s="1"/>
  <c r="Y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I53" i="9"/>
  <c r="K53" i="9" s="1"/>
  <c r="M53" i="9" s="1"/>
  <c r="O53" i="9" s="1"/>
  <c r="Q53" i="9" s="1"/>
  <c r="S53" i="9" s="1"/>
  <c r="U53" i="9" s="1"/>
  <c r="W53" i="9" s="1"/>
  <c r="Y53" i="9" s="1"/>
  <c r="E29" i="9"/>
  <c r="E30" i="9"/>
  <c r="G30" i="9" s="1"/>
  <c r="I30" i="9" s="1"/>
  <c r="K30" i="9" s="1"/>
  <c r="M30" i="9" s="1"/>
  <c r="O30" i="9" s="1"/>
  <c r="Q30" i="9" s="1"/>
  <c r="S30" i="9" s="1"/>
  <c r="U30" i="9" s="1"/>
  <c r="W30" i="9" s="1"/>
  <c r="Y30" i="9" s="1"/>
  <c r="AA30" i="9" s="1"/>
  <c r="AC30" i="9" s="1"/>
  <c r="AE30" i="9" s="1"/>
  <c r="AG30" i="9" s="1"/>
  <c r="E28" i="9"/>
  <c r="G23" i="9"/>
  <c r="I23" i="9" s="1"/>
  <c r="K23" i="9" s="1"/>
  <c r="M23" i="9" s="1"/>
  <c r="O23" i="9" s="1"/>
  <c r="Q23" i="9" s="1"/>
  <c r="S23" i="9" s="1"/>
  <c r="U23" i="9" s="1"/>
  <c r="W23" i="9" s="1"/>
  <c r="Y23" i="9" s="1"/>
  <c r="AA23" i="9" s="1"/>
  <c r="AC23" i="9" s="1"/>
  <c r="AE23" i="9" s="1"/>
  <c r="AG23" i="9" s="1"/>
  <c r="AA54" i="9" l="1"/>
  <c r="AG28" i="9"/>
  <c r="Q28" i="9"/>
  <c r="O28" i="9"/>
  <c r="AA28" i="9"/>
  <c r="Y28" i="9"/>
  <c r="G28" i="9"/>
  <c r="AE28" i="9"/>
  <c r="AC28" i="9"/>
  <c r="M28" i="9"/>
  <c r="K28" i="9"/>
  <c r="I28" i="9"/>
  <c r="W28" i="9"/>
  <c r="S28" i="9"/>
  <c r="U28" i="9"/>
  <c r="AG494" i="6"/>
  <c r="AG492" i="6"/>
  <c r="AG505" i="6"/>
  <c r="AG503" i="6"/>
  <c r="AG499" i="6"/>
  <c r="AG530" i="6"/>
  <c r="AD66" i="5"/>
  <c r="Y66" i="5"/>
  <c r="AI7" i="5"/>
  <c r="AD20" i="5"/>
  <c r="AD22" i="5" s="1"/>
  <c r="BA945" i="3"/>
  <c r="BA946" i="3"/>
  <c r="BA947" i="3"/>
  <c r="BA948" i="3"/>
  <c r="BA949" i="3"/>
  <c r="BA950" i="3"/>
  <c r="BA951" i="3"/>
  <c r="BA952" i="3"/>
  <c r="BA953" i="3"/>
  <c r="G90" i="25"/>
  <c r="G91" i="25"/>
  <c r="G92" i="25"/>
  <c r="G93" i="25"/>
  <c r="G94" i="25"/>
  <c r="G95" i="25"/>
  <c r="G96" i="25"/>
  <c r="G97" i="25"/>
  <c r="Q91" i="25"/>
  <c r="Q93" i="25" s="1"/>
  <c r="B15" i="4"/>
  <c r="Q48" i="25"/>
  <c r="D8" i="4"/>
  <c r="D11" i="4"/>
  <c r="D26" i="4"/>
  <c r="D38" i="4"/>
  <c r="D42" i="4"/>
  <c r="D53" i="4"/>
  <c r="D61" i="4"/>
  <c r="D69" i="4"/>
  <c r="D76" i="4"/>
  <c r="D80" i="4"/>
  <c r="D95" i="4"/>
  <c r="D103" i="4"/>
  <c r="C8" i="4"/>
  <c r="C11" i="4"/>
  <c r="C26" i="4"/>
  <c r="C38" i="4"/>
  <c r="C42" i="4"/>
  <c r="C53" i="4"/>
  <c r="B53" i="4" s="1"/>
  <c r="C61" i="4"/>
  <c r="C69" i="4"/>
  <c r="C76" i="4"/>
  <c r="C80" i="4"/>
  <c r="C95" i="4"/>
  <c r="C103" i="4"/>
  <c r="C65" i="25"/>
  <c r="C66" i="25"/>
  <c r="G67" i="25" s="1"/>
  <c r="Y20" i="5"/>
  <c r="Y22" i="5" s="1"/>
  <c r="AI20" i="5"/>
  <c r="AI22" i="5" s="1"/>
  <c r="S26" i="4"/>
  <c r="S69" i="4"/>
  <c r="F25" i="18"/>
  <c r="F37" i="18"/>
  <c r="F41" i="18"/>
  <c r="F52" i="18"/>
  <c r="F68" i="18"/>
  <c r="F79" i="18"/>
  <c r="F94" i="18"/>
  <c r="F102" i="18"/>
  <c r="T20" i="5"/>
  <c r="T22" i="5" s="1"/>
  <c r="T26" i="4"/>
  <c r="T38" i="4"/>
  <c r="H37" i="18" s="1"/>
  <c r="T42" i="4"/>
  <c r="H41" i="18" s="1"/>
  <c r="T53" i="4"/>
  <c r="H52" i="18" s="1"/>
  <c r="T11" i="4"/>
  <c r="T69" i="4"/>
  <c r="H68" i="18" s="1"/>
  <c r="T80" i="4"/>
  <c r="H79" i="18" s="1"/>
  <c r="T95" i="4"/>
  <c r="T103" i="4"/>
  <c r="I11" i="18"/>
  <c r="I25" i="18"/>
  <c r="I37" i="18"/>
  <c r="I41" i="18"/>
  <c r="I52" i="18"/>
  <c r="I68" i="18"/>
  <c r="I79" i="18"/>
  <c r="I94" i="18"/>
  <c r="I102" i="18"/>
  <c r="U61" i="25"/>
  <c r="U63" i="25"/>
  <c r="U65" i="25"/>
  <c r="U67" i="25"/>
  <c r="R83" i="4"/>
  <c r="S83" i="4" s="1"/>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M28" i="28" s="1"/>
  <c r="BX645" i="3"/>
  <c r="CC636" i="3"/>
  <c r="CC637" i="3"/>
  <c r="CC638" i="3"/>
  <c r="CC639" i="3"/>
  <c r="CC640" i="3"/>
  <c r="CC641" i="3"/>
  <c r="CC642" i="3"/>
  <c r="CC643" i="3"/>
  <c r="CC644" i="3"/>
  <c r="M29" i="28" s="1"/>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H78" i="18"/>
  <c r="B79" i="4"/>
  <c r="B78" i="4"/>
  <c r="R79" i="4"/>
  <c r="S79" i="4" s="1"/>
  <c r="E78" i="18" s="1"/>
  <c r="R78" i="4"/>
  <c r="S78" i="4" s="1"/>
  <c r="E77" i="18" s="1"/>
  <c r="AG443" i="3"/>
  <c r="B94" i="18"/>
  <c r="B102" i="4"/>
  <c r="B25" i="18"/>
  <c r="G25" i="18"/>
  <c r="G37" i="18"/>
  <c r="G41" i="18"/>
  <c r="G52" i="18"/>
  <c r="G68" i="18"/>
  <c r="G94" i="18"/>
  <c r="G102" i="18"/>
  <c r="E10" i="7"/>
  <c r="J7" i="7"/>
  <c r="C9" i="9"/>
  <c r="C7" i="9"/>
  <c r="C5" i="9"/>
  <c r="H5" i="10"/>
  <c r="H6" i="10"/>
  <c r="H7" i="10"/>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A5" i="10"/>
  <c r="B5" i="10"/>
  <c r="F5" i="10" s="1"/>
  <c r="A6" i="10"/>
  <c r="B6" i="10"/>
  <c r="F6" i="10" s="1"/>
  <c r="A7" i="10"/>
  <c r="B7" i="10"/>
  <c r="F7" i="10" s="1"/>
  <c r="A8" i="10"/>
  <c r="B8" i="10"/>
  <c r="F8" i="10" s="1"/>
  <c r="A9" i="10"/>
  <c r="B9" i="10"/>
  <c r="F9" i="10" s="1"/>
  <c r="A10" i="10"/>
  <c r="B10" i="10"/>
  <c r="F10" i="10" s="1"/>
  <c r="A11" i="10"/>
  <c r="B11" i="10"/>
  <c r="F11" i="10" s="1"/>
  <c r="A12" i="10"/>
  <c r="F12" i="10"/>
  <c r="A13" i="10"/>
  <c r="B13" i="10"/>
  <c r="F13" i="10" s="1"/>
  <c r="A14" i="10"/>
  <c r="B14" i="10"/>
  <c r="F14" i="10" s="1"/>
  <c r="A15" i="10"/>
  <c r="B15" i="10"/>
  <c r="F15" i="10" s="1"/>
  <c r="A16" i="10"/>
  <c r="B16" i="10"/>
  <c r="F16" i="10" s="1"/>
  <c r="A17" i="10"/>
  <c r="B17" i="10"/>
  <c r="F17" i="10" s="1"/>
  <c r="A18" i="10"/>
  <c r="F18" i="10"/>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1" i="18"/>
  <c r="E89" i="18"/>
  <c r="E88" i="18"/>
  <c r="E85" i="18"/>
  <c r="E82" i="18"/>
  <c r="E67" i="18"/>
  <c r="E63" i="18"/>
  <c r="E51" i="18"/>
  <c r="E49" i="18"/>
  <c r="E47" i="18"/>
  <c r="E46" i="18"/>
  <c r="E45" i="18"/>
  <c r="E44" i="18"/>
  <c r="E40" i="18"/>
  <c r="E33"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S98" i="4" s="1"/>
  <c r="S103" i="4" s="1"/>
  <c r="E102" i="18" s="1"/>
  <c r="R94" i="4"/>
  <c r="R82" i="4"/>
  <c r="R84" i="4"/>
  <c r="S84" i="4" s="1"/>
  <c r="E83" i="18" s="1"/>
  <c r="R85" i="4"/>
  <c r="S85" i="4" s="1"/>
  <c r="E84" i="18" s="1"/>
  <c r="R86" i="4"/>
  <c r="R87" i="4"/>
  <c r="R88" i="4"/>
  <c r="S88" i="4" s="1"/>
  <c r="E87" i="18" s="1"/>
  <c r="R89" i="4"/>
  <c r="R90" i="4"/>
  <c r="R91" i="4"/>
  <c r="S91" i="4" s="1"/>
  <c r="E90" i="18" s="1"/>
  <c r="R92" i="4"/>
  <c r="R93" i="4"/>
  <c r="S93" i="4" s="1"/>
  <c r="E92" i="18" s="1"/>
  <c r="R60" i="4"/>
  <c r="R59" i="4"/>
  <c r="R58" i="4"/>
  <c r="R57" i="4"/>
  <c r="R56" i="4"/>
  <c r="R52" i="4"/>
  <c r="R51" i="4"/>
  <c r="S51" i="4" s="1"/>
  <c r="E50" i="18" s="1"/>
  <c r="R50" i="4"/>
  <c r="R49" i="4"/>
  <c r="S49" i="4" s="1"/>
  <c r="E48" i="18" s="1"/>
  <c r="R48" i="4"/>
  <c r="R47" i="4"/>
  <c r="R46" i="4"/>
  <c r="R43" i="4"/>
  <c r="S43" i="4" s="1"/>
  <c r="E42" i="18" s="1"/>
  <c r="R41" i="4"/>
  <c r="R40" i="4"/>
  <c r="S40" i="4" s="1"/>
  <c r="S42" i="4" s="1"/>
  <c r="E41" i="18" s="1"/>
  <c r="R37" i="4"/>
  <c r="S37" i="4" s="1"/>
  <c r="E36" i="18" s="1"/>
  <c r="R35" i="4"/>
  <c r="S35" i="4" s="1"/>
  <c r="E34" i="18" s="1"/>
  <c r="R34" i="4"/>
  <c r="R33" i="4"/>
  <c r="S33" i="4" s="1"/>
  <c r="E32" i="18" s="1"/>
  <c r="R32" i="4"/>
  <c r="S32" i="4" s="1"/>
  <c r="E31" i="18" s="1"/>
  <c r="R30" i="4"/>
  <c r="S30" i="4" s="1"/>
  <c r="R31" i="4"/>
  <c r="S31" i="4" s="1"/>
  <c r="E30" i="18" s="1"/>
  <c r="R29" i="4"/>
  <c r="S29" i="4" s="1"/>
  <c r="E28" i="18" s="1"/>
  <c r="R27" i="4"/>
  <c r="R25" i="4"/>
  <c r="R23" i="4"/>
  <c r="R22" i="4"/>
  <c r="R21" i="4"/>
  <c r="R20" i="4"/>
  <c r="R19" i="4"/>
  <c r="R18" i="4"/>
  <c r="R17" i="4"/>
  <c r="R15" i="4"/>
  <c r="R14" i="4"/>
  <c r="R13" i="4"/>
  <c r="R7" i="4"/>
  <c r="R6" i="4"/>
  <c r="D5" i="15"/>
  <c r="D6" i="15"/>
  <c r="D7" i="15"/>
  <c r="D8" i="15"/>
  <c r="D10" i="15"/>
  <c r="D11" i="15"/>
  <c r="D14" i="15"/>
  <c r="D15" i="15"/>
  <c r="D16" i="15"/>
  <c r="D18" i="15"/>
  <c r="E68" i="18"/>
  <c r="H25" i="18"/>
  <c r="H94" i="18"/>
  <c r="H102" i="18"/>
  <c r="B37" i="18"/>
  <c r="B61" i="4"/>
  <c r="B102" i="18"/>
  <c r="Z795" i="3"/>
  <c r="E8" i="9" s="1"/>
  <c r="W825" i="3"/>
  <c r="E14" i="9" s="1"/>
  <c r="G14" i="9" s="1"/>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C40"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AM719" i="3" s="1"/>
  <c r="BI734" i="3" s="1"/>
  <c r="BA703" i="3"/>
  <c r="AM720" i="3" s="1"/>
  <c r="BI735" i="3" s="1"/>
  <c r="BA704" i="3"/>
  <c r="AM721" i="3" s="1"/>
  <c r="BI736" i="3" s="1"/>
  <c r="BA705" i="3"/>
  <c r="AM722" i="3" s="1"/>
  <c r="BI737" i="3" s="1"/>
  <c r="BA706" i="3"/>
  <c r="BA707" i="3"/>
  <c r="AM724" i="3" s="1"/>
  <c r="BI739" i="3" s="1"/>
  <c r="BA708" i="3"/>
  <c r="AM725" i="3" s="1"/>
  <c r="BI740" i="3" s="1"/>
  <c r="BA709" i="3"/>
  <c r="BA710" i="3"/>
  <c r="BA711" i="3"/>
  <c r="BA712" i="3"/>
  <c r="BA713" i="3"/>
  <c r="M810" i="3"/>
  <c r="Q810" i="3"/>
  <c r="U810" i="3"/>
  <c r="Y810" i="3"/>
  <c r="AC810" i="3"/>
  <c r="AG810" i="3"/>
  <c r="Z879" i="3"/>
  <c r="B60" i="18"/>
  <c r="E25" i="18"/>
  <c r="T692" i="6"/>
  <c r="AF692" i="6" s="1"/>
  <c r="B26" i="4"/>
  <c r="B95" i="4"/>
  <c r="B80" i="4" l="1"/>
  <c r="T20" i="26"/>
  <c r="T22" i="26" s="1"/>
  <c r="I7" i="10"/>
  <c r="P12" i="4"/>
  <c r="AI20" i="27"/>
  <c r="AI22" i="27" s="1"/>
  <c r="Q12" i="4"/>
  <c r="S80" i="4"/>
  <c r="E79" i="18" s="1"/>
  <c r="S95" i="4"/>
  <c r="E94" i="18" s="1"/>
  <c r="E39" i="18"/>
  <c r="S53" i="4"/>
  <c r="E52" i="18" s="1"/>
  <c r="E97" i="18"/>
  <c r="Y20" i="26"/>
  <c r="Y22" i="26" s="1"/>
  <c r="AI20" i="26"/>
  <c r="AI22" i="26" s="1"/>
  <c r="AD20" i="26"/>
  <c r="AD22" i="26" s="1"/>
  <c r="Y20" i="27"/>
  <c r="Y22" i="27" s="1"/>
  <c r="AD20" i="27"/>
  <c r="AD22" i="27" s="1"/>
  <c r="T20" i="27"/>
  <c r="T22" i="27" s="1"/>
  <c r="S38" i="4"/>
  <c r="E37" i="18" s="1"/>
  <c r="N12" i="4"/>
  <c r="AC54" i="9"/>
  <c r="AE54" i="9" s="1"/>
  <c r="AG54" i="9" s="1"/>
  <c r="G98" i="25"/>
  <c r="U69" i="25"/>
  <c r="E29" i="18"/>
  <c r="D12" i="4"/>
  <c r="B52" i="18"/>
  <c r="R80" i="4"/>
  <c r="B43" i="15"/>
  <c r="C43" i="15"/>
  <c r="E43" i="15" s="1"/>
  <c r="D43" i="15"/>
  <c r="G12" i="4"/>
  <c r="B104" i="15"/>
  <c r="C104" i="15"/>
  <c r="D104" i="15"/>
  <c r="C39" i="15"/>
  <c r="D39" i="15"/>
  <c r="B39" i="15"/>
  <c r="F12" i="4"/>
  <c r="AC43" i="9"/>
  <c r="B96" i="15"/>
  <c r="D96" i="15"/>
  <c r="C96" i="15"/>
  <c r="B27" i="15"/>
  <c r="C27" i="15"/>
  <c r="D27" i="15"/>
  <c r="B81" i="15"/>
  <c r="D81" i="15"/>
  <c r="C81" i="15"/>
  <c r="B11" i="4"/>
  <c r="B76" i="4"/>
  <c r="B77" i="15"/>
  <c r="C77" i="15"/>
  <c r="D77" i="15"/>
  <c r="B8" i="4"/>
  <c r="T62" i="4"/>
  <c r="T96" i="4" s="1"/>
  <c r="B68" i="18"/>
  <c r="C70" i="15"/>
  <c r="B70" i="15"/>
  <c r="D70" i="15"/>
  <c r="B41" i="18"/>
  <c r="C62" i="15"/>
  <c r="D62" i="15"/>
  <c r="B62" i="15"/>
  <c r="D54" i="15"/>
  <c r="C54" i="15"/>
  <c r="B54" i="15"/>
  <c r="I6" i="10"/>
  <c r="I4" i="10"/>
  <c r="I5" i="10"/>
  <c r="BN627" i="3"/>
  <c r="L26" i="28" s="1"/>
  <c r="B11" i="18"/>
  <c r="E50" i="25"/>
  <c r="G52" i="25" s="1"/>
  <c r="AB47" i="5"/>
  <c r="AM709" i="3"/>
  <c r="BI724" i="3" s="1"/>
  <c r="AM707" i="3"/>
  <c r="BI722" i="3" s="1"/>
  <c r="AM718" i="3"/>
  <c r="BI733" i="3" s="1"/>
  <c r="AM717" i="3"/>
  <c r="BI732" i="3" s="1"/>
  <c r="AM716" i="3"/>
  <c r="BI731" i="3" s="1"/>
  <c r="AM715" i="3"/>
  <c r="BI730" i="3" s="1"/>
  <c r="AM710" i="3"/>
  <c r="BI725" i="3" s="1"/>
  <c r="AM714" i="3"/>
  <c r="BI729" i="3" s="1"/>
  <c r="AM713" i="3"/>
  <c r="BI728" i="3" s="1"/>
  <c r="AM708" i="3"/>
  <c r="BI723" i="3" s="1"/>
  <c r="AM712" i="3"/>
  <c r="BI727" i="3" s="1"/>
  <c r="AM711" i="3"/>
  <c r="BI726" i="3" s="1"/>
  <c r="R950" i="3"/>
  <c r="R951" i="3"/>
  <c r="R949" i="3"/>
  <c r="R948" i="3"/>
  <c r="R947" i="3"/>
  <c r="AG438" i="3"/>
  <c r="T27" i="27" s="1"/>
  <c r="AB47" i="26"/>
  <c r="I61" i="18"/>
  <c r="I95" i="18" s="1"/>
  <c r="I103" i="18" s="1"/>
  <c r="I105" i="18" s="1"/>
  <c r="J61" i="18"/>
  <c r="J95" i="18" s="1"/>
  <c r="J103" i="18" s="1"/>
  <c r="J105" i="18" s="1"/>
  <c r="R76" i="4"/>
  <c r="K12" i="4"/>
  <c r="B42" i="4"/>
  <c r="J12" i="4"/>
  <c r="R103" i="4"/>
  <c r="R11" i="4"/>
  <c r="R8" i="4"/>
  <c r="D12" i="15"/>
  <c r="B103" i="4"/>
  <c r="R69" i="4"/>
  <c r="G62" i="4"/>
  <c r="G96" i="4" s="1"/>
  <c r="G104" i="4" s="1"/>
  <c r="E62" i="4"/>
  <c r="E96" i="4" s="1"/>
  <c r="E104" i="4" s="1"/>
  <c r="D9" i="15"/>
  <c r="C61" i="18"/>
  <c r="C95" i="18" s="1"/>
  <c r="C103" i="18" s="1"/>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5" i="18"/>
  <c r="B8" i="18"/>
  <c r="R26" i="4"/>
  <c r="L62" i="4"/>
  <c r="L96" i="4" s="1"/>
  <c r="L104" i="4" s="1"/>
  <c r="H12" i="4"/>
  <c r="H11" i="18"/>
  <c r="Q62" i="4"/>
  <c r="Q96" i="4" s="1"/>
  <c r="Q104" i="4" s="1"/>
  <c r="K62" i="4"/>
  <c r="K96" i="4" s="1"/>
  <c r="K104" i="4" s="1"/>
  <c r="I62" i="4"/>
  <c r="I96" i="4" s="1"/>
  <c r="I104" i="4" s="1"/>
  <c r="R38" i="4"/>
  <c r="R42" i="4"/>
  <c r="H62" i="4"/>
  <c r="H96" i="4" s="1"/>
  <c r="H104" i="4" s="1"/>
  <c r="M12" i="4"/>
  <c r="D12" i="18"/>
  <c r="P62" i="4"/>
  <c r="P96" i="4" s="1"/>
  <c r="P104" i="4" s="1"/>
  <c r="B69" i="4"/>
  <c r="C62" i="4"/>
  <c r="G61" i="18"/>
  <c r="G95" i="18" s="1"/>
  <c r="G103" i="18" s="1"/>
  <c r="G105" i="18" s="1"/>
  <c r="B38" i="4"/>
  <c r="F61" i="18"/>
  <c r="F95" i="18" s="1"/>
  <c r="F103" i="18" s="1"/>
  <c r="F105" i="18" s="1"/>
  <c r="D61" i="18"/>
  <c r="D95" i="18" s="1"/>
  <c r="D103" i="18" s="1"/>
  <c r="AP383" i="6"/>
  <c r="AQ383" i="6" s="1"/>
  <c r="AK285" i="6"/>
  <c r="T686" i="6" s="1"/>
  <c r="AO679" i="6" s="1"/>
  <c r="AO654" i="6"/>
  <c r="AK671" i="6" s="1"/>
  <c r="T693" i="6" s="1"/>
  <c r="AF693" i="6" s="1"/>
  <c r="AK542" i="6"/>
  <c r="AP370" i="6"/>
  <c r="AQ370" i="6" s="1"/>
  <c r="Q588" i="6"/>
  <c r="W588" i="6" s="1"/>
  <c r="AC588" i="6" s="1"/>
  <c r="D100" i="25"/>
  <c r="D102" i="25" s="1"/>
  <c r="D104" i="25" s="1"/>
  <c r="D110" i="25" s="1"/>
  <c r="G38" i="25" s="1"/>
  <c r="O27" i="9"/>
  <c r="U27" i="9"/>
  <c r="W27" i="9"/>
  <c r="Y27" i="9"/>
  <c r="I27" i="9"/>
  <c r="Q27" i="9"/>
  <c r="S27" i="9"/>
  <c r="AA27" i="9"/>
  <c r="AG27" i="9"/>
  <c r="AE27" i="9"/>
  <c r="K27" i="9"/>
  <c r="G27" i="9"/>
  <c r="S40" i="9"/>
  <c r="S43" i="9" s="1"/>
  <c r="AA40" i="9"/>
  <c r="AA43" i="9" s="1"/>
  <c r="Q40" i="9"/>
  <c r="Q43" i="9" s="1"/>
  <c r="G43" i="9"/>
  <c r="CS628" i="3"/>
  <c r="T612" i="6" s="1"/>
  <c r="AZ578" i="6" s="1"/>
  <c r="BS627" i="3"/>
  <c r="O40" i="9"/>
  <c r="O43" i="9" s="1"/>
  <c r="CC634" i="3"/>
  <c r="BS634" i="3"/>
  <c r="CM646" i="3"/>
  <c r="BS646" i="3"/>
  <c r="BW647" i="3" s="1"/>
  <c r="E43" i="9"/>
  <c r="CM634" i="3"/>
  <c r="CX628" i="3"/>
  <c r="T611" i="6" s="1"/>
  <c r="DH628" i="3"/>
  <c r="T609" i="6" s="1"/>
  <c r="BQ529" i="6" s="1"/>
  <c r="BQ533" i="6" s="1"/>
  <c r="DM628" i="3"/>
  <c r="T608" i="6" s="1"/>
  <c r="BM528" i="6" s="1"/>
  <c r="BM533" i="6" s="1"/>
  <c r="W40" i="9"/>
  <c r="W43" i="9" s="1"/>
  <c r="AC861" i="3"/>
  <c r="AE40" i="9"/>
  <c r="AE43" i="9" s="1"/>
  <c r="K40" i="9"/>
  <c r="K43" i="9" s="1"/>
  <c r="AG40" i="9"/>
  <c r="AG43" i="9" s="1"/>
  <c r="BX634" i="3"/>
  <c r="BN634" i="3"/>
  <c r="U40" i="9"/>
  <c r="U43" i="9" s="1"/>
  <c r="Y40" i="9"/>
  <c r="Y43" i="9" s="1"/>
  <c r="BX627" i="3"/>
  <c r="DC628" i="3"/>
  <c r="T610" i="6" s="1"/>
  <c r="BU530" i="6" s="1"/>
  <c r="BU533" i="6" s="1"/>
  <c r="CH646" i="3"/>
  <c r="CL647" i="3" s="1"/>
  <c r="BN646" i="3"/>
  <c r="AT260" i="3"/>
  <c r="BO245" i="3" s="1"/>
  <c r="T269" i="3" s="1"/>
  <c r="DR628" i="3"/>
  <c r="T607" i="6" s="1"/>
  <c r="Y607" i="6" s="1"/>
  <c r="BE573" i="6" s="1"/>
  <c r="AP583" i="6" s="1"/>
  <c r="BJ573" i="6" s="1"/>
  <c r="BJ579" i="6" s="1"/>
  <c r="CM627" i="3"/>
  <c r="O607" i="6" s="1"/>
  <c r="AU573" i="6" s="1"/>
  <c r="CC646" i="3"/>
  <c r="CG647" i="3" s="1"/>
  <c r="CH627" i="3"/>
  <c r="BK628" i="3"/>
  <c r="AC862" i="3"/>
  <c r="BG715" i="3"/>
  <c r="BH690" i="3" s="1"/>
  <c r="BI690" i="3" s="1"/>
  <c r="BX646" i="3"/>
  <c r="CB647" i="3" s="1"/>
  <c r="CH634" i="3"/>
  <c r="CC627" i="3"/>
  <c r="L29" i="28" s="1"/>
  <c r="V29" i="28" s="1"/>
  <c r="AY932" i="3"/>
  <c r="AY924" i="3" s="1"/>
  <c r="AY928" i="3" s="1"/>
  <c r="G8" i="9"/>
  <c r="E9" i="9"/>
  <c r="BG628" i="3"/>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I40" i="9"/>
  <c r="I43" i="9" s="1"/>
  <c r="F30" i="10"/>
  <c r="G18" i="9"/>
  <c r="I18" i="9" s="1"/>
  <c r="K18" i="9" s="1"/>
  <c r="M18" i="9" s="1"/>
  <c r="O18" i="9" s="1"/>
  <c r="Q18" i="9" s="1"/>
  <c r="S18" i="9" s="1"/>
  <c r="U18" i="9" s="1"/>
  <c r="W18" i="9" s="1"/>
  <c r="Y18" i="9" s="1"/>
  <c r="AA18" i="9" s="1"/>
  <c r="AC18" i="9" s="1"/>
  <c r="AE18" i="9" s="1"/>
  <c r="AG18" i="9" s="1"/>
  <c r="E21" i="9"/>
  <c r="E34" i="9" s="1"/>
  <c r="AD63" i="5"/>
  <c r="AD7" i="5"/>
  <c r="I14" i="9"/>
  <c r="T7" i="5"/>
  <c r="M40" i="9"/>
  <c r="M43" i="9" s="1"/>
  <c r="Y7" i="5"/>
  <c r="H61" i="18" l="1"/>
  <c r="B12" i="4"/>
  <c r="S62" i="4"/>
  <c r="S96" i="4" s="1"/>
  <c r="S104" i="4" s="1"/>
  <c r="E62" i="15"/>
  <c r="E77" i="15"/>
  <c r="E27" i="15"/>
  <c r="I30" i="10"/>
  <c r="Z787" i="3" s="1"/>
  <c r="L922" i="3" s="1"/>
  <c r="L923" i="3" s="1"/>
  <c r="E81" i="15"/>
  <c r="G53" i="25"/>
  <c r="E39" i="15"/>
  <c r="E96" i="15"/>
  <c r="E104" i="15"/>
  <c r="E70" i="15"/>
  <c r="E54" i="15"/>
  <c r="O612" i="6"/>
  <c r="AU578" i="6" s="1"/>
  <c r="BI746" i="3"/>
  <c r="AM731" i="3" s="1"/>
  <c r="V26" i="28"/>
  <c r="R12" i="4"/>
  <c r="T27" i="26"/>
  <c r="Y27" i="5"/>
  <c r="Y27" i="27"/>
  <c r="AI27" i="5"/>
  <c r="AD27" i="26"/>
  <c r="AD27" i="5"/>
  <c r="Y27" i="26"/>
  <c r="AI27" i="26"/>
  <c r="T27" i="5"/>
  <c r="AI27" i="27"/>
  <c r="AD27" i="27"/>
  <c r="CL628" i="3"/>
  <c r="L30" i="28"/>
  <c r="V30" i="28" s="1"/>
  <c r="O610" i="6"/>
  <c r="AU576" i="6" s="1"/>
  <c r="L28" i="28"/>
  <c r="V28" i="28" s="1"/>
  <c r="BW628" i="3"/>
  <c r="L27" i="28"/>
  <c r="V27" i="28" s="1"/>
  <c r="B61" i="18"/>
  <c r="B63" i="15"/>
  <c r="C63" i="15"/>
  <c r="D63" i="15"/>
  <c r="BH700" i="3"/>
  <c r="BI700" i="3" s="1"/>
  <c r="D13" i="15"/>
  <c r="O611" i="6"/>
  <c r="AU577" i="6" s="1"/>
  <c r="CC652" i="3"/>
  <c r="AB950" i="3" s="1"/>
  <c r="AJ950" i="3" s="1"/>
  <c r="AZ574" i="6"/>
  <c r="CS634" i="3"/>
  <c r="BR647" i="3"/>
  <c r="CQ648" i="3"/>
  <c r="Y608" i="6"/>
  <c r="BE574" i="6" s="1"/>
  <c r="AP584" i="6" s="1"/>
  <c r="CC532" i="6"/>
  <c r="CC533" i="6" s="1"/>
  <c r="Y612" i="6"/>
  <c r="CE532" i="6" s="1"/>
  <c r="CE533" i="6" s="1"/>
  <c r="BH706" i="3"/>
  <c r="BI706" i="3" s="1"/>
  <c r="BH695" i="3"/>
  <c r="BI695" i="3" s="1"/>
  <c r="BH691" i="3"/>
  <c r="BI691" i="3" s="1"/>
  <c r="O608" i="6"/>
  <c r="BS652" i="3"/>
  <c r="AB948" i="3" s="1"/>
  <c r="AJ948" i="3" s="1"/>
  <c r="BH709" i="3"/>
  <c r="BI709" i="3" s="1"/>
  <c r="BH705" i="3"/>
  <c r="BI705" i="3" s="1"/>
  <c r="CM652" i="3"/>
  <c r="BH694" i="3"/>
  <c r="BI694" i="3" s="1"/>
  <c r="BH697" i="3"/>
  <c r="BI697" i="3" s="1"/>
  <c r="CH652" i="3"/>
  <c r="CQ647" i="3"/>
  <c r="BH703" i="3"/>
  <c r="BI703" i="3" s="1"/>
  <c r="CQ628" i="3"/>
  <c r="C96" i="4"/>
  <c r="R62" i="4"/>
  <c r="R96" i="4" s="1"/>
  <c r="R104" i="4" s="1"/>
  <c r="B62" i="4"/>
  <c r="H95" i="18"/>
  <c r="T104" i="4"/>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G21" i="9"/>
  <c r="G34" i="9" s="1"/>
  <c r="I21" i="9"/>
  <c r="I34" i="9" s="1"/>
  <c r="K14" i="9"/>
  <c r="E6" i="9" l="1"/>
  <c r="E61" i="18"/>
  <c r="E95" i="18"/>
  <c r="Y610" i="6"/>
  <c r="CH550" i="6" s="1"/>
  <c r="V31" i="28"/>
  <c r="E63" i="15"/>
  <c r="Y609" i="6"/>
  <c r="BS529" i="6" s="1"/>
  <c r="BS533" i="6" s="1"/>
  <c r="BQ534" i="6" s="1"/>
  <c r="L31" i="28"/>
  <c r="C104" i="4"/>
  <c r="B103" i="18" s="1"/>
  <c r="B97" i="15"/>
  <c r="C97" i="15"/>
  <c r="D97" i="15"/>
  <c r="B96" i="4"/>
  <c r="B95" i="18"/>
  <c r="BI715" i="3"/>
  <c r="AH731" i="3" s="1"/>
  <c r="Y611" i="6"/>
  <c r="CH551" i="6" s="1"/>
  <c r="AB951" i="3"/>
  <c r="AJ951" i="3" s="1"/>
  <c r="AJ953" i="3" s="1"/>
  <c r="AJ998" i="3" s="1"/>
  <c r="BO528" i="6"/>
  <c r="BO533" i="6" s="1"/>
  <c r="BM534" i="6" s="1"/>
  <c r="CH548" i="6"/>
  <c r="BE547" i="6" s="1"/>
  <c r="BE552" i="6" s="1"/>
  <c r="BH715" i="3"/>
  <c r="CH552" i="6"/>
  <c r="BE578" i="6"/>
  <c r="AP588" i="6" s="1"/>
  <c r="BO574" i="6"/>
  <c r="BO579" i="6" s="1"/>
  <c r="O613" i="6"/>
  <c r="CC534" i="6"/>
  <c r="AY543" i="6"/>
  <c r="AU574" i="6"/>
  <c r="Z796" i="3"/>
  <c r="CQ629" i="3"/>
  <c r="E103" i="18"/>
  <c r="S106" i="4"/>
  <c r="H103" i="18"/>
  <c r="T106" i="4"/>
  <c r="H105" i="18" s="1"/>
  <c r="AI11" i="5" s="1"/>
  <c r="AI23" i="5" s="1"/>
  <c r="AI26" i="5" s="1"/>
  <c r="AI28" i="5" s="1"/>
  <c r="BP587" i="6"/>
  <c r="BL587" i="6"/>
  <c r="BL585" i="6"/>
  <c r="AK476" i="6"/>
  <c r="T687" i="6" s="1"/>
  <c r="AO680" i="6" s="1"/>
  <c r="AO678" i="6" s="1"/>
  <c r="T685" i="6" s="1"/>
  <c r="AF685" i="6" s="1"/>
  <c r="BF567" i="6"/>
  <c r="BK570" i="6" s="1"/>
  <c r="AU548" i="6" s="1"/>
  <c r="AU551" i="6" s="1"/>
  <c r="BP585" i="6"/>
  <c r="AX585" i="6"/>
  <c r="AX590" i="6" s="1"/>
  <c r="AX591" i="6" s="1"/>
  <c r="BH585" i="6"/>
  <c r="BH586" i="6"/>
  <c r="BP588" i="6"/>
  <c r="BB586" i="6"/>
  <c r="BB590" i="6" s="1"/>
  <c r="BB591" i="6" s="1"/>
  <c r="BL586" i="6"/>
  <c r="G4" i="9"/>
  <c r="E5" i="9"/>
  <c r="AK618" i="6"/>
  <c r="K8" i="9"/>
  <c r="I9" i="9"/>
  <c r="T689" i="6"/>
  <c r="AO683" i="6"/>
  <c r="AF689" i="6" s="1"/>
  <c r="M14" i="9"/>
  <c r="K21" i="9"/>
  <c r="K34" i="9" s="1"/>
  <c r="E7" i="9"/>
  <c r="G6" i="9"/>
  <c r="E97" i="15" l="1"/>
  <c r="B104" i="4"/>
  <c r="AJ955" i="3"/>
  <c r="AJ1002" i="3" s="1"/>
  <c r="T24" i="5" s="1"/>
  <c r="BE576" i="6"/>
  <c r="AP586" i="6" s="1"/>
  <c r="BW530" i="6"/>
  <c r="BW533" i="6" s="1"/>
  <c r="BU534" i="6" s="1"/>
  <c r="BU535" i="6" s="1"/>
  <c r="BE575" i="6"/>
  <c r="AP585" i="6" s="1"/>
  <c r="BT575" i="6" s="1"/>
  <c r="CC537" i="6"/>
  <c r="BQ535" i="6"/>
  <c r="BQ539" i="6" s="1"/>
  <c r="AC448" i="3"/>
  <c r="CH549" i="6"/>
  <c r="BI548" i="6" s="1"/>
  <c r="BI552" i="6" s="1"/>
  <c r="AB952" i="3"/>
  <c r="AU537" i="6"/>
  <c r="BE577" i="6"/>
  <c r="AP587" i="6" s="1"/>
  <c r="AU535" i="6"/>
  <c r="AU539" i="6"/>
  <c r="CA531" i="6"/>
  <c r="CA533" i="6" s="1"/>
  <c r="BY534" i="6" s="1"/>
  <c r="BY536" i="6" s="1"/>
  <c r="AU536" i="6"/>
  <c r="D105" i="15"/>
  <c r="C105" i="15"/>
  <c r="B105" i="15"/>
  <c r="AU538" i="6"/>
  <c r="CC538" i="6"/>
  <c r="CQ650" i="3"/>
  <c r="J8" i="7" s="1"/>
  <c r="J10" i="7" s="1"/>
  <c r="U372" i="6" s="1"/>
  <c r="P414" i="3"/>
  <c r="BL590" i="6"/>
  <c r="BJ591" i="6" s="1"/>
  <c r="E10" i="9"/>
  <c r="E36"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C449" i="3"/>
  <c r="X1006" i="3"/>
  <c r="E105" i="18"/>
  <c r="Y11" i="5" s="1"/>
  <c r="Y23" i="5" s="1"/>
  <c r="Y26" i="5" s="1"/>
  <c r="Y28" i="5" s="1"/>
  <c r="AB46" i="27"/>
  <c r="AB48" i="27" s="1"/>
  <c r="AB53" i="27" s="1"/>
  <c r="AB54" i="27" s="1"/>
  <c r="AB46" i="26"/>
  <c r="AB48" i="26" s="1"/>
  <c r="AB53" i="26" s="1"/>
  <c r="AB54" i="26" s="1"/>
  <c r="AB46" i="5"/>
  <c r="AB48" i="5" s="1"/>
  <c r="AC447" i="3"/>
  <c r="J58" i="25"/>
  <c r="AS544" i="6"/>
  <c r="AX548" i="6"/>
  <c r="AF695" i="6"/>
  <c r="BP590" i="6"/>
  <c r="BN591" i="6" s="1"/>
  <c r="BH590" i="6"/>
  <c r="BF591" i="6" s="1"/>
  <c r="G5" i="9"/>
  <c r="I4" i="9"/>
  <c r="B1013" i="3"/>
  <c r="M8" i="9"/>
  <c r="K9" i="9"/>
  <c r="G7" i="9"/>
  <c r="I6" i="9"/>
  <c r="O14" i="9"/>
  <c r="M21" i="9"/>
  <c r="M34" i="9" s="1"/>
  <c r="BU536" i="6" l="1"/>
  <c r="E49" i="9"/>
  <c r="E45" i="9"/>
  <c r="E48" i="9" s="1"/>
  <c r="X1007" i="3"/>
  <c r="D1008" i="3" s="1"/>
  <c r="BY576" i="6"/>
  <c r="BY579" i="6" s="1"/>
  <c r="CC535" i="6"/>
  <c r="BU539" i="6"/>
  <c r="BY535" i="6"/>
  <c r="BY537" i="6"/>
  <c r="E105" i="15"/>
  <c r="BM549" i="6"/>
  <c r="BM552" i="6" s="1"/>
  <c r="BT579" i="6"/>
  <c r="BJ592" i="6"/>
  <c r="AV556" i="6" s="1"/>
  <c r="T11" i="27"/>
  <c r="T23" i="27" s="1"/>
  <c r="T26" i="27" s="1"/>
  <c r="T28" i="27" s="1"/>
  <c r="T11" i="5"/>
  <c r="Y11" i="27"/>
  <c r="Y23" i="27" s="1"/>
  <c r="Y26" i="27" s="1"/>
  <c r="Y28" i="27" s="1"/>
  <c r="Y63" i="27" s="1"/>
  <c r="Y67" i="27" s="1"/>
  <c r="T11" i="26"/>
  <c r="T23" i="26" s="1"/>
  <c r="T26" i="26" s="1"/>
  <c r="T28" i="26" s="1"/>
  <c r="Y11" i="26"/>
  <c r="Y23" i="26" s="1"/>
  <c r="Y26" i="26" s="1"/>
  <c r="Y28" i="26" s="1"/>
  <c r="Y63" i="26" s="1"/>
  <c r="Y67" i="26" s="1"/>
  <c r="B76" i="25"/>
  <c r="O76" i="25" s="1"/>
  <c r="G71" i="25"/>
  <c r="G72" i="25" s="1"/>
  <c r="B75" i="25" s="1"/>
  <c r="G10" i="9"/>
  <c r="G36" i="9" s="1"/>
  <c r="K4" i="9"/>
  <c r="I5" i="9"/>
  <c r="M9" i="9"/>
  <c r="O8" i="9"/>
  <c r="T24" i="27"/>
  <c r="T24" i="26"/>
  <c r="Q14" i="9"/>
  <c r="O21" i="9"/>
  <c r="O34" i="9" s="1"/>
  <c r="I7" i="9"/>
  <c r="K6" i="9"/>
  <c r="G49" i="9" l="1"/>
  <c r="G45" i="9"/>
  <c r="E47" i="9"/>
  <c r="T23" i="5"/>
  <c r="Q71" i="25" s="1"/>
  <c r="O75" i="25" s="1"/>
  <c r="R75" i="25" s="1"/>
  <c r="BE16" i="28"/>
  <c r="CD577" i="6"/>
  <c r="CD579" i="6" s="1"/>
  <c r="BY539" i="6"/>
  <c r="CC536" i="6"/>
  <c r="CC539" i="6" s="1"/>
  <c r="BQ550" i="6"/>
  <c r="BQ552" i="6" s="1"/>
  <c r="E60" i="9"/>
  <c r="T29" i="26"/>
  <c r="T29" i="27"/>
  <c r="G47" i="9"/>
  <c r="I10" i="9"/>
  <c r="I36" i="9" s="1"/>
  <c r="I45" i="9" s="1"/>
  <c r="M4" i="9"/>
  <c r="K5" i="9"/>
  <c r="AD38" i="26"/>
  <c r="AD40" i="26" s="1"/>
  <c r="Y38" i="26"/>
  <c r="Y40" i="26" s="1"/>
  <c r="AD38" i="27"/>
  <c r="AD40" i="27" s="1"/>
  <c r="Y38" i="27"/>
  <c r="Y40" i="27" s="1"/>
  <c r="Q8" i="9"/>
  <c r="O9" i="9"/>
  <c r="M6" i="9"/>
  <c r="K7" i="9"/>
  <c r="S14" i="9"/>
  <c r="Q21" i="9"/>
  <c r="Q34" i="9" s="1"/>
  <c r="AD38" i="5" l="1"/>
  <c r="AD40" i="5" s="1"/>
  <c r="T26" i="5"/>
  <c r="T28" i="5" s="1"/>
  <c r="Y63" i="5" s="1"/>
  <c r="Y67" i="5" s="1"/>
  <c r="E68" i="9"/>
  <c r="E67" i="9"/>
  <c r="E66" i="9"/>
  <c r="CI578" i="6"/>
  <c r="CI579" i="6" s="1"/>
  <c r="CN579" i="6" s="1"/>
  <c r="BD560" i="6" s="1"/>
  <c r="AT562" i="6" s="1"/>
  <c r="CG539" i="6"/>
  <c r="BU551" i="6"/>
  <c r="BU552" i="6" s="1"/>
  <c r="CC552" i="6" s="1"/>
  <c r="Y41" i="26"/>
  <c r="AB55" i="26" s="1"/>
  <c r="AB56" i="26" s="1"/>
  <c r="AB58" i="26" s="1"/>
  <c r="F59" i="26" s="1"/>
  <c r="K10" i="9"/>
  <c r="K36" i="9" s="1"/>
  <c r="K45" i="9" s="1"/>
  <c r="G60" i="9"/>
  <c r="G48" i="9"/>
  <c r="I49" i="9"/>
  <c r="Y41" i="27"/>
  <c r="AB55" i="27" s="1"/>
  <c r="AB56" i="27" s="1"/>
  <c r="AB58" i="27" s="1"/>
  <c r="AB75" i="27" s="1"/>
  <c r="AB76" i="27" s="1"/>
  <c r="AB77" i="27" s="1"/>
  <c r="AB79" i="27" s="1"/>
  <c r="J80" i="27" s="1"/>
  <c r="M5" i="9"/>
  <c r="O4" i="9"/>
  <c r="Q9" i="9"/>
  <c r="S8" i="9"/>
  <c r="I60" i="9"/>
  <c r="I68" i="9" s="1"/>
  <c r="I47" i="9"/>
  <c r="I48" i="9"/>
  <c r="U14" i="9"/>
  <c r="S21" i="9"/>
  <c r="S34" i="9" s="1"/>
  <c r="M7" i="9"/>
  <c r="O6" i="9"/>
  <c r="Y38" i="5" l="1"/>
  <c r="Y40" i="5" s="1"/>
  <c r="AR43" i="5" s="1"/>
  <c r="T29" i="5"/>
  <c r="E70" i="9"/>
  <c r="E72" i="9" s="1"/>
  <c r="G68" i="9"/>
  <c r="G67" i="9"/>
  <c r="I66" i="9"/>
  <c r="I67" i="9"/>
  <c r="G66" i="9"/>
  <c r="AW564" i="6"/>
  <c r="M10" i="9"/>
  <c r="M36" i="9" s="1"/>
  <c r="F59" i="27"/>
  <c r="AB75" i="26"/>
  <c r="AB76" i="26" s="1"/>
  <c r="AB77" i="26" s="1"/>
  <c r="AB79" i="26" s="1"/>
  <c r="J80" i="26" s="1"/>
  <c r="I62" i="9"/>
  <c r="K49" i="9"/>
  <c r="G62" i="9"/>
  <c r="Q4" i="9"/>
  <c r="O5" i="9"/>
  <c r="U8" i="9"/>
  <c r="S9" i="9"/>
  <c r="Q6" i="9"/>
  <c r="O7" i="9"/>
  <c r="U21" i="9"/>
  <c r="U34" i="9" s="1"/>
  <c r="W14" i="9"/>
  <c r="K60" i="9"/>
  <c r="K68" i="9" s="1"/>
  <c r="K47" i="9"/>
  <c r="K48" i="9"/>
  <c r="AR42" i="5" l="1"/>
  <c r="M49" i="9"/>
  <c r="M45" i="9"/>
  <c r="K66" i="9"/>
  <c r="K67" i="9"/>
  <c r="Y41" i="5"/>
  <c r="M60" i="9"/>
  <c r="M68" i="9" s="1"/>
  <c r="O10" i="9"/>
  <c r="O36" i="9" s="1"/>
  <c r="O45" i="9" s="1"/>
  <c r="K62" i="9"/>
  <c r="G70" i="9"/>
  <c r="G72" i="9" s="1"/>
  <c r="I70" i="9"/>
  <c r="I72" i="9" s="1"/>
  <c r="Q5" i="9"/>
  <c r="S4" i="9"/>
  <c r="W8" i="9"/>
  <c r="U9" i="9"/>
  <c r="S6" i="9"/>
  <c r="Q7" i="9"/>
  <c r="W21" i="9"/>
  <c r="W34" i="9" s="1"/>
  <c r="Y14" i="9"/>
  <c r="AB49" i="5" l="1"/>
  <c r="AB53" i="5" s="1"/>
  <c r="AB54" i="5" s="1"/>
  <c r="AB55" i="5" s="1"/>
  <c r="M66" i="9"/>
  <c r="M67" i="9"/>
  <c r="M48" i="9"/>
  <c r="M47" i="9"/>
  <c r="O49" i="9"/>
  <c r="M62" i="9"/>
  <c r="Q10" i="9"/>
  <c r="Q36" i="9" s="1"/>
  <c r="K70" i="9"/>
  <c r="K72" i="9" s="1"/>
  <c r="S5" i="9"/>
  <c r="U4" i="9"/>
  <c r="Y8" i="9"/>
  <c r="W9" i="9"/>
  <c r="U6" i="9"/>
  <c r="S7" i="9"/>
  <c r="AA14" i="9"/>
  <c r="Y21" i="9"/>
  <c r="Y34" i="9" s="1"/>
  <c r="O48" i="9"/>
  <c r="O47" i="9"/>
  <c r="O60" i="9"/>
  <c r="M25" i="3" l="1"/>
  <c r="P203" i="3" s="1"/>
  <c r="BE15" i="28"/>
  <c r="U17" i="28" s="1"/>
  <c r="AB56" i="5"/>
  <c r="AB58" i="5" s="1"/>
  <c r="AB75" i="5" s="1"/>
  <c r="AB76" i="5" s="1"/>
  <c r="AB77" i="5" s="1"/>
  <c r="AB79" i="5" s="1"/>
  <c r="J80" i="5" s="1"/>
  <c r="Q22" i="28"/>
  <c r="V33" i="28" s="1"/>
  <c r="V35" i="28" s="1"/>
  <c r="O67" i="9"/>
  <c r="O66" i="9"/>
  <c r="O68" i="9"/>
  <c r="Q49" i="9"/>
  <c r="Q45" i="9"/>
  <c r="Q48" i="9" s="1"/>
  <c r="M70" i="9"/>
  <c r="M72" i="9" s="1"/>
  <c r="O62" i="9"/>
  <c r="S10" i="9"/>
  <c r="S36" i="9" s="1"/>
  <c r="U5" i="9"/>
  <c r="W4" i="9"/>
  <c r="AA8" i="9"/>
  <c r="Y9" i="9"/>
  <c r="W6" i="9"/>
  <c r="U7" i="9"/>
  <c r="AC14" i="9"/>
  <c r="AA21" i="9"/>
  <c r="AA34" i="9" s="1"/>
  <c r="S49" i="9" l="1"/>
  <c r="S45" i="9"/>
  <c r="S48" i="9" s="1"/>
  <c r="F59" i="5"/>
  <c r="M27" i="3"/>
  <c r="D203" i="3" s="1"/>
  <c r="U10" i="9"/>
  <c r="U36" i="9" s="1"/>
  <c r="U45" i="9" s="1"/>
  <c r="Q47" i="9"/>
  <c r="Q60" i="9"/>
  <c r="O70" i="9"/>
  <c r="O72" i="9" s="1"/>
  <c r="Y4" i="9"/>
  <c r="W5" i="9"/>
  <c r="AA9" i="9"/>
  <c r="AC8" i="9"/>
  <c r="Y6" i="9"/>
  <c r="W7" i="9"/>
  <c r="AC21" i="9"/>
  <c r="AC34" i="9" s="1"/>
  <c r="AE14" i="9"/>
  <c r="Q67" i="9" l="1"/>
  <c r="Q68" i="9"/>
  <c r="W203" i="3"/>
  <c r="Q66" i="9"/>
  <c r="Q62" i="9"/>
  <c r="S60" i="9"/>
  <c r="S68" i="9" s="1"/>
  <c r="S47" i="9"/>
  <c r="W10" i="9"/>
  <c r="W36" i="9" s="1"/>
  <c r="W45" i="9" s="1"/>
  <c r="U49" i="9"/>
  <c r="AA4" i="9"/>
  <c r="Y5" i="9"/>
  <c r="AE8" i="9"/>
  <c r="AC9" i="9"/>
  <c r="AE21" i="9"/>
  <c r="AE34" i="9" s="1"/>
  <c r="AG14" i="9"/>
  <c r="AG21" i="9" s="1"/>
  <c r="AG34" i="9" s="1"/>
  <c r="U60" i="9"/>
  <c r="U48" i="9"/>
  <c r="U47" i="9"/>
  <c r="Y7" i="9"/>
  <c r="AA6" i="9"/>
  <c r="U66" i="9" l="1"/>
  <c r="U67" i="9"/>
  <c r="U68" i="9"/>
  <c r="S67" i="9"/>
  <c r="S66" i="9"/>
  <c r="Q70" i="9"/>
  <c r="Q72" i="9" s="1"/>
  <c r="S62" i="9"/>
  <c r="W49" i="9"/>
  <c r="Y10" i="9"/>
  <c r="Y36" i="9" s="1"/>
  <c r="U62" i="9"/>
  <c r="AA5" i="9"/>
  <c r="AC4" i="9"/>
  <c r="AE9" i="9"/>
  <c r="AG8" i="9"/>
  <c r="AG9" i="9" s="1"/>
  <c r="AC6" i="9"/>
  <c r="AA7" i="9"/>
  <c r="W47" i="9"/>
  <c r="W48" i="9"/>
  <c r="W60" i="9"/>
  <c r="W66" i="9" l="1"/>
  <c r="W67" i="9"/>
  <c r="W68" i="9"/>
  <c r="Y49" i="9"/>
  <c r="Y45" i="9"/>
  <c r="S70" i="9"/>
  <c r="S72" i="9" s="1"/>
  <c r="Y48" i="9"/>
  <c r="AA10" i="9"/>
  <c r="AA36" i="9" s="1"/>
  <c r="U70" i="9"/>
  <c r="U72" i="9" s="1"/>
  <c r="W62" i="9"/>
  <c r="AC5" i="9"/>
  <c r="AE4" i="9"/>
  <c r="AE6" i="9"/>
  <c r="AC7" i="9"/>
  <c r="AA49" i="9" l="1"/>
  <c r="AA45" i="9"/>
  <c r="AA53" i="9" s="1"/>
  <c r="AA58" i="9" s="1"/>
  <c r="AC10" i="9"/>
  <c r="AC36" i="9" s="1"/>
  <c r="AC45" i="9" s="1"/>
  <c r="AC53" i="9" s="1"/>
  <c r="AC58" i="9" s="1"/>
  <c r="Y47" i="9"/>
  <c r="Y60" i="9"/>
  <c r="AA48" i="9"/>
  <c r="W70" i="9"/>
  <c r="W72" i="9" s="1"/>
  <c r="AE5" i="9"/>
  <c r="AG4" i="9"/>
  <c r="AG5" i="9" s="1"/>
  <c r="AE7" i="9"/>
  <c r="AG6" i="9"/>
  <c r="Y68" i="9" l="1"/>
  <c r="Y67" i="9"/>
  <c r="Y66" i="9"/>
  <c r="AC49" i="9"/>
  <c r="AA47" i="9"/>
  <c r="AA60" i="9"/>
  <c r="AA66" i="9" s="1"/>
  <c r="Y62" i="9"/>
  <c r="AE10" i="9"/>
  <c r="AE36" i="9" s="1"/>
  <c r="AE45" i="9" s="1"/>
  <c r="AE53" i="9" s="1"/>
  <c r="AE58" i="9" s="1"/>
  <c r="AG7" i="9"/>
  <c r="AG10" i="9" s="1"/>
  <c r="AG36" i="9" s="1"/>
  <c r="AG45" i="9" s="1"/>
  <c r="AG53" i="9" s="1"/>
  <c r="AG58" i="9" s="1"/>
  <c r="AC47" i="9"/>
  <c r="AC60" i="9"/>
  <c r="AC66" i="9" s="1"/>
  <c r="AC48" i="9"/>
  <c r="AA62" i="9" l="1"/>
  <c r="AA68" i="9"/>
  <c r="AA67" i="9"/>
  <c r="Y70" i="9"/>
  <c r="Y72" i="9" s="1"/>
  <c r="AC62" i="9"/>
  <c r="AC68" i="9"/>
  <c r="AC67" i="9"/>
  <c r="AE49" i="9"/>
  <c r="AG49" i="9"/>
  <c r="AE47" i="9"/>
  <c r="AE60" i="9"/>
  <c r="AE66" i="9" s="1"/>
  <c r="AE48" i="9"/>
  <c r="AA70" i="9" l="1"/>
  <c r="AA72" i="9" s="1"/>
  <c r="AC70" i="9"/>
  <c r="AC72" i="9" s="1"/>
  <c r="AE62" i="9"/>
  <c r="AE68" i="9"/>
  <c r="AE67" i="9"/>
  <c r="AG60" i="9"/>
  <c r="AG66" i="9" s="1"/>
  <c r="AG47" i="9"/>
  <c r="AG48" i="9"/>
  <c r="AE70" i="9" l="1"/>
  <c r="AE72" i="9" s="1"/>
  <c r="AG68" i="9"/>
  <c r="AG67" i="9"/>
  <c r="AG62" i="9"/>
  <c r="AG70" i="9" l="1"/>
  <c r="AG72" i="9" s="1"/>
</calcChain>
</file>

<file path=xl/comments1.xml><?xml version="1.0" encoding="utf-8"?>
<comments xmlns="http://schemas.openxmlformats.org/spreadsheetml/2006/main">
  <authors>
    <author>*DS</author>
    <author>State Treasurer's Office</author>
  </authors>
  <commentList>
    <comment ref="Z787" authorId="0" shapeId="0">
      <text>
        <r>
          <rPr>
            <sz val="9"/>
            <color rgb="FF000000"/>
            <rFont val="Tahoma"/>
            <family val="2"/>
          </rPr>
          <t>Complete the Subsidy Contract Calculation tab, the annual rental subsidy overhang amount will automatically populate</t>
        </r>
      </text>
    </comment>
    <comment ref="R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text>
        <r>
          <rPr>
            <sz val="10"/>
            <rFont val="Arial"/>
            <family val="2"/>
          </rPr>
          <t xml:space="preserve">Relocation costs should correlate to the costs approved by either the local agency or federal agency. 
</t>
        </r>
      </text>
    </comment>
    <comment ref="B73"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 or receiving disaster credits</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71" authorId="0" shapeId="0">
      <text>
        <r>
          <rPr>
            <sz val="10"/>
            <rFont val="Arial"/>
            <family val="2"/>
          </rPr>
          <t>Do not select item (ii) unless the project is applying under the Rural set-aside.</t>
        </r>
        <r>
          <rPr>
            <sz val="10"/>
            <rFont val="Arial"/>
            <family val="2"/>
          </rPr>
          <t xml:space="preserve">
</t>
        </r>
      </text>
    </comment>
    <comment ref="S561" authorId="0" shapeId="0">
      <text>
        <r>
          <rPr>
            <sz val="8"/>
            <color indexed="81"/>
            <rFont val="Arial"/>
            <family val="2"/>
          </rPr>
          <t>Available only to Rural set-aside projects.</t>
        </r>
      </text>
    </comment>
    <comment ref="U568" authorId="0" shapeId="0">
      <text>
        <r>
          <rPr>
            <sz val="8"/>
            <color indexed="81"/>
            <rFont val="Arial"/>
            <family val="2"/>
          </rPr>
          <t>Available only to Rural set-aside projects.</t>
        </r>
      </text>
    </comment>
    <comment ref="U569" authorId="0" shapeId="0">
      <text>
        <r>
          <rPr>
            <sz val="8"/>
            <color indexed="81"/>
            <rFont val="Arial"/>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S572" authorId="1" shapeId="0">
      <text>
        <r>
          <rPr>
            <sz val="8"/>
            <color indexed="81"/>
            <rFont val="Tahoma"/>
            <family val="2"/>
          </rPr>
          <t>Available only to Rural set-aside projects.</t>
        </r>
      </text>
    </comment>
    <comment ref="S573" authorId="1" shapeId="0">
      <text>
        <r>
          <rPr>
            <sz val="8"/>
            <color indexed="81"/>
            <rFont val="Tahoma"/>
            <family val="2"/>
          </rPr>
          <t>Available only to Rural set-aside projects.</t>
        </r>
      </text>
    </comment>
    <comment ref="S574" authorId="1" shapeId="0">
      <text>
        <r>
          <rPr>
            <sz val="8"/>
            <color indexed="81"/>
            <rFont val="Tahoma"/>
            <family val="2"/>
          </rPr>
          <t>Available only to Rural set-aside projects.</t>
        </r>
      </text>
    </comment>
    <comment ref="S575" authorId="1" shapeId="0">
      <text>
        <r>
          <rPr>
            <sz val="8"/>
            <color indexed="81"/>
            <rFont val="Tahoma"/>
            <family val="2"/>
          </rPr>
          <t>Available only to Rural set-aside projects.</t>
        </r>
      </text>
    </comment>
    <comment ref="S576" authorId="1" shapeId="0">
      <text>
        <r>
          <rPr>
            <sz val="8"/>
            <color indexed="81"/>
            <rFont val="Tahoma"/>
            <family val="2"/>
          </rPr>
          <t>Available only to Rural set-aside projects.</t>
        </r>
      </text>
    </comment>
    <comment ref="E588" authorId="0" shapeId="0">
      <text>
        <r>
          <rPr>
            <sz val="9"/>
            <color indexed="81"/>
            <rFont val="Arial"/>
            <family val="2"/>
          </rPr>
          <t xml:space="preserve">DO NOT USE if Rural set-aside projects:  </t>
        </r>
      </text>
    </comment>
    <comment ref="E589" authorId="1" shapeId="0">
      <text>
        <r>
          <rPr>
            <sz val="9"/>
            <color indexed="81"/>
            <rFont val="Tahoma"/>
            <family val="2"/>
          </rPr>
          <t xml:space="preserve">ONLY for Rural set-aside projects.
</t>
        </r>
      </text>
    </comment>
    <comment ref="E590"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rgb="FF000000"/>
            <rFont val="Arial"/>
            <family val="2"/>
          </rPr>
          <t>Excess over appraisal will be automatically subtracted from the TOTAL soft financing</t>
        </r>
      </text>
    </comment>
    <comment ref="E51" authorId="0" shapeId="0">
      <text>
        <r>
          <rPr>
            <sz val="11"/>
            <color rgb="FF000000"/>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<sst xmlns="http://schemas.openxmlformats.org/spreadsheetml/2006/main" count="4776" uniqueCount="2544">
  <si>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</si>
  <si>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</si>
  <si>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</si>
  <si>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</si>
  <si>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</si>
  <si>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</si>
  <si>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</si>
  <si>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</si>
  <si>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</si>
  <si>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</si>
  <si>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</si>
  <si>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</si>
  <si>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</si>
  <si>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</si>
  <si>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</si>
  <si>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</si>
  <si>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</si>
  <si>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</si>
  <si>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</si>
  <si>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</si>
  <si>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</si>
  <si>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</si>
  <si>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</si>
  <si>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</si>
  <si>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</si>
  <si>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</si>
  <si>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</si>
  <si>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</si>
  <si>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</si>
  <si>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</si>
  <si>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</si>
  <si>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</si>
  <si>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</si>
  <si>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</si>
  <si>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</si>
  <si>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</si>
  <si>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</si>
  <si>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</si>
  <si>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</si>
  <si>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</si>
  <si>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</si>
  <si>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</si>
  <si>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</si>
  <si>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</si>
  <si>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</si>
  <si>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</si>
  <si>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</si>
  <si>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</si>
  <si>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</si>
  <si>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</si>
  <si>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</si>
  <si>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</si>
  <si>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</si>
  <si>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</si>
  <si>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</si>
  <si>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</si>
  <si>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</si>
  <si>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</si>
  <si>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</si>
  <si>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</si>
  <si>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</si>
  <si>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</si>
  <si>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</si>
  <si>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</si>
  <si>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</si>
  <si>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</si>
  <si>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</si>
  <si>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</si>
  <si>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</si>
  <si>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</si>
  <si>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</si>
  <si>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</si>
  <si>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</si>
  <si>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</si>
  <si>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</si>
  <si>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</si>
  <si>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</si>
  <si>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</si>
  <si>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</si>
  <si>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</si>
  <si>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</si>
  <si>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</si>
  <si>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</si>
  <si>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</si>
  <si>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</si>
  <si>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</si>
  <si>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</si>
  <si>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</si>
  <si>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</si>
  <si>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</si>
  <si>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</si>
  <si>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</si>
  <si>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</si>
  <si>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</si>
  <si>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</si>
  <si>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</si>
  <si>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</si>
  <si>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</si>
  <si>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</si>
  <si>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</si>
  <si>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</si>
  <si>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</si>
  <si>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</si>
  <si>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</si>
  <si>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</si>
  <si>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</si>
  <si>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</si>
  <si>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</si>
  <si>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</si>
  <si>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</si>
  <si>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</si>
  <si>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</si>
  <si>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</si>
  <si>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</si>
  <si>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</si>
  <si>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</si>
  <si>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</si>
  <si>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</si>
  <si>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</si>
  <si>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</si>
  <si>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</si>
  <si>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</si>
  <si>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</si>
  <si>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</si>
  <si>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</si>
  <si>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</si>
  <si>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</si>
  <si>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</si>
  <si>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</si>
  <si>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</si>
  <si>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</si>
  <si>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</si>
  <si>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</si>
  <si>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</si>
  <si>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</si>
  <si>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</si>
  <si>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</si>
  <si>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</si>
  <si>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</si>
  <si>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</si>
  <si>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</si>
  <si>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</si>
  <si>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</si>
  <si>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</si>
  <si>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</si>
  <si>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</si>
  <si>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</si>
  <si>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</si>
  <si>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</si>
  <si>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</si>
  <si>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</si>
  <si>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</si>
  <si>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</si>
  <si>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</si>
  <si>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</si>
  <si>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</si>
  <si>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</si>
  <si>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</si>
  <si>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</si>
  <si>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</si>
  <si>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</si>
  <si>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</si>
  <si>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</si>
  <si>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</si>
  <si>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</si>
  <si>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</si>
  <si>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</si>
  <si>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</si>
  <si>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</si>
  <si>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</si>
  <si>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</si>
  <si>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</si>
  <si>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</si>
  <si>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</si>
  <si>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</si>
  <si>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</si>
  <si>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</si>
  <si>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</si>
  <si>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</si>
  <si>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</si>
  <si>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</si>
  <si>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</si>
  <si>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</si>
  <si>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</si>
  <si>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</si>
  <si>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</si>
  <si>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</si>
  <si>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</si>
  <si>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</si>
  <si>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</si>
  <si>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</si>
  <si>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</si>
  <si>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</si>
  <si>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</si>
  <si>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</si>
  <si>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</si>
  <si>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</si>
  <si>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</si>
  <si>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</si>
  <si>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</si>
  <si>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</si>
  <si>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</si>
  <si>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</si>
  <si>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</si>
  <si>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</si>
  <si>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</si>
  <si>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</si>
  <si>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</si>
  <si>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</si>
  <si>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</si>
  <si>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</si>
  <si>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</si>
  <si>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</si>
  <si>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</si>
  <si>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</si>
  <si>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</si>
  <si>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</si>
  <si>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</si>
  <si>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</si>
  <si>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</si>
  <si>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</si>
  <si>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</si>
  <si>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</si>
  <si>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</si>
  <si>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</si>
  <si>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</si>
  <si>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</si>
  <si>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</si>
  <si>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</si>
  <si>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</si>
  <si>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</si>
  <si>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</si>
  <si>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</si>
  <si>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</si>
  <si>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</si>
  <si>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</si>
  <si>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</si>
  <si>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</si>
  <si>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</si>
  <si>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</si>
  <si>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</si>
  <si>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</si>
  <si>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</si>
  <si>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</si>
  <si>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</si>
  <si>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</si>
  <si>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</si>
  <si>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</si>
  <si>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</si>
  <si>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</si>
  <si>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</si>
  <si>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</si>
  <si>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</si>
  <si>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</si>
  <si>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</si>
  <si>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</si>
  <si>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</si>
  <si>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</si>
  <si>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</si>
  <si>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</si>
  <si>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</si>
  <si>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</si>
  <si>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</si>
  <si>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</si>
  <si>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</si>
  <si>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</si>
  <si>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</si>
  <si>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</si>
  <si>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</si>
  <si>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</si>
  <si>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</si>
  <si>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</si>
  <si>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</si>
  <si>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</si>
  <si>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</si>
  <si>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</si>
  <si>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</si>
  <si>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</si>
  <si>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</si>
  <si>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</si>
  <si>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</si>
  <si>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</si>
  <si>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</si>
  <si>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</si>
  <si>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</si>
  <si>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</si>
  <si>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</si>
  <si>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</si>
  <si>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</si>
  <si>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</si>
  <si>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</si>
  <si>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</si>
  <si>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</si>
  <si>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</si>
  <si>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</si>
  <si>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</si>
  <si>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</si>
  <si>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</si>
  <si>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</si>
  <si>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</si>
  <si>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</si>
  <si>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</si>
  <si>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</si>
  <si>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</si>
  <si>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</si>
  <si>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</si>
  <si>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</si>
  <si>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</si>
  <si>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</si>
  <si>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</si>
  <si>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</si>
  <si>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</si>
  <si>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</si>
  <si>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</si>
  <si>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</si>
  <si>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</si>
  <si>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</si>
  <si>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</si>
  <si>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</si>
  <si>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</si>
  <si>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</si>
  <si>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</si>
  <si>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</si>
  <si>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</si>
  <si>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</si>
  <si>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</si>
  <si>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</si>
  <si>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</si>
  <si>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</si>
  <si>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</si>
  <si>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</si>
  <si>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</si>
  <si>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</si>
  <si>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</si>
  <si>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</si>
  <si>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</si>
  <si>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</si>
  <si>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</si>
  <si>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</si>
  <si>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</si>
  <si>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</si>
  <si>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</si>
  <si>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</si>
  <si>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</si>
  <si>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</si>
  <si>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</si>
  <si>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</si>
  <si>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</si>
  <si>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</si>
  <si>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</si>
  <si>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</si>
  <si>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</si>
  <si>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</si>
  <si>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</si>
  <si>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</si>
  <si>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</si>
  <si>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</si>
  <si>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</si>
  <si>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</si>
  <si>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</si>
  <si>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</si>
  <si>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</si>
  <si>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</si>
  <si>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</si>
  <si>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</si>
  <si>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</si>
  <si>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</si>
  <si>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</si>
  <si>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</si>
  <si>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</si>
  <si>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</si>
  <si>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</si>
  <si>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</si>
  <si>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</si>
  <si>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</si>
  <si>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</si>
  <si>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</si>
  <si>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</si>
  <si>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</si>
  <si>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</si>
  <si>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</si>
  <si>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</si>
  <si>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</si>
  <si>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</si>
  <si>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</si>
  <si>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</si>
  <si>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</si>
  <si>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</si>
  <si>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</si>
  <si>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</si>
  <si>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</si>
  <si>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</si>
  <si>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</si>
  <si>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</si>
  <si>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</si>
  <si>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</si>
  <si>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</si>
  <si>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</si>
  <si>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</si>
  <si>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</si>
  <si>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</si>
  <si>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</si>
  <si>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</si>
  <si>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</si>
  <si>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</si>
  <si>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</si>
  <si>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</si>
  <si>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</si>
  <si>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</si>
  <si>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</si>
  <si>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</si>
  <si>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</si>
  <si>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</si>
  <si>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</si>
  <si>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</si>
  <si>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</si>
  <si>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</si>
  <si>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</si>
  <si>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</si>
  <si>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</si>
  <si>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</si>
  <si>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</si>
  <si>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</si>
  <si>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</si>
  <si>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</si>
  <si>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</si>
  <si>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</si>
  <si>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</si>
  <si>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</si>
  <si>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</si>
  <si>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</si>
  <si>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</si>
  <si>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</si>
  <si>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</si>
  <si>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</si>
  <si>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</si>
  <si>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</si>
  <si>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</si>
  <si>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</si>
  <si>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</si>
  <si>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</si>
  <si>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</si>
  <si>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</si>
  <si>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</si>
  <si>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</si>
  <si>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</si>
  <si>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</si>
  <si>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</si>
  <si>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</si>
  <si>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</si>
  <si>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</si>
  <si>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</si>
  <si>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</si>
  <si>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</si>
  <si>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</si>
  <si>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</si>
  <si>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</si>
  <si>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</si>
  <si>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</si>
  <si>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</si>
  <si>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</si>
  <si>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</si>
  <si>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</si>
  <si>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</si>
  <si>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</si>
  <si>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</si>
  <si>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</si>
  <si>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</si>
  <si>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</si>
  <si>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</si>
  <si>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</si>
  <si>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</si>
  <si>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</si>
  <si>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</si>
  <si>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</si>
  <si>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</si>
  <si>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</si>
  <si>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</si>
  <si>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</si>
  <si>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</si>
  <si>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</si>
  <si>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</si>
  <si>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</si>
  <si>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</si>
  <si>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</si>
  <si>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</si>
  <si>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</si>
  <si>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</si>
  <si>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</si>
  <si>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</si>
  <si>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</si>
  <si>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</si>
  <si>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</si>
  <si>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</si>
  <si>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</si>
  <si>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</si>
  <si>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</si>
  <si>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</si>
  <si>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</si>
  <si>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</si>
  <si>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</si>
  <si>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</si>
  <si>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</si>
  <si>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</si>
  <si>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</si>
  <si>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</si>
  <si>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</si>
  <si>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</si>
  <si>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</si>
  <si>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</si>
  <si>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</si>
  <si>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</si>
  <si>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</si>
  <si>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</si>
  <si>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</si>
  <si>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</si>
  <si>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</si>
  <si>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</si>
  <si>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</si>
  <si>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</si>
  <si>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</si>
  <si>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</si>
  <si>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</si>
  <si>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</si>
  <si>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</si>
  <si>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</si>
  <si>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</si>
  <si>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</si>
  <si>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</si>
  <si>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</si>
  <si>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</si>
  <si>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</si>
  <si>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</si>
  <si>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</si>
  <si>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</si>
  <si>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</si>
  <si>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</si>
  <si>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</si>
  <si>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</si>
  <si>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</si>
  <si>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</si>
  <si>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</si>
  <si>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</si>
  <si>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</si>
  <si>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</si>
  <si>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</si>
  <si>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</si>
  <si>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</si>
  <si>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</si>
  <si>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</si>
  <si>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</si>
  <si>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</si>
  <si>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</si>
  <si>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</si>
  <si>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</si>
  <si>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</si>
  <si>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</si>
  <si>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</si>
  <si>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</si>
  <si>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</si>
  <si>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</si>
  <si>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</si>
  <si>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</si>
  <si>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</si>
  <si>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</si>
  <si>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</si>
  <si>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</si>
  <si>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</si>
  <si>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</si>
  <si>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</si>
  <si>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</si>
  <si>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</si>
  <si>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</si>
  <si>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</si>
  <si>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</si>
  <si>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</si>
  <si>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</si>
  <si>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</si>
  <si>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</si>
  <si>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</si>
  <si>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</si>
  <si>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</si>
  <si>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</si>
  <si>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</si>
  <si>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</si>
  <si>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</si>
  <si>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</si>
  <si>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</si>
  <si>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</si>
  <si>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</si>
  <si>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</si>
  <si>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</si>
  <si>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</si>
  <si>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</si>
  <si>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</si>
  <si>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</si>
  <si>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</si>
  <si>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</si>
  <si>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</si>
  <si>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</si>
  <si>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</si>
  <si>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</si>
  <si>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</si>
  <si>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</si>
  <si>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</si>
  <si>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</si>
  <si>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</si>
  <si>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</si>
  <si>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</si>
  <si>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</si>
  <si>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</si>
  <si>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</si>
  <si>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</si>
  <si>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</si>
  <si>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</si>
  <si>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</si>
  <si>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</si>
  <si>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</si>
  <si>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</si>
  <si>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</si>
  <si>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</si>
  <si>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</si>
  <si>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</si>
  <si>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</si>
  <si>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</si>
  <si>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</si>
  <si>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</si>
  <si>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</si>
  <si>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</si>
  <si>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</si>
  <si>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</si>
  <si>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</si>
  <si>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</si>
  <si>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</si>
  <si>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</si>
  <si>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</si>
  <si>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</si>
  <si>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</si>
  <si>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</si>
  <si>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</si>
  <si>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</si>
  <si>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</si>
  <si>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</si>
  <si>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</si>
  <si>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</si>
  <si>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</si>
  <si>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</si>
  <si>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</si>
  <si>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</si>
  <si>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</si>
  <si>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</si>
  <si>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</si>
  <si>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</si>
  <si>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</si>
  <si>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</si>
  <si>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</si>
  <si>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</si>
  <si>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</si>
  <si>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</si>
  <si>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</si>
  <si>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</si>
  <si>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</si>
  <si>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</si>
  <si>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</si>
  <si>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</si>
  <si>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</si>
  <si>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</si>
  <si>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</si>
  <si>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</si>
  <si>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</si>
  <si>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</si>
  <si>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</si>
  <si>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</si>
  <si>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</si>
  <si>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</si>
  <si>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</si>
  <si>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</si>
  <si>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</si>
  <si>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</si>
  <si>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</si>
  <si>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</si>
  <si>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</si>
  <si>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</si>
  <si>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</si>
  <si>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</si>
  <si>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</si>
  <si>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</si>
  <si>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</si>
  <si>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</si>
  <si>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</si>
  <si>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</si>
  <si>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</si>
  <si>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</si>
  <si>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</si>
  <si>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</si>
  <si>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</si>
  <si>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</si>
  <si>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</si>
  <si>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</si>
  <si>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</si>
  <si>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</si>
  <si>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</si>
  <si>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</si>
  <si>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</si>
  <si>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</si>
  <si>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</si>
  <si>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</si>
  <si>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</si>
  <si>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</si>
  <si>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</si>
  <si>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</si>
  <si>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</si>
  <si>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</si>
  <si>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</si>
  <si>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</si>
  <si>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</si>
  <si>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</si>
  <si>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</si>
  <si>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</si>
  <si>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</si>
  <si>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</si>
  <si>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</si>
  <si>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</si>
  <si>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</si>
  <si>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</si>
  <si>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</si>
  <si>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</si>
  <si>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</si>
  <si>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</si>
  <si>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</si>
  <si>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</si>
  <si>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</si>
  <si>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</si>
  <si>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</si>
  <si>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</si>
  <si>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</si>
  <si>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</si>
  <si>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</si>
  <si>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</si>
  <si>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</si>
  <si>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</si>
  <si>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</si>
  <si>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</si>
  <si>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</si>
  <si>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</si>
  <si>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</si>
  <si>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</si>
  <si>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</si>
  <si>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</si>
  <si>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</si>
  <si>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</si>
  <si>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</si>
  <si>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</si>
  <si>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</si>
  <si>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</si>
  <si>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</si>
  <si>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</si>
  <si>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</si>
  <si>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</si>
  <si>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</si>
  <si>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</si>
  <si>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</si>
  <si>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</si>
  <si>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</si>
  <si>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</si>
  <si>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</si>
  <si>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</si>
  <si>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</si>
  <si>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</si>
  <si>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</si>
  <si>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</si>
  <si>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</si>
  <si>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</si>
  <si>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</si>
  <si>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</si>
  <si>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</si>
  <si>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</si>
  <si>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</si>
  <si>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</si>
  <si>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</si>
  <si>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</si>
  <si>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</si>
  <si>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</si>
  <si>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</si>
  <si>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</si>
  <si>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</si>
  <si>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</si>
  <si>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</si>
  <si>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</si>
  <si>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</si>
  <si>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</si>
  <si>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</si>
  <si>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</si>
  <si>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</si>
  <si>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</si>
  <si>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</si>
  <si>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</si>
  <si>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</si>
  <si>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</si>
  <si>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</si>
  <si>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</si>
  <si>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</si>
  <si>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</si>
  <si>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</si>
  <si>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</si>
  <si>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</si>
  <si>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</si>
  <si>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</si>
  <si>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</si>
  <si>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</si>
  <si>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</si>
  <si>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</si>
  <si>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</si>
  <si>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</si>
  <si>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</si>
  <si>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</si>
  <si>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</si>
  <si>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</si>
  <si>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</si>
  <si>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</si>
  <si>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</si>
  <si>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</si>
  <si>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</si>
  <si>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</si>
  <si>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</si>
  <si>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</si>
  <si>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</si>
  <si>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</si>
  <si>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</si>
  <si>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</si>
  <si>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</si>
  <si>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</si>
  <si>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</si>
  <si>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</si>
  <si>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</si>
  <si>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</si>
  <si>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</si>
  <si>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</si>
  <si>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</si>
  <si>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</si>
  <si>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</si>
  <si>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</si>
  <si>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</si>
  <si>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</si>
  <si>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</si>
  <si>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</si>
  <si>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</si>
  <si>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</si>
  <si>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</si>
  <si>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</si>
  <si>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</si>
  <si>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</si>
  <si>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</si>
  <si>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</si>
  <si>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</si>
  <si>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</si>
  <si>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</si>
  <si>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</si>
  <si>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</si>
  <si>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</si>
  <si>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</si>
  <si>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</si>
  <si>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</si>
  <si>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</si>
  <si>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</si>
  <si>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</si>
  <si>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</si>
  <si>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</si>
  <si>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</si>
  <si>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</si>
  <si>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</si>
  <si>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</si>
  <si>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</si>
  <si>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</si>
  <si>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</si>
  <si>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</si>
  <si>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</si>
  <si>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</si>
  <si>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</si>
  <si>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</si>
  <si>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</si>
  <si>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</si>
  <si>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</si>
  <si>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</si>
  <si>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</si>
  <si>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</si>
  <si>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</si>
  <si>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</si>
  <si>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</si>
  <si>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</si>
  <si>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</si>
  <si>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</si>
  <si>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</si>
  <si>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</si>
  <si>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</si>
  <si>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</si>
  <si>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</si>
  <si>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</si>
  <si>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</si>
  <si>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</si>
  <si>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</si>
  <si>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</si>
  <si>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</si>
  <si>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</si>
  <si>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</si>
  <si>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</si>
  <si>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</si>
  <si>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</si>
  <si>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</si>
  <si>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</si>
  <si>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</si>
  <si>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</si>
  <si>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</si>
  <si>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</si>
  <si>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</si>
  <si>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</si>
  <si>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</si>
  <si>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</si>
  <si>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</si>
  <si>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</si>
  <si>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</si>
  <si>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</si>
  <si>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</si>
  <si>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</si>
  <si>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</si>
  <si>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</si>
  <si>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</si>
  <si>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</si>
  <si>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</si>
  <si>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</si>
  <si>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</si>
  <si>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</si>
  <si>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</si>
  <si>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</si>
  <si>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</si>
  <si>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</si>
  <si>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</si>
  <si>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</si>
  <si>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</si>
  <si>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</si>
  <si>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</si>
  <si>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</si>
  <si>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</si>
  <si>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</si>
  <si>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</si>
  <si>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</si>
  <si>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</si>
  <si>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</si>
  <si>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</si>
  <si>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</si>
  <si>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</si>
  <si>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</si>
  <si>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</si>
  <si>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</si>
  <si>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</si>
  <si>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</si>
  <si>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</si>
  <si>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</si>
  <si>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</si>
  <si>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</si>
  <si>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</si>
  <si>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</si>
  <si>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</si>
  <si>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</si>
  <si>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</si>
  <si>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</si>
  <si>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</si>
  <si>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</si>
  <si>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</si>
  <si>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</si>
  <si>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</si>
  <si>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</si>
  <si>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</si>
  <si>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</si>
  <si>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</si>
  <si>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</si>
  <si>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</si>
  <si>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</si>
  <si>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</si>
  <si>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</si>
  <si>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</si>
  <si>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</si>
  <si>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</si>
  <si>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</si>
  <si>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</si>
  <si>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</si>
  <si>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</si>
  <si>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</si>
  <si>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</si>
  <si>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</si>
  <si>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</si>
  <si>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</si>
  <si>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</si>
  <si>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</si>
  <si>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</si>
  <si>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</si>
  <si>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</si>
  <si>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</si>
  <si>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</si>
  <si>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</si>
  <si>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</si>
  <si>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</si>
  <si>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</si>
  <si>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</si>
  <si>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</si>
  <si>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</si>
  <si>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</si>
  <si>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</si>
  <si>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</si>
  <si>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</si>
  <si>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</si>
  <si>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</si>
  <si>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</si>
  <si>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</si>
  <si>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</si>
  <si>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</si>
  <si>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</si>
  <si>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</si>
  <si>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</si>
  <si>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</si>
  <si>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</si>
  <si>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</si>
  <si>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</si>
  <si>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</si>
  <si>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</si>
  <si>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</si>
  <si>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</si>
  <si>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</si>
  <si>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</si>
  <si>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</si>
  <si>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</si>
  <si>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</si>
  <si>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</si>
  <si>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</si>
  <si>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</si>
  <si>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</si>
  <si>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</si>
  <si>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</si>
  <si>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</si>
  <si>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</si>
  <si>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</si>
  <si>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</si>
  <si>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</si>
  <si>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</si>
  <si>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</si>
  <si>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</si>
  <si>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</si>
  <si>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</si>
  <si>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</si>
  <si>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</si>
  <si>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</si>
  <si>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</si>
  <si>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</si>
  <si>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</si>
  <si>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</si>
  <si>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</si>
  <si>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</si>
  <si>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</si>
  <si>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</si>
  <si>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</si>
  <si>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</si>
  <si>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</si>
  <si>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</si>
  <si>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</si>
  <si>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</si>
  <si>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</si>
  <si>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</si>
  <si>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</si>
  <si>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</si>
  <si>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</si>
  <si>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</si>
  <si>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</si>
  <si>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</si>
  <si>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</si>
  <si>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</si>
  <si>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</si>
  <si>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</si>
  <si>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</si>
  <si>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</si>
  <si>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</si>
  <si>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</si>
  <si>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</si>
  <si>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</si>
  <si>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</si>
  <si>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</si>
  <si>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</si>
  <si>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</si>
  <si>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</si>
  <si>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</si>
  <si>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</si>
  <si>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</si>
  <si>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</si>
  <si>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</si>
  <si>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</si>
  <si>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</si>
  <si>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</si>
  <si>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</si>
  <si>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</si>
  <si>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</si>
  <si>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</si>
  <si>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</si>
  <si>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</si>
  <si>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</si>
  <si>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</si>
  <si>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</si>
  <si>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</si>
  <si>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</si>
  <si>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</si>
  <si>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</si>
  <si>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</si>
  <si>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</si>
  <si>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</si>
  <si>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</si>
  <si>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</si>
  <si>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</si>
  <si>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</si>
  <si>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</si>
  <si>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</si>
  <si>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</si>
  <si>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</si>
  <si>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</si>
  <si>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</si>
  <si>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</si>
  <si>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</si>
  <si>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</si>
  <si>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</si>
  <si>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</si>
  <si>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</si>
  <si>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</si>
  <si>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</si>
  <si>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</si>
  <si>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</si>
  <si>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</si>
  <si>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</si>
  <si>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</si>
  <si>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</si>
  <si>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</si>
  <si>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</si>
  <si>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</si>
  <si>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</si>
  <si>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</si>
  <si>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</si>
  <si>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</si>
  <si>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</si>
  <si>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</si>
  <si>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</si>
  <si>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</si>
  <si>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</si>
  <si>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</si>
  <si>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</si>
  <si>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</si>
  <si>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</si>
  <si>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</si>
  <si>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</si>
  <si>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</si>
  <si>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</si>
  <si>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</si>
  <si>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</si>
  <si>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</si>
  <si>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</si>
  <si>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</si>
  <si>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</si>
  <si>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</si>
  <si>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</si>
  <si>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</si>
  <si>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</si>
  <si>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</si>
  <si>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</si>
  <si>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</si>
  <si>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</si>
  <si>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</si>
  <si>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</si>
  <si>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</si>
  <si>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</si>
  <si>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</si>
  <si>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</si>
  <si>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</si>
  <si>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</si>
  <si>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</si>
  <si>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</si>
  <si>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</si>
  <si>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</si>
  <si>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</si>
  <si>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</si>
  <si>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</si>
  <si>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</si>
  <si>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</si>
  <si>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</si>
  <si>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</si>
  <si>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</si>
  <si>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</si>
  <si>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</si>
  <si>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</si>
  <si>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</si>
  <si>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</si>
  <si>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</si>
  <si>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</si>
  <si>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</si>
  <si>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</si>
  <si>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</si>
  <si>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</si>
  <si>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</si>
  <si>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</si>
  <si>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</si>
  <si>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</si>
  <si>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</si>
  <si>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</si>
  <si>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</si>
  <si>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</si>
  <si>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</si>
  <si>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</si>
  <si>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</si>
  <si>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</si>
  <si>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</si>
  <si>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</si>
  <si>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</si>
  <si>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</si>
  <si>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</si>
  <si>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</si>
  <si>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</si>
  <si>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</si>
  <si>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</si>
  <si>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</si>
  <si>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</si>
  <si>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</si>
  <si>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</si>
  <si>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</si>
  <si>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</si>
  <si>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</si>
  <si>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</si>
  <si>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</si>
  <si>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</si>
  <si>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</si>
  <si>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</si>
  <si>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</si>
  <si>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</si>
  <si>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</si>
  <si>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</si>
  <si>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</si>
  <si>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</si>
  <si>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</si>
  <si>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</si>
  <si>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</si>
  <si>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</si>
  <si>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</si>
  <si>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</si>
  <si>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</si>
  <si>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</si>
  <si>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</si>
  <si>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</si>
  <si>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</si>
  <si>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</si>
  <si>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</si>
  <si>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</si>
  <si>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</si>
  <si>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</si>
  <si>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</si>
  <si>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</si>
  <si>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</si>
  <si>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</si>
  <si>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</si>
  <si>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</si>
  <si>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</si>
  <si>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</si>
  <si>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</si>
  <si>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</si>
  <si>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</si>
  <si>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</si>
  <si>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</si>
  <si>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</si>
  <si>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</si>
  <si>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</si>
  <si>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</si>
  <si>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</si>
  <si>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</si>
  <si>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</si>
  <si>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</si>
  <si>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</si>
  <si>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</si>
  <si>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</si>
  <si>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</si>
  <si>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</si>
  <si>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</si>
  <si>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</si>
  <si>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</si>
  <si>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</si>
  <si>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</si>
  <si>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</si>
  <si>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</si>
  <si>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</si>
  <si>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</si>
  <si>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</si>
  <si>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</si>
  <si>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</si>
  <si>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</si>
  <si>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</si>
  <si>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</si>
  <si>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</si>
  <si>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</si>
  <si>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</si>
  <si>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</si>
  <si>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</si>
  <si>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</si>
  <si>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</si>
  <si>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</si>
  <si>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</si>
  <si>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</si>
  <si>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</si>
  <si>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</si>
  <si>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</si>
  <si>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</si>
  <si>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</si>
  <si>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</si>
  <si>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</si>
  <si>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</si>
  <si>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</si>
  <si>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</si>
  <si>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</si>
  <si>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</si>
  <si>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</si>
  <si>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</si>
  <si>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</si>
  <si>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</si>
  <si>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</si>
  <si>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</si>
  <si>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</si>
  <si>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</si>
  <si>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</si>
  <si>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</si>
  <si>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</si>
  <si>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</si>
  <si>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</si>
  <si>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</si>
  <si>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</si>
  <si>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</si>
  <si>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</si>
  <si>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</si>
  <si>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</si>
  <si>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</si>
  <si>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</si>
  <si>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</si>
  <si>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</si>
  <si>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</si>
  <si>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</si>
  <si>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</si>
  <si>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</si>
  <si>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</si>
  <si>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</si>
  <si>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</si>
  <si>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</si>
  <si>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</si>
  <si>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</si>
  <si>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</si>
  <si>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</si>
  <si>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</si>
  <si>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</si>
  <si>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</si>
  <si>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</si>
  <si>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</si>
  <si>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</si>
  <si>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</si>
  <si>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</si>
  <si>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</si>
  <si>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</si>
  <si>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</si>
  <si>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</si>
  <si>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</si>
  <si>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</si>
  <si>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</si>
  <si>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</si>
  <si>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</si>
  <si>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</si>
  <si>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</si>
  <si>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</si>
  <si>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</si>
  <si>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</si>
  <si>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</si>
  <si>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</si>
  <si>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</si>
  <si>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</si>
  <si>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</si>
  <si>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</si>
  <si>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</si>
  <si>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</si>
  <si>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</si>
  <si>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</si>
  <si>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</si>
  <si>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</si>
  <si>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</si>
  <si>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</si>
  <si>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</si>
  <si>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</si>
  <si>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</si>
  <si>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</si>
  <si>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</si>
  <si>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</si>
  <si>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</si>
  <si>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</si>
  <si>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</si>
  <si>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</si>
  <si>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</si>
  <si>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</si>
  <si>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</si>
  <si>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</si>
  <si>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</si>
  <si>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</si>
  <si>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</si>
  <si>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</si>
  <si>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</si>
  <si>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</si>
  <si>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</si>
  <si>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</si>
  <si>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</si>
  <si>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</si>
  <si>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</si>
  <si>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</si>
  <si>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</si>
  <si>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</si>
  <si>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</si>
  <si>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</si>
  <si>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</si>
  <si>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</si>
  <si>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</si>
  <si>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</si>
  <si>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</si>
  <si>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</si>
  <si>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</si>
  <si>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</si>
  <si>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</si>
  <si>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</si>
  <si>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</si>
  <si>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</si>
  <si>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</si>
  <si>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</si>
  <si>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</si>
  <si>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</si>
  <si>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</si>
  <si>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</si>
  <si>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</si>
  <si>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</si>
  <si>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</si>
  <si>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</si>
  <si>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</si>
  <si>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</si>
  <si>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</si>
  <si>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</si>
  <si>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</si>
  <si>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</si>
  <si>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</si>
  <si>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</si>
  <si>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</si>
  <si>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</si>
  <si>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</si>
  <si>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</si>
  <si>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</si>
  <si>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</si>
  <si>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</si>
  <si>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</si>
  <si>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</si>
  <si>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</si>
  <si>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</si>
  <si>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</si>
  <si>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</si>
  <si>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</si>
  <si>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</si>
  <si>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</si>
  <si>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</si>
  <si>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</si>
  <si>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</si>
  <si>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</si>
  <si>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</si>
  <si>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</si>
  <si>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</si>
  <si>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</si>
  <si>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</si>
  <si>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</si>
  <si>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</si>
  <si>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</si>
  <si>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</si>
  <si>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</si>
  <si>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</si>
  <si>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</si>
  <si>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</si>
  <si>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</si>
  <si>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</si>
  <si>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</si>
  <si>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</si>
  <si>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</si>
  <si>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</si>
  <si>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</si>
  <si>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</si>
  <si>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</si>
  <si>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</si>
  <si>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</si>
  <si>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</si>
  <si>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</si>
  <si>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</si>
  <si>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</si>
  <si>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</si>
  <si>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</si>
  <si>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</si>
  <si>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</si>
  <si>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</si>
  <si>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</si>
  <si>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</si>
  <si>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</si>
  <si>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</si>
  <si>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</si>
  <si>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</si>
  <si>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</si>
  <si>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</si>
  <si>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</si>
  <si>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</si>
  <si>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</si>
  <si>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</si>
  <si>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</si>
  <si>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</si>
  <si>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</si>
  <si>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</si>
  <si>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</si>
  <si>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</si>
  <si>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</si>
  <si>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</si>
  <si>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</si>
  <si>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</si>
  <si>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</si>
  <si>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</si>
  <si>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</si>
  <si>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</si>
  <si>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</si>
  <si>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</si>
  <si>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</si>
  <si>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</si>
  <si>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</si>
  <si>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</si>
  <si>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</si>
  <si>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</si>
  <si>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</si>
  <si>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</si>
  <si>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</si>
  <si>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</si>
  <si>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</si>
  <si>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</si>
  <si>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</si>
  <si>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</si>
  <si>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</si>
  <si>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</si>
  <si>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</si>
  <si>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</si>
  <si>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</si>
  <si>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</si>
  <si>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</si>
  <si>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</si>
  <si>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</si>
  <si>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</si>
  <si>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</si>
  <si>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</si>
  <si>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</si>
  <si>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</si>
  <si>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</si>
  <si>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</si>
  <si>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</si>
  <si>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</si>
  <si>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</si>
  <si>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</si>
  <si>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</si>
  <si>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</si>
  <si>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</si>
  <si>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</si>
  <si>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</si>
  <si>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</si>
  <si>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</si>
  <si>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</si>
  <si>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</si>
  <si>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</si>
  <si>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</si>
  <si>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</si>
  <si>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</si>
  <si>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</si>
  <si>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</si>
  <si>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</si>
  <si>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</si>
  <si>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</si>
  <si>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</si>
  <si>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</si>
  <si>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</si>
  <si>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</si>
  <si>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</si>
  <si>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</si>
  <si>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</si>
  <si>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</si>
  <si>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</si>
  <si>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</si>
  <si>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</si>
  <si>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</si>
  <si>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</si>
  <si>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</si>
  <si>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</si>
  <si>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</si>
  <si>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</si>
  <si>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</si>
  <si>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</si>
  <si>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</si>
  <si>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</si>
  <si>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</si>
  <si>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</si>
  <si>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</si>
  <si>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</si>
  <si>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</si>
  <si>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</si>
  <si>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</si>
  <si>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</si>
  <si>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</si>
  <si>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</si>
  <si>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</si>
  <si>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</si>
  <si>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</si>
  <si>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</si>
  <si>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</si>
  <si>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</si>
  <si>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</si>
  <si>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</si>
  <si>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</si>
  <si>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</si>
  <si>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</si>
  <si>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</si>
  <si>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</si>
  <si>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</si>
  <si>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</si>
  <si>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</si>
  <si>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</si>
  <si>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</si>
  <si>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</si>
  <si>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</si>
  <si>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</si>
  <si>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</si>
  <si>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</si>
  <si>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</si>
  <si>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</si>
  <si>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</si>
  <si>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</si>
  <si>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</si>
  <si>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</si>
  <si>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</si>
  <si>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</si>
  <si>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</si>
  <si>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</si>
  <si>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</si>
  <si>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</si>
  <si>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</si>
  <si>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</si>
  <si>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</si>
  <si>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</si>
  <si>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</si>
  <si>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</si>
  <si>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</si>
  <si>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</si>
  <si>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</si>
  <si>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</si>
  <si>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</si>
  <si>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</si>
  <si>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</si>
  <si>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</si>
  <si>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</si>
  <si>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</si>
  <si>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</si>
  <si>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</si>
  <si>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</si>
  <si>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</si>
  <si>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</si>
  <si>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</si>
  <si>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</si>
  <si>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</si>
  <si>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</si>
  <si>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</si>
  <si>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</si>
  <si>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</si>
  <si>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</si>
  <si>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</si>
  <si>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</si>
  <si>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</si>
  <si>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</si>
  <si>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</si>
  <si>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</si>
  <si>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</si>
  <si>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</si>
  <si>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</si>
  <si>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</si>
  <si>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</si>
  <si>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</si>
  <si>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</si>
  <si>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</si>
  <si>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</si>
  <si>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</si>
  <si>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</si>
  <si>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</si>
  <si>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</si>
  <si>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</si>
  <si>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</si>
  <si>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</si>
  <si>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</si>
  <si>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</si>
  <si>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</si>
  <si>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</si>
  <si>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</si>
  <si>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</si>
  <si>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</si>
  <si>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</si>
  <si>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</si>
  <si>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</si>
  <si>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</si>
  <si>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</si>
  <si>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</si>
  <si>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</si>
  <si>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</si>
  <si>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</si>
  <si>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</si>
  <si>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</si>
  <si>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</si>
  <si>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</si>
  <si>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</si>
  <si>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</si>
  <si>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</si>
  <si>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</si>
  <si>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</si>
  <si>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</si>
  <si>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</si>
  <si>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</si>
  <si>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</si>
  <si>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</si>
  <si>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</si>
  <si>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</si>
  <si>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</si>
  <si>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</si>
  <si>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</si>
  <si>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</si>
  <si>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</si>
  <si>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</si>
  <si>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</si>
  <si>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</si>
  <si>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</si>
  <si>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</si>
  <si>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</si>
  <si>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</si>
  <si>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</si>
  <si>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</si>
  <si>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</si>
  <si>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</si>
  <si>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</si>
  <si>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</si>
  <si>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</si>
  <si>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</si>
  <si>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</si>
  <si>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</si>
  <si>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</si>
  <si>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</si>
  <si>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</si>
  <si>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</si>
  <si>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</si>
  <si>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</si>
  <si>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</si>
  <si>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</si>
  <si>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</si>
  <si>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</si>
  <si>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</si>
  <si>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</si>
  <si>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</si>
  <si>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</si>
  <si>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</si>
  <si>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</si>
  <si>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</si>
  <si>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</si>
  <si>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</si>
  <si>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</si>
  <si>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</si>
  <si>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</si>
  <si>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</si>
  <si>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</si>
  <si>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</si>
  <si>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</si>
  <si>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</si>
  <si>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</si>
  <si>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</si>
  <si>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</si>
  <si>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</si>
  <si>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</si>
  <si>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</si>
  <si>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</si>
  <si>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</si>
  <si>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</si>
  <si>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</si>
  <si>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</si>
  <si>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</si>
  <si>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</si>
  <si>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</si>
  <si>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</si>
  <si>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</si>
  <si>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</si>
  <si>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</si>
  <si>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</si>
  <si>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</si>
  <si>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</si>
  <si>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</si>
  <si>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</si>
  <si>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</si>
  <si>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</si>
  <si>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</si>
  <si>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</si>
  <si>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</si>
  <si>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</si>
  <si>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</si>
  <si>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</si>
  <si>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</si>
  <si>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</si>
  <si>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</si>
  <si>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</si>
  <si>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</si>
  <si>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</si>
  <si>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</si>
  <si>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</si>
  <si>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</si>
  <si>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</si>
  <si>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</si>
  <si>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</si>
  <si>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</si>
  <si>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</si>
  <si>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</si>
  <si>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</si>
  <si>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</si>
  <si>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</si>
  <si>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</si>
  <si>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</si>
  <si>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</si>
  <si>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</si>
  <si>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</si>
  <si>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</si>
  <si>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</si>
  <si>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</si>
  <si>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</si>
  <si>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</si>
  <si>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</si>
  <si>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</si>
  <si>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</si>
  <si>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</si>
  <si>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</si>
  <si>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</si>
  <si>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</si>
  <si>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</si>
  <si>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</si>
  <si>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</si>
  <si>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</si>
  <si>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</si>
  <si>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</si>
  <si>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</si>
  <si>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</si>
  <si>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</si>
  <si>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</si>
  <si>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</si>
  <si>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</si>
  <si>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</si>
  <si>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</si>
  <si>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</si>
  <si>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</si>
  <si>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</si>
  <si>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</si>
  <si>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</si>
  <si>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</si>
  <si>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</si>
  <si>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</si>
  <si>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</si>
  <si>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</si>
  <si>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</si>
  <si>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</si>
  <si>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</si>
  <si>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</si>
  <si>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</si>
  <si>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</si>
  <si>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</si>
  <si>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</si>
  <si>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</si>
  <si>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</si>
  <si>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</si>
  <si>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</si>
  <si>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</si>
  <si>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</si>
  <si>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</si>
  <si>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</si>
  <si>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</si>
  <si>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</si>
  <si>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</si>
  <si>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</si>
  <si>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</si>
  <si>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</si>
  <si>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</si>
  <si>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</si>
  <si>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</si>
  <si>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</si>
  <si>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</si>
  <si>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</si>
  <si>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</si>
  <si>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</si>
  <si>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</si>
  <si>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</si>
  <si>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</si>
  <si>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</si>
  <si>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</si>
  <si>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</si>
  <si>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</si>
  <si>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</si>
  <si>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</si>
  <si>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</si>
  <si>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</si>
  <si>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</si>
  <si>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</si>
  <si>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</si>
  <si>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</si>
  <si>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</si>
  <si>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</si>
  <si>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</si>
  <si>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</si>
  <si>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</si>
  <si>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</si>
  <si>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</si>
  <si>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</si>
  <si>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</si>
  <si>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</si>
  <si>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</si>
  <si>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</si>
  <si>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</si>
  <si>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</si>
  <si>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</si>
  <si>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</si>
  <si>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</si>
  <si>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</si>
  <si>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</si>
  <si>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</si>
  <si>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</si>
  <si>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</si>
  <si>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</si>
  <si>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</si>
  <si>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</si>
  <si>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</si>
  <si>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</si>
  <si>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</si>
  <si>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</si>
  <si>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</si>
  <si>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</si>
  <si>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</si>
  <si>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</si>
  <si>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</si>
  <si>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</si>
  <si>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</si>
  <si>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</si>
  <si>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</si>
  <si>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</si>
  <si>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</si>
  <si>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</si>
  <si>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</si>
  <si>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</si>
  <si>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</si>
  <si>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</si>
  <si>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</si>
  <si>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</si>
  <si>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</si>
  <si>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</si>
  <si>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</si>
  <si>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</si>
  <si>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</si>
  <si>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</si>
  <si>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</si>
  <si>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</si>
  <si>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</si>
  <si>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</si>
  <si>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</si>
  <si>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</si>
  <si>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</si>
  <si>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</si>
  <si>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</si>
  <si>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</si>
  <si>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</si>
  <si>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</si>
  <si>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</si>
  <si>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</si>
  <si>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</si>
  <si>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</si>
  <si>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</si>
  <si>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</si>
  <si>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</si>
  <si>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</si>
  <si>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</si>
  <si>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</si>
  <si>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</si>
  <si>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</si>
  <si>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</si>
  <si>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</si>
  <si>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</si>
  <si>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</si>
  <si>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</si>
  <si>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</si>
  <si>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</si>
  <si>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</si>
  <si>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</si>
  <si>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</si>
  <si>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</si>
  <si>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</si>
  <si>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</si>
  <si>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</si>
  <si>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</si>
  <si>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</si>
  <si>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</si>
  <si>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</si>
  <si>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</si>
  <si>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</si>
  <si>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</si>
  <si>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</si>
  <si>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</si>
  <si>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</si>
  <si>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</si>
  <si>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</si>
  <si>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</si>
  <si>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</si>
  <si>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</si>
  <si>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</si>
  <si>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</si>
  <si>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</si>
  <si>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</si>
  <si>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</si>
  <si>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</si>
  <si>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</si>
  <si>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</si>
  <si>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</si>
  <si>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</si>
  <si>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</si>
  <si>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</si>
  <si>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</si>
  <si>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</si>
  <si>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</si>
  <si>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</si>
  <si>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</si>
  <si>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</si>
  <si>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</si>
  <si>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</si>
  <si>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</si>
  <si>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</si>
  <si>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</si>
  <si>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</si>
  <si>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</si>
  <si>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</si>
  <si>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</si>
  <si>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</si>
  <si>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</si>
  <si>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</si>
  <si>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</si>
  <si>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</si>
  <si>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</si>
  <si>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</si>
  <si>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</si>
  <si>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</si>
  <si>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</si>
  <si>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</si>
  <si>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</si>
  <si>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</si>
  <si>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</si>
  <si>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</si>
  <si>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</si>
  <si>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</si>
  <si>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</si>
  <si>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</si>
  <si>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</si>
  <si>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</si>
  <si>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</si>
  <si>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</si>
  <si>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</si>
  <si>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</si>
  <si>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</si>
  <si>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</si>
  <si>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</si>
  <si>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</si>
  <si>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</si>
  <si>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</si>
  <si>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</si>
  <si>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</si>
  <si>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</si>
  <si>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</si>
  <si>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</si>
  <si>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</si>
  <si>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</si>
  <si>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</si>
  <si>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</si>
  <si>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</si>
  <si>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</si>
  <si>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</si>
  <si>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</si>
  <si>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</si>
  <si>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</si>
  <si>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</si>
  <si>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</si>
  <si>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</si>
  <si>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</si>
  <si>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</si>
  <si>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</si>
  <si>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</si>
  <si>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</si>
  <si>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</si>
  <si>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</si>
  <si>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</si>
  <si>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</si>
  <si>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</si>
  <si>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</si>
  <si>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</si>
  <si>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</si>
  <si>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</si>
  <si>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</si>
  <si>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</si>
  <si>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</si>
  <si>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</si>
  <si>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</si>
  <si>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</si>
  <si>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</si>
  <si>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</si>
  <si>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</si>
  <si>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</si>
  <si>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</si>
  <si>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</si>
  <si>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</si>
  <si>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</si>
  <si>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</si>
  <si>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</si>
  <si>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</si>
  <si>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</si>
  <si>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</si>
  <si>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</si>
  <si>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</si>
  <si>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</si>
  <si>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</si>
  <si>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</si>
  <si>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</si>
  <si>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</si>
  <si>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</si>
  <si>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</si>
  <si>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</si>
  <si>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</si>
  <si>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</si>
  <si>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</si>
  <si>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</si>
  <si>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</si>
  <si>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</si>
  <si>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</si>
  <si>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</si>
  <si>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</si>
  <si>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</si>
  <si>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</si>
  <si>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</si>
  <si>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</si>
  <si>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</si>
  <si>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</si>
  <si>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</si>
  <si>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</si>
  <si>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</si>
  <si>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</si>
  <si>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</si>
  <si>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</si>
  <si>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</si>
  <si>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</si>
  <si>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</si>
  <si>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</si>
  <si>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</si>
  <si>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</si>
  <si>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</si>
  <si>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</si>
  <si>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</si>
  <si>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</si>
  <si>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</si>
  <si>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</si>
  <si>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</si>
  <si>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</si>
  <si>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</si>
  <si>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</si>
  <si>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</si>
  <si>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</si>
  <si>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</si>
  <si>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</si>
  <si>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</si>
  <si>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</si>
  <si>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</si>
  <si>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</si>
  <si>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</si>
  <si>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</si>
  <si>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</si>
  <si>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</si>
  <si>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</si>
  <si>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</si>
  <si>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</si>
  <si>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</si>
  <si>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</si>
  <si>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</si>
  <si>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</si>
  <si>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</si>
  <si>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</si>
  <si>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</si>
  <si>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</si>
  <si>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</si>
  <si>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</si>
  <si>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</si>
  <si>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</si>
  <si>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</si>
  <si>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</si>
  <si>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</si>
  <si>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</si>
  <si>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</si>
  <si>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</si>
  <si>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</si>
  <si>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</si>
  <si>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</si>
  <si>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</si>
  <si>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</si>
  <si>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</si>
  <si>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</si>
  <si>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</si>
  <si>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</si>
  <si>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</si>
  <si>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</si>
  <si>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</si>
  <si>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</si>
  <si>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</si>
  <si>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</si>
  <si>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</si>
  <si>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</si>
  <si>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</si>
  <si>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</si>
  <si>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</si>
  <si>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</si>
  <si>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</si>
  <si>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</si>
  <si>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</si>
  <si>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</si>
  <si>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</si>
  <si>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</si>
  <si>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</si>
  <si>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</si>
  <si>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</si>
  <si>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</si>
  <si>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</si>
  <si>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</si>
  <si>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</si>
  <si>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</si>
  <si>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</si>
  <si>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</si>
  <si>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</si>
  <si>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</si>
  <si>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</si>
  <si>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</si>
  <si>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</si>
  <si>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</si>
  <si>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</si>
  <si>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</si>
  <si>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</si>
  <si>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</si>
  <si>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</si>
  <si>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</si>
  <si>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</si>
  <si>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</si>
  <si>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</si>
  <si>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</si>
  <si>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</si>
  <si>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</si>
  <si>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</si>
  <si>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</si>
  <si>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</si>
  <si>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</si>
  <si>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</si>
  <si>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</si>
  <si>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</si>
  <si>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</si>
  <si>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</si>
  <si>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</si>
  <si>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</si>
  <si>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</si>
  <si>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</si>
  <si>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</si>
  <si>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</si>
  <si>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</si>
  <si>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</si>
  <si>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</si>
  <si>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</si>
  <si>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</si>
  <si>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</si>
  <si>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</si>
  <si>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</si>
  <si>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</si>
  <si>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</si>
  <si>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</si>
  <si>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</si>
  <si>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</si>
  <si>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</si>
  <si>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</si>
  <si>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</si>
  <si>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</si>
  <si>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</si>
  <si>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</si>
  <si>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</si>
  <si>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</si>
  <si>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</si>
  <si>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</si>
  <si>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</si>
  <si>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</si>
  <si>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</si>
  <si>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</si>
  <si>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</si>
  <si>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</si>
  <si>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</si>
  <si>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</si>
  <si>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</si>
  <si>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</si>
  <si>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</si>
  <si>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</si>
  <si>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</si>
  <si>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</si>
  <si>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</si>
  <si>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</si>
  <si>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</si>
  <si>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</si>
  <si>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</si>
  <si>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</si>
  <si>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</si>
  <si>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</si>
  <si>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</si>
  <si>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</si>
  <si>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</si>
  <si>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</si>
  <si>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</si>
  <si>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</si>
  <si>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</si>
  <si>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</si>
  <si>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</si>
  <si>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</si>
  <si>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</si>
  <si>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</si>
  <si>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</si>
  <si>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</si>
  <si>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</si>
  <si>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</si>
  <si>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</si>
  <si>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</si>
  <si>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</si>
  <si>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</si>
  <si>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</si>
  <si>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</si>
  <si>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</si>
  <si>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</si>
  <si>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</si>
  <si>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</si>
  <si>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</si>
  <si>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</si>
  <si>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</si>
  <si>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</si>
  <si>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</si>
  <si>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</si>
  <si>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</si>
  <si>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</si>
  <si>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</si>
  <si>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</si>
  <si>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</si>
  <si>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</si>
  <si>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</si>
  <si>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</si>
  <si>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</si>
  <si>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</si>
  <si>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</si>
  <si>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</si>
  <si>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June 17, 2021 Version</t>
  </si>
  <si>
    <t xml:space="preserve">Housing Authority of the City of Fresno, CA </t>
  </si>
  <si>
    <t xml:space="preserve">Angelina Nguyen </t>
  </si>
  <si>
    <t>Housing Authority of the City of Fresno</t>
  </si>
  <si>
    <t>Thomas Esqueda</t>
  </si>
  <si>
    <t xml:space="preserve">2600 Fresno Street </t>
  </si>
  <si>
    <t xml:space="preserve">Fresno </t>
  </si>
  <si>
    <t>559-621-7770</t>
  </si>
  <si>
    <t xml:space="preserve">thomas.esqueda@fresno.gov </t>
  </si>
  <si>
    <t xml:space="preserve">7521 N. Chestnut Avenue </t>
  </si>
  <si>
    <t>40%/60% Average Income</t>
  </si>
  <si>
    <t xml:space="preserve">1331 Fulton Street </t>
  </si>
  <si>
    <t>CA</t>
  </si>
  <si>
    <t>559-513-5848</t>
  </si>
  <si>
    <t>559-445-8985</t>
  </si>
  <si>
    <t>mduarte@fresnohousing.org</t>
  </si>
  <si>
    <t>Administrative GP</t>
  </si>
  <si>
    <t xml:space="preserve">Silvercrest, Inc. </t>
  </si>
  <si>
    <t>Managing GP</t>
  </si>
  <si>
    <t xml:space="preserve">Michael Duarte </t>
  </si>
  <si>
    <t xml:space="preserve">General Partner/ Developer </t>
  </si>
  <si>
    <t>1331 Fulton Street</t>
  </si>
  <si>
    <t>Fresno, CA 93721</t>
  </si>
  <si>
    <t xml:space="preserve">mduarte@fresnohousing.org </t>
  </si>
  <si>
    <t>Ballard Spahr LLP</t>
  </si>
  <si>
    <t xml:space="preserve">300 E. Lombardi </t>
  </si>
  <si>
    <t>Baltimore, MD 21202</t>
  </si>
  <si>
    <t>Teri M. Guarnaccia</t>
  </si>
  <si>
    <t>410-528-5523</t>
  </si>
  <si>
    <t>410-528-5650</t>
  </si>
  <si>
    <t>guarnacciat@ballardspahr.com</t>
  </si>
  <si>
    <t>Novogradac LLP</t>
  </si>
  <si>
    <t xml:space="preserve">2033 Main Street, Suite 400 </t>
  </si>
  <si>
    <t>Walnut Creek, CA 94596</t>
  </si>
  <si>
    <t>925-949-4301</t>
  </si>
  <si>
    <t>alexis.ruane@novoco.com</t>
  </si>
  <si>
    <t xml:space="preserve">Novogradac LLP </t>
  </si>
  <si>
    <t xml:space="preserve">alexis.ruane@novoco.com </t>
  </si>
  <si>
    <t xml:space="preserve">California Housing Partnership </t>
  </si>
  <si>
    <t>369 Pine Street, Suite 300</t>
  </si>
  <si>
    <t>San Francisco, CA 94104</t>
  </si>
  <si>
    <t>415-715-7867</t>
  </si>
  <si>
    <t>tngo@chpc.net</t>
  </si>
  <si>
    <t xml:space="preserve">N/A </t>
  </si>
  <si>
    <t>R.L. Davidson, Inc.</t>
  </si>
  <si>
    <t xml:space="preserve">425 Spruce Ave. </t>
  </si>
  <si>
    <t>Clovis, CA 93611</t>
  </si>
  <si>
    <t>Robert L. Davidson</t>
  </si>
  <si>
    <t>559-435-3303</t>
  </si>
  <si>
    <t>bob@rldavidson.com</t>
  </si>
  <si>
    <t xml:space="preserve">TBD </t>
  </si>
  <si>
    <t xml:space="preserve">Melas Engineering </t>
  </si>
  <si>
    <t xml:space="preserve">547 Uren Street </t>
  </si>
  <si>
    <t>Nevada City, CA 95959</t>
  </si>
  <si>
    <t>Chris Miller</t>
  </si>
  <si>
    <t>530-267-2492</t>
  </si>
  <si>
    <t>530-267-2273</t>
  </si>
  <si>
    <t xml:space="preserve">chris@melasenergy.com </t>
  </si>
  <si>
    <t xml:space="preserve">1501 Sports Dr. </t>
  </si>
  <si>
    <t>Sacramento, CA 95834</t>
  </si>
  <si>
    <t>916-372-6100</t>
  </si>
  <si>
    <t>916-419-6108</t>
  </si>
  <si>
    <t>swilliams@laurinassociates.com</t>
  </si>
  <si>
    <t xml:space="preserve">Fresno Housing Authority </t>
  </si>
  <si>
    <t>Angelina Nguyen</t>
  </si>
  <si>
    <t>Interim CEO/ Chief Programs Officer</t>
  </si>
  <si>
    <t>559-443-8492</t>
  </si>
  <si>
    <t xml:space="preserve">  Neighborhood Commercial, 12 u/a </t>
  </si>
  <si>
    <t>35'</t>
  </si>
  <si>
    <t xml:space="preserve">SB 35 </t>
  </si>
  <si>
    <t xml:space="preserve">City of Fresno Loan </t>
  </si>
  <si>
    <t xml:space="preserve">NPLH Capital </t>
  </si>
  <si>
    <t>Air Conditioning</t>
  </si>
  <si>
    <t>Misc. Admin.</t>
  </si>
  <si>
    <t xml:space="preserve">Save Mart </t>
  </si>
  <si>
    <t>Fresno, 93720</t>
  </si>
  <si>
    <t xml:space="preserve">Ellia Karres </t>
  </si>
  <si>
    <t xml:space="preserve">Bob Belcher Park </t>
  </si>
  <si>
    <t xml:space="preserve">2158 E Alluvial </t>
  </si>
  <si>
    <t xml:space="preserve">Fresno, </t>
  </si>
  <si>
    <t xml:space="preserve">Mountain View Elementary </t>
  </si>
  <si>
    <t>2002 E Alluvial Avenue</t>
  </si>
  <si>
    <t xml:space="preserve">0.2 Miles </t>
  </si>
  <si>
    <t xml:space="preserve">CVS Pharmacy </t>
  </si>
  <si>
    <t xml:space="preserve">1107 N Willow </t>
  </si>
  <si>
    <t>https://www.savemart.com/stores/willow-87/4970</t>
  </si>
  <si>
    <t xml:space="preserve">PARCS Administrator </t>
  </si>
  <si>
    <t>559-621-2900</t>
  </si>
  <si>
    <t xml:space="preserve"> www.fresno.gov/parks </t>
  </si>
  <si>
    <t xml:space="preserve">Michael Johnston </t>
  </si>
  <si>
    <t>559-327-5000</t>
  </si>
  <si>
    <t>https://mv.cusd.com/mountainviewelementaryschool_home.aspx</t>
  </si>
  <si>
    <t>Clovis, 93611</t>
  </si>
  <si>
    <t>559-322-0340</t>
  </si>
  <si>
    <t>Cash</t>
  </si>
  <si>
    <t xml:space="preserve">Assisted Housing Division </t>
  </si>
  <si>
    <t xml:space="preserve">MOU </t>
  </si>
  <si>
    <t xml:space="preserve">Cash </t>
  </si>
  <si>
    <t>84 Hours/YR</t>
  </si>
  <si>
    <t xml:space="preserve">Avalon Commons - Phase I </t>
  </si>
  <si>
    <t xml:space="preserve">Laurin &amp; Associates </t>
  </si>
  <si>
    <t>Construction Loan</t>
  </si>
  <si>
    <t>City of Fresno Loan</t>
  </si>
  <si>
    <t>NPLH Capital</t>
  </si>
  <si>
    <t>20</t>
  </si>
  <si>
    <t>Variable</t>
  </si>
  <si>
    <t>Fixed</t>
  </si>
  <si>
    <t xml:space="preserve">Cost Deferred Until Conversion </t>
  </si>
  <si>
    <t>Accrued/Deferred Interest</t>
  </si>
  <si>
    <t>LP Equity</t>
  </si>
  <si>
    <t>Payroll Taxes/Benefits</t>
  </si>
  <si>
    <t>City of Fresno</t>
  </si>
  <si>
    <t>HCD NPLH Capital</t>
  </si>
  <si>
    <t>None</t>
  </si>
  <si>
    <t>interest only</t>
  </si>
  <si>
    <t>residual</t>
  </si>
  <si>
    <t>Other: Acq title/recording</t>
  </si>
  <si>
    <t>Other: Bond premium</t>
  </si>
  <si>
    <t>Other: Special Inspections</t>
  </si>
  <si>
    <t>Other: Owner Legal</t>
  </si>
  <si>
    <t>Other: Lease-up Expenses</t>
  </si>
  <si>
    <t>Other: lender expenses</t>
  </si>
  <si>
    <t>No Place Like Home</t>
  </si>
  <si>
    <t>1 bedroom</t>
  </si>
  <si>
    <t>2 bedroom</t>
  </si>
  <si>
    <t>Draw from Capitalized Operating Reserve</t>
  </si>
  <si>
    <t>Silvercrest, Inc.</t>
  </si>
  <si>
    <t>Secretary/Director</t>
  </si>
  <si>
    <t>June</t>
  </si>
  <si>
    <t>anguyen@fresnohousing.org</t>
  </si>
  <si>
    <t>559-443-8439</t>
  </si>
  <si>
    <t>Fiona Tang</t>
  </si>
  <si>
    <t>925-949-4248</t>
  </si>
  <si>
    <t>TBD</t>
  </si>
  <si>
    <t>GSF Properties</t>
  </si>
  <si>
    <t>One or Two Story Garden</t>
  </si>
  <si>
    <t xml:space="preserve">RS-5 Residential Medium Density, 15/a </t>
  </si>
  <si>
    <t>Housing Relinquished Fund Loan</t>
  </si>
  <si>
    <t>Housing Relinquished Fund Corp Loan</t>
  </si>
  <si>
    <t>Residual Receipts</t>
  </si>
  <si>
    <t>Cost Deferred</t>
  </si>
  <si>
    <t>Housing Relinquished Fund Corp</t>
  </si>
  <si>
    <t>Low-Income Public Housing</t>
  </si>
  <si>
    <t>Jennifer Craig</t>
  </si>
  <si>
    <t>314-662-7533</t>
  </si>
  <si>
    <t xml:space="preserve">Thomas Esqueda </t>
  </si>
  <si>
    <t>559-621-7768</t>
  </si>
  <si>
    <t>1331 Fulton street</t>
  </si>
  <si>
    <t>621 Capitol Mall, Suite 800</t>
  </si>
  <si>
    <t>2020 West El Camino</t>
  </si>
  <si>
    <t>George Rodine</t>
  </si>
  <si>
    <t>916-263-6105</t>
  </si>
  <si>
    <t>2600 Fresno street</t>
  </si>
  <si>
    <t xml:space="preserve">Thai-An Ngo </t>
  </si>
  <si>
    <t>US Bank Construction Loan</t>
  </si>
  <si>
    <t>Misc Janitorial/O&amp;M/supplies</t>
  </si>
  <si>
    <t>404-071-50</t>
  </si>
  <si>
    <t>6485 N. Palm Ave, Unit 101</t>
  </si>
  <si>
    <t>Fresno, Ca 93704</t>
  </si>
  <si>
    <t>Dan McCoy</t>
  </si>
  <si>
    <t>559-440-1974</t>
  </si>
  <si>
    <t>DMcCoy@gsfpi.com</t>
  </si>
  <si>
    <t>County of Fresno Dept. of behavioral Health</t>
  </si>
  <si>
    <t xml:space="preserve">MOU/Commitment Letter </t>
  </si>
  <si>
    <t xml:space="preserve">Stefanie Williams </t>
  </si>
  <si>
    <t>Administrative Costs</t>
  </si>
  <si>
    <t>Health or Behaviorial Health (7 units only)</t>
  </si>
  <si>
    <t>In-Kind</t>
  </si>
  <si>
    <t xml:space="preserve">0.43 Miles </t>
  </si>
  <si>
    <t>0.64 Miles</t>
  </si>
  <si>
    <t>https://www.cvs.com/store-locator/clovis-ca-pharmacies/1107-n-willow-ave-clovis-ca-93611/storeid=3940</t>
  </si>
  <si>
    <t xml:space="preserve">Residual Receipts </t>
  </si>
  <si>
    <t>Michael Duarte</t>
  </si>
  <si>
    <t>GSF Properties, Inc.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</si>
</sst>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8">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9"/>
      <color rgb="FF000000"/>
      <name val="Tahoma"/>
      <family val="2"/>
    </font>
    <font>
      <sz val="11"/>
      <color rgb="FF000000"/>
      <name val="Arial"/>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4" fillId="0" borderId="0" applyFont="0" applyFill="0" applyBorder="0" applyAlignment="0" applyProtection="0"/>
    <xf numFmtId="43" fontId="12" fillId="0" borderId="0" applyFont="0" applyFill="0" applyBorder="0" applyAlignment="0" applyProtection="0"/>
    <xf numFmtId="43" fontId="64"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2"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2"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alignment vertical="top"/>
      <protection locked="0"/>
    </xf>
    <xf numFmtId="0" fontId="98"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4" fillId="0" borderId="0"/>
    <xf numFmtId="0" fontId="101" fillId="0" borderId="0"/>
    <xf numFmtId="0" fontId="64" fillId="0" borderId="0"/>
    <xf numFmtId="0" fontId="64" fillId="0" borderId="0"/>
    <xf numFmtId="0" fontId="12" fillId="0" borderId="0"/>
    <xf numFmtId="0" fontId="12"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4" fillId="0" borderId="0"/>
    <xf numFmtId="170" fontId="65" fillId="0" borderId="0"/>
    <xf numFmtId="0" fontId="88" fillId="0" borderId="0"/>
    <xf numFmtId="0" fontId="12" fillId="0" borderId="0"/>
    <xf numFmtId="0" fontId="12" fillId="0" borderId="0"/>
    <xf numFmtId="0" fontId="71" fillId="0" borderId="0"/>
    <xf numFmtId="0" fontId="64" fillId="0" borderId="0"/>
    <xf numFmtId="0" fontId="71" fillId="0" borderId="0"/>
    <xf numFmtId="0" fontId="12" fillId="0" borderId="0"/>
    <xf numFmtId="0" fontId="64" fillId="0" borderId="0"/>
    <xf numFmtId="0" fontId="75" fillId="0" borderId="0"/>
    <xf numFmtId="0" fontId="64" fillId="0" borderId="0"/>
    <xf numFmtId="0" fontId="88" fillId="0" borderId="0"/>
    <xf numFmtId="0" fontId="64"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5" fillId="0" borderId="0"/>
    <xf numFmtId="0" fontId="88" fillId="0" borderId="0"/>
    <xf numFmtId="0" fontId="88" fillId="0" borderId="0"/>
    <xf numFmtId="0" fontId="88" fillId="0" borderId="0"/>
    <xf numFmtId="0" fontId="88" fillId="0" borderId="0"/>
    <xf numFmtId="0" fontId="64"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4" fillId="0" borderId="0"/>
    <xf numFmtId="0" fontId="88" fillId="0" borderId="0"/>
    <xf numFmtId="0" fontId="88" fillId="0" borderId="0"/>
    <xf numFmtId="0" fontId="88" fillId="0" borderId="0"/>
    <xf numFmtId="0" fontId="88" fillId="0" borderId="0"/>
    <xf numFmtId="0" fontId="75" fillId="0" borderId="0"/>
    <xf numFmtId="0" fontId="64" fillId="0" borderId="0">
      <alignment vertical="top"/>
    </xf>
    <xf numFmtId="0" fontId="88" fillId="0" borderId="0"/>
    <xf numFmtId="0" fontId="88" fillId="0" borderId="0"/>
    <xf numFmtId="0" fontId="88" fillId="0" borderId="0"/>
    <xf numFmtId="0" fontId="88" fillId="0" borderId="0"/>
    <xf numFmtId="0" fontId="75" fillId="0" borderId="0"/>
    <xf numFmtId="0" fontId="12" fillId="0" borderId="0"/>
    <xf numFmtId="0" fontId="88" fillId="0" borderId="0"/>
    <xf numFmtId="0" fontId="12" fillId="0" borderId="0"/>
    <xf numFmtId="0" fontId="88" fillId="0" borderId="0"/>
    <xf numFmtId="0" fontId="88" fillId="0" borderId="0"/>
    <xf numFmtId="0" fontId="88" fillId="0" borderId="0"/>
    <xf numFmtId="0" fontId="88"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8" fillId="0" borderId="0"/>
    <xf numFmtId="0" fontId="64"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1"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2" fillId="0" borderId="0"/>
    <xf numFmtId="0" fontId="64" fillId="0" borderId="0">
      <alignment vertical="top"/>
    </xf>
    <xf numFmtId="0" fontId="88" fillId="0" borderId="0"/>
    <xf numFmtId="0" fontId="88" fillId="0" borderId="0"/>
    <xf numFmtId="0" fontId="88" fillId="0" borderId="0"/>
    <xf numFmtId="0" fontId="88" fillId="0" borderId="0"/>
    <xf numFmtId="0" fontId="12"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1"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2"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2"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2" fillId="0" borderId="0"/>
    <xf numFmtId="0" fontId="88" fillId="0" borderId="0"/>
    <xf numFmtId="0" fontId="88" fillId="0" borderId="0"/>
    <xf numFmtId="0" fontId="88" fillId="0" borderId="0"/>
    <xf numFmtId="0" fontId="3" fillId="0" borderId="0" applyProtection="0">
      <protection locked="0"/>
    </xf>
    <xf numFmtId="0" fontId="12" fillId="0" borderId="0" applyProtection="0">
      <protection locked="0"/>
    </xf>
    <xf numFmtId="0" fontId="12" fillId="0" borderId="0" applyProtection="0">
      <protection locked="0"/>
    </xf>
    <xf numFmtId="0" fontId="65" fillId="0" borderId="0"/>
    <xf numFmtId="0" fontId="3" fillId="0" borderId="0"/>
    <xf numFmtId="0" fontId="12" fillId="0" borderId="0"/>
    <xf numFmtId="0" fontId="7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8"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71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57"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17" xfId="0" applyFont="1" applyFill="1" applyBorder="1" applyProtection="1">
      <protection locked="0"/>
    </xf>
    <xf numFmtId="169" fontId="8" fillId="7" borderId="17" xfId="0" applyNumberFormat="1"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55" fillId="0" borderId="0" xfId="0" applyFont="1" applyBorder="1" applyProtection="1">
      <protection locked="0"/>
    </xf>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2" fillId="0" borderId="0" xfId="0" applyNumberFormat="1" applyFont="1" applyFill="1" applyBorder="1" applyAlignment="1" applyProtection="1"/>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7" fillId="0" borderId="0" xfId="273" applyFont="1"/>
    <xf numFmtId="169" fontId="8" fillId="0" borderId="0" xfId="273" applyNumberFormat="1" applyFont="1"/>
    <xf numFmtId="10" fontId="8" fillId="0" borderId="0" xfId="273" applyNumberFormat="1" applyFont="1" applyAlignment="1">
      <alignment horizontal="center"/>
    </xf>
    <xf numFmtId="3" fontId="72" fillId="0" borderId="0" xfId="273" applyNumberFormat="1" applyFont="1"/>
    <xf numFmtId="3" fontId="8"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72"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3"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5"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7" fillId="0" borderId="0" xfId="273" applyFont="1" applyFill="1" applyProtection="1"/>
    <xf numFmtId="0" fontId="57"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7"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8" fillId="0" borderId="2" xfId="273" applyNumberFormat="1" applyFont="1" applyBorder="1" applyAlignment="1" applyProtection="1"/>
    <xf numFmtId="0" fontId="57" fillId="0" borderId="5" xfId="273" applyFont="1" applyBorder="1" applyAlignment="1" applyProtection="1">
      <alignment horizontal="right"/>
    </xf>
    <xf numFmtId="0" fontId="8"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7"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82"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82" fillId="0" borderId="0" xfId="0" applyFont="1" applyProtection="1"/>
    <xf numFmtId="0" fontId="4" fillId="0" borderId="0" xfId="245" quotePrefix="1" applyAlignment="1" applyProtection="1">
      <alignment horizontal="left"/>
    </xf>
    <xf numFmtId="0" fontId="107"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5"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9"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7"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8" fillId="0" borderId="0" xfId="0" applyFont="1" applyBorder="1" applyAlignment="1">
      <alignment horizontal="left" vertical="center" wrapText="1"/>
    </xf>
    <xf numFmtId="0" fontId="26"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57"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112"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7"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6"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7"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8" fillId="0" borderId="0" xfId="273" applyFont="1" applyBorder="1" applyAlignment="1" applyProtection="1">
      <alignment wrapText="1"/>
    </xf>
    <xf numFmtId="0" fontId="57"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9" fillId="0" borderId="0" xfId="273" applyFont="1" applyAlignment="1" applyProtection="1">
      <alignment horizontal="center" vertical="top"/>
    </xf>
    <xf numFmtId="0" fontId="108"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7"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3" borderId="0" xfId="0" applyNumberFormat="1" applyFont="1" applyFill="1"/>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10"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10"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29" fillId="0" borderId="0" xfId="575" applyFont="1"/>
    <xf numFmtId="0" fontId="129" fillId="0" borderId="0" xfId="575" applyFont="1" applyAlignment="1">
      <alignment wrapText="1"/>
    </xf>
    <xf numFmtId="0" fontId="130" fillId="0" borderId="0" xfId="575" applyFont="1"/>
    <xf numFmtId="0" fontId="129" fillId="0" borderId="0" xfId="575" applyFont="1" applyBorder="1"/>
    <xf numFmtId="0" fontId="129" fillId="0" borderId="0" xfId="575" applyFont="1" applyFill="1" applyBorder="1"/>
    <xf numFmtId="180" fontId="131" fillId="0" borderId="0" xfId="576" applyNumberFormat="1" applyFont="1"/>
    <xf numFmtId="0" fontId="132" fillId="0" borderId="0" xfId="575" applyFont="1" applyAlignment="1">
      <alignment vertical="center" wrapText="1"/>
    </xf>
    <xf numFmtId="0" fontId="4" fillId="0" borderId="0" xfId="245" applyFont="1"/>
    <xf numFmtId="49" fontId="129" fillId="0" borderId="0" xfId="575" applyNumberFormat="1" applyFont="1" applyAlignment="1">
      <alignment horizontal="center"/>
    </xf>
    <xf numFmtId="169" fontId="129" fillId="0" borderId="0" xfId="577" applyNumberFormat="1" applyFont="1" applyFill="1" applyBorder="1" applyAlignment="1">
      <alignment vertical="center"/>
    </xf>
    <xf numFmtId="0" fontId="129" fillId="0" borderId="0" xfId="575" applyFont="1" applyFill="1" applyAlignment="1"/>
    <xf numFmtId="181" fontId="129" fillId="0" borderId="0" xfId="575" applyNumberFormat="1" applyFont="1"/>
    <xf numFmtId="181" fontId="129" fillId="0" borderId="0" xfId="575" applyNumberFormat="1" applyFont="1" applyFill="1" applyBorder="1"/>
    <xf numFmtId="0" fontId="129" fillId="0" borderId="0" xfId="575" applyFont="1" applyAlignment="1">
      <alignment horizontal="center"/>
    </xf>
    <xf numFmtId="0" fontId="129" fillId="0" borderId="0" xfId="575" applyFont="1" applyFill="1" applyBorder="1" applyAlignment="1">
      <alignment horizontal="center"/>
    </xf>
    <xf numFmtId="0" fontId="134" fillId="0" borderId="0" xfId="575" applyFont="1" applyFill="1"/>
    <xf numFmtId="0" fontId="135" fillId="0" borderId="0" xfId="575" applyFont="1" applyFill="1"/>
    <xf numFmtId="0" fontId="129" fillId="0" borderId="0" xfId="575" applyFont="1" applyFill="1"/>
    <xf numFmtId="0" fontId="129" fillId="0" borderId="0" xfId="575" applyFont="1" applyFill="1" applyAlignment="1">
      <alignment horizontal="left"/>
    </xf>
    <xf numFmtId="2" fontId="129" fillId="0" borderId="0" xfId="575" applyNumberFormat="1" applyFont="1" applyFill="1" applyBorder="1" applyAlignment="1">
      <alignment horizontal="center"/>
    </xf>
    <xf numFmtId="180" fontId="129" fillId="0" borderId="0" xfId="575" applyNumberFormat="1" applyFont="1"/>
    <xf numFmtId="0" fontId="130" fillId="0" borderId="0" xfId="575" applyFont="1" applyFill="1" applyBorder="1"/>
    <xf numFmtId="7" fontId="130" fillId="0" borderId="0" xfId="575" applyNumberFormat="1" applyFont="1" applyFill="1" applyBorder="1"/>
    <xf numFmtId="165" fontId="131" fillId="0" borderId="0" xfId="577" applyNumberFormat="1" applyFont="1"/>
    <xf numFmtId="165" fontId="131" fillId="0" borderId="0" xfId="577" applyNumberFormat="1" applyFont="1" applyFill="1" applyBorder="1"/>
    <xf numFmtId="0" fontId="129" fillId="0" borderId="0" xfId="575" applyFont="1" applyFill="1" applyAlignment="1">
      <alignment vertical="top" wrapText="1"/>
    </xf>
    <xf numFmtId="0" fontId="3" fillId="52" borderId="0" xfId="574" applyFill="1" applyBorder="1" applyProtection="1"/>
    <xf numFmtId="0" fontId="3" fillId="52" borderId="0" xfId="766" applyFill="1" applyBorder="1" applyProtection="1"/>
    <xf numFmtId="0" fontId="3" fillId="52" borderId="0" xfId="766" applyFill="1" applyBorder="1" applyProtection="1"/>
    <xf numFmtId="0" fontId="3" fillId="52" borderId="0" xfId="766" applyFont="1" applyFill="1" applyBorder="1" applyProtection="1"/>
    <xf numFmtId="169" fontId="129" fillId="0" borderId="0" xfId="577" applyNumberFormat="1" applyFont="1" applyFill="1" applyBorder="1" applyAlignment="1" applyProtection="1">
      <alignment vertical="center"/>
    </xf>
    <xf numFmtId="5" fontId="129" fillId="53" borderId="5" xfId="164" applyNumberFormat="1" applyFont="1" applyFill="1" applyBorder="1" applyAlignment="1" applyProtection="1">
      <protection locked="0"/>
    </xf>
    <xf numFmtId="0" fontId="130" fillId="0" borderId="0" xfId="575" applyFont="1" applyAlignment="1">
      <alignment wrapText="1"/>
    </xf>
    <xf numFmtId="0" fontId="10" fillId="0" borderId="0" xfId="546" applyFont="1" applyFill="1" applyProtection="1"/>
    <xf numFmtId="169" fontId="26" fillId="0" borderId="12" xfId="0" applyNumberFormat="1" applyFont="1" applyBorder="1" applyAlignment="1" applyProtection="1">
      <alignment vertical="top" wrapText="1"/>
      <protection locked="0"/>
    </xf>
    <xf numFmtId="2" fontId="3" fillId="0" borderId="12" xfId="273" applyNumberFormat="1" applyFont="1" applyFill="1" applyBorder="1" applyAlignment="1">
      <alignment horizontal="center"/>
    </xf>
    <xf numFmtId="10" fontId="12" fillId="0" borderId="0" xfId="573" applyNumberFormat="1" applyFont="1" applyAlignment="1">
      <alignment horizontal="center"/>
    </xf>
    <xf numFmtId="3" fontId="57" fillId="0" borderId="0" xfId="273" applyNumberFormat="1" applyFont="1"/>
    <xf numFmtId="0" fontId="3" fillId="0" borderId="0" xfId="273" applyNumberFormat="1" applyFont="1"/>
    <xf numFmtId="1" fontId="8" fillId="7" borderId="5" xfId="0" applyNumberFormat="1" applyFont="1" applyFill="1" applyBorder="1" applyAlignment="1" applyProtection="1">
      <alignment horizontal="left" vertical="center" wrapText="1"/>
      <protection locked="0"/>
    </xf>
    <xf numFmtId="169" fontId="40" fillId="7" borderId="0" xfId="273" applyNumberFormat="1" applyFont="1" applyFill="1"/>
    <xf numFmtId="0" fontId="5" fillId="47" borderId="0" xfId="273" applyFont="1" applyFill="1"/>
    <xf numFmtId="10" fontId="5" fillId="47" borderId="0" xfId="273" applyNumberFormat="1" applyFont="1" applyFill="1" applyAlignment="1">
      <alignment horizontal="center"/>
    </xf>
    <xf numFmtId="3" fontId="5" fillId="47" borderId="0" xfId="273" applyNumberFormat="1" applyFont="1" applyFill="1"/>
    <xf numFmtId="0" fontId="5" fillId="47" borderId="0" xfId="0" applyFont="1" applyFill="1"/>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3"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10"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12" fillId="0" borderId="0" xfId="0" applyFont="1" applyAlignment="1" applyProtection="1">
      <alignment horizontal="left" vertical="top" wrapText="1"/>
    </xf>
    <xf numFmtId="0" fontId="3" fillId="0" borderId="0" xfId="0" applyFont="1" applyAlignment="1">
      <alignment horizontal="left" vertical="top" wrapText="1"/>
    </xf>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xf>
    <xf numFmtId="0" fontId="4" fillId="0" borderId="0" xfId="245"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22" fillId="0" borderId="0" xfId="0" applyFont="1" applyAlignment="1">
      <alignment horizontal="left"/>
    </xf>
    <xf numFmtId="0" fontId="3" fillId="0" borderId="0" xfId="0" applyFont="1" applyAlignment="1">
      <alignment horizontal="left" vertical="top"/>
    </xf>
    <xf numFmtId="0" fontId="12" fillId="0" borderId="0" xfId="0" applyFont="1" applyAlignment="1">
      <alignment horizontal="left" vertical="top"/>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4" xfId="0" applyFont="1" applyBorder="1" applyAlignment="1" applyProtection="1">
      <alignment horizontal="left"/>
    </xf>
    <xf numFmtId="0" fontId="10" fillId="0" borderId="0" xfId="0" applyFont="1" applyBorder="1" applyAlignment="1">
      <alignment horizontal="left" vertical="top"/>
    </xf>
    <xf numFmtId="4" fontId="3" fillId="0" borderId="0" xfId="0"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10" fillId="0" borderId="0" xfId="0" applyFont="1" applyAlignment="1">
      <alignment horizontal="left" vertical="top"/>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22"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3"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4" fontId="12" fillId="0" borderId="0" xfId="273" applyNumberFormat="1" applyFont="1" applyAlignment="1" applyProtection="1">
      <alignment horizontal="left" vertical="top" wrapText="1"/>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0" fontId="10" fillId="0" borderId="0" xfId="0" applyFon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2" fillId="0" borderId="0" xfId="259" applyFont="1" applyFill="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3" fillId="0" borderId="0" xfId="0" applyFont="1" applyAlignment="1">
      <alignment horizontal="left"/>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12" fillId="7" borderId="5" xfId="0" applyFont="1" applyFill="1" applyBorder="1" applyAlignment="1" applyProtection="1">
      <alignment horizontal="left"/>
      <protection locked="0"/>
    </xf>
    <xf numFmtId="0" fontId="3" fillId="7" borderId="5" xfId="245" applyFont="1" applyFill="1" applyBorder="1" applyAlignment="1" applyProtection="1">
      <alignment horizontal="left"/>
      <protection locked="0"/>
    </xf>
    <xf numFmtId="0" fontId="0" fillId="7" borderId="5" xfId="0"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0" fontId="3" fillId="7" borderId="5"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3" fillId="7" borderId="3" xfId="0" applyFont="1" applyFill="1" applyBorder="1" applyAlignment="1" applyProtection="1">
      <alignment horizontal="left"/>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12" xfId="0" applyNumberForma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169" fontId="0" fillId="7" borderId="12" xfId="0" applyNumberFormat="1" applyFill="1" applyBorder="1" applyAlignment="1" applyProtection="1">
      <protection locked="0"/>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69" fontId="0" fillId="0" borderId="12" xfId="0" applyNumberFormat="1" applyFill="1" applyBorder="1" applyAlignment="1" applyProtection="1">
      <alignment horizontal="center"/>
    </xf>
    <xf numFmtId="169" fontId="0" fillId="7" borderId="12" xfId="0" applyNumberFormat="1" applyFill="1" applyBorder="1" applyAlignment="1" applyProtection="1">
      <alignment horizontal="center"/>
      <protection locked="0"/>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0" fontId="12" fillId="7" borderId="5" xfId="0"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0" fillId="0" borderId="3" xfId="0" applyBorder="1" applyAlignment="1" applyProtection="1">
      <alignment horizontal="left"/>
    </xf>
    <xf numFmtId="0" fontId="0" fillId="0" borderId="4" xfId="0" applyBorder="1" applyAlignment="1" applyProtection="1">
      <alignment horizontal="left"/>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 fontId="3" fillId="0" borderId="0" xfId="546" applyNumberFormat="1" applyFont="1" applyAlignment="1" applyProtection="1">
      <alignment horizontal="center"/>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11" fillId="53"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5" xfId="0" applyFont="1" applyFill="1" applyBorder="1" applyAlignment="1" applyProtection="1">
      <alignment horizontal="left" wrapText="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12" fillId="0" borderId="3" xfId="0" applyFont="1" applyBorder="1" applyAlignment="1" applyProtection="1">
      <alignment horizontal="left"/>
    </xf>
    <xf numFmtId="0" fontId="3" fillId="0" borderId="12" xfId="0"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0" fillId="7" borderId="8" xfId="0"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9" xfId="0" applyBorder="1" applyAlignment="1" applyProtection="1">
      <alignment horizontal="left"/>
    </xf>
    <xf numFmtId="0" fontId="0" fillId="0" borderId="5" xfId="0" applyBorder="1" applyAlignment="1" applyProtection="1">
      <alignment horizontal="left"/>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3" fillId="0" borderId="12" xfId="0" applyFont="1" applyFill="1" applyBorder="1" applyAlignment="1" applyProtection="1">
      <alignment horizontal="center" vertical="top" wrapText="1"/>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 fontId="0" fillId="53" borderId="3"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3" fillId="7" borderId="12" xfId="0" applyNumberFormat="1"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12" fillId="7" borderId="12" xfId="0"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9" fontId="12" fillId="0" borderId="12" xfId="0" applyNumberFormat="1" applyFont="1" applyFill="1" applyBorder="1" applyAlignment="1" applyProtection="1">
      <alignment horizontal="center"/>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3" borderId="3" xfId="0" applyNumberFormat="1" applyFont="1" applyFill="1" applyBorder="1" applyAlignment="1" applyProtection="1">
      <alignment horizontal="center"/>
      <protection locked="0"/>
    </xf>
    <xf numFmtId="1" fontId="11" fillId="53" borderId="4" xfId="0" applyNumberFormat="1" applyFont="1" applyFill="1" applyBorder="1" applyAlignment="1" applyProtection="1">
      <alignment horizontal="center"/>
      <protection locked="0"/>
    </xf>
    <xf numFmtId="1" fontId="11" fillId="53" borderId="8" xfId="0" applyNumberFormat="1" applyFont="1" applyFill="1" applyBorder="1" applyAlignment="1" applyProtection="1">
      <alignment horizontal="center"/>
      <protection locked="0"/>
    </xf>
    <xf numFmtId="169" fontId="3" fillId="53" borderId="3"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0" xfId="273" applyFont="1" applyFill="1" applyBorder="1" applyAlignment="1" applyProtection="1">
      <alignment horizontal="left" vertical="top" wrapText="1"/>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3" fontId="0" fillId="7" borderId="3" xfId="0"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3" borderId="5" xfId="0" applyFont="1" applyFill="1" applyBorder="1" applyAlignment="1" applyProtection="1">
      <alignment horizontal="left"/>
      <protection locked="0"/>
    </xf>
    <xf numFmtId="0" fontId="0" fillId="53" borderId="5" xfId="0" applyFill="1" applyBorder="1" applyAlignment="1" applyProtection="1">
      <alignment horizontal="left"/>
      <protection locked="0"/>
    </xf>
    <xf numFmtId="0" fontId="0" fillId="53"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169" fontId="0" fillId="0" borderId="12" xfId="0" applyNumberFormat="1" applyFill="1" applyBorder="1" applyAlignment="1" applyProtection="1"/>
    <xf numFmtId="0" fontId="10" fillId="7" borderId="12" xfId="0"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0" fontId="10" fillId="0" borderId="5" xfId="0" applyFont="1" applyBorder="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128" fillId="0" borderId="7" xfId="546" applyFont="1" applyBorder="1" applyAlignment="1" applyProtection="1">
      <alignment horizontal="center" vertical="center" wrapText="1"/>
    </xf>
    <xf numFmtId="0" fontId="128" fillId="0" borderId="0" xfId="546" applyFont="1" applyBorder="1" applyAlignment="1" applyProtection="1">
      <alignment horizontal="center" vertical="center" wrapText="1"/>
    </xf>
    <xf numFmtId="0" fontId="128" fillId="0" borderId="13" xfId="546" applyFont="1" applyBorder="1" applyAlignment="1" applyProtection="1">
      <alignment horizontal="center" vertical="center" wrapText="1"/>
    </xf>
    <xf numFmtId="0" fontId="128" fillId="0" borderId="9" xfId="546" applyFont="1" applyBorder="1" applyAlignment="1" applyProtection="1">
      <alignment horizontal="center" vertical="center" wrapText="1"/>
    </xf>
    <xf numFmtId="0" fontId="128" fillId="0" borderId="5" xfId="546" applyFont="1" applyBorder="1" applyAlignment="1" applyProtection="1">
      <alignment horizontal="center" vertical="center" wrapText="1"/>
    </xf>
    <xf numFmtId="0" fontId="128" fillId="0" borderId="10" xfId="546" applyFont="1" applyBorder="1" applyAlignment="1" applyProtection="1">
      <alignment horizontal="center" vertical="center"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30" fillId="0" borderId="7" xfId="546" applyFont="1" applyBorder="1" applyAlignment="1" applyProtection="1">
      <alignment horizontal="center" vertical="center" wrapText="1"/>
    </xf>
    <xf numFmtId="0" fontId="30" fillId="0" borderId="0" xfId="546" applyFont="1" applyBorder="1" applyAlignment="1" applyProtection="1">
      <alignment horizontal="center" vertical="center" wrapText="1"/>
    </xf>
    <xf numFmtId="0" fontId="30" fillId="0" borderId="13" xfId="546" applyFont="1" applyBorder="1" applyAlignment="1" applyProtection="1">
      <alignment horizontal="center" vertical="center" wrapText="1"/>
    </xf>
    <xf numFmtId="0" fontId="30" fillId="0" borderId="9" xfId="546" applyFont="1" applyBorder="1" applyAlignment="1" applyProtection="1">
      <alignment horizontal="center" vertical="center" wrapText="1"/>
    </xf>
    <xf numFmtId="0" fontId="30" fillId="0" borderId="5" xfId="546" applyFont="1" applyBorder="1" applyAlignment="1" applyProtection="1">
      <alignment horizontal="center" vertical="center" wrapText="1"/>
    </xf>
    <xf numFmtId="0" fontId="30" fillId="0" borderId="10" xfId="546" applyFont="1" applyBorder="1" applyAlignment="1" applyProtection="1">
      <alignment horizontal="center" vertical="center" wrapText="1"/>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7"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50" borderId="2" xfId="0" applyFont="1" applyFill="1" applyBorder="1" applyAlignment="1">
      <alignment horizontal="center"/>
    </xf>
    <xf numFmtId="0" fontId="20" fillId="50" borderId="5" xfId="0" applyFont="1" applyFill="1" applyBorder="1" applyAlignment="1">
      <alignment horizontal="center"/>
    </xf>
    <xf numFmtId="0" fontId="3"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1" fontId="129" fillId="0" borderId="0" xfId="575" applyNumberFormat="1" applyFont="1" applyFill="1" applyBorder="1" applyAlignment="1">
      <alignment horizontal="center"/>
    </xf>
    <xf numFmtId="1" fontId="129" fillId="0" borderId="5" xfId="575" applyNumberFormat="1" applyFont="1" applyFill="1" applyBorder="1" applyAlignment="1">
      <alignment horizontal="center"/>
    </xf>
    <xf numFmtId="182" fontId="130" fillId="0" borderId="3" xfId="575" applyNumberFormat="1" applyFont="1" applyFill="1" applyBorder="1" applyAlignment="1">
      <alignment horizontal="center"/>
    </xf>
    <xf numFmtId="182" fontId="130" fillId="0" borderId="4" xfId="575" applyNumberFormat="1" applyFont="1" applyFill="1" applyBorder="1" applyAlignment="1">
      <alignment horizontal="center"/>
    </xf>
    <xf numFmtId="182" fontId="130" fillId="0" borderId="8" xfId="575" applyNumberFormat="1" applyFont="1" applyFill="1" applyBorder="1" applyAlignment="1">
      <alignment horizontal="center"/>
    </xf>
    <xf numFmtId="2" fontId="129" fillId="0" borderId="0" xfId="575" applyNumberFormat="1" applyFont="1" applyFill="1" applyAlignment="1">
      <alignment horizontal="center"/>
    </xf>
    <xf numFmtId="2" fontId="129" fillId="0" borderId="0" xfId="575" applyNumberFormat="1" applyFont="1" applyFill="1" applyBorder="1" applyAlignment="1">
      <alignment horizontal="center"/>
    </xf>
    <xf numFmtId="2" fontId="129" fillId="0" borderId="5" xfId="575" applyNumberFormat="1" applyFont="1" applyFill="1" applyBorder="1" applyAlignment="1">
      <alignment horizontal="center"/>
    </xf>
    <xf numFmtId="0" fontId="129" fillId="0" borderId="0" xfId="575" applyFont="1" applyFill="1" applyAlignment="1">
      <alignment horizontal="center"/>
    </xf>
    <xf numFmtId="0" fontId="129" fillId="0" borderId="5" xfId="575" applyFont="1" applyBorder="1" applyAlignment="1">
      <alignment horizontal="center"/>
    </xf>
    <xf numFmtId="2" fontId="129" fillId="0" borderId="2" xfId="575" applyNumberFormat="1" applyFont="1" applyFill="1" applyBorder="1" applyAlignment="1">
      <alignment horizontal="center"/>
    </xf>
    <xf numFmtId="0" fontId="129" fillId="53" borderId="5" xfId="575" applyFont="1" applyFill="1" applyBorder="1" applyAlignment="1" applyProtection="1">
      <alignment horizontal="center"/>
      <protection locked="0"/>
    </xf>
    <xf numFmtId="0" fontId="133" fillId="54"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30" fillId="0" borderId="3" xfId="164" applyFont="1" applyFill="1" applyBorder="1" applyAlignment="1">
      <alignment horizontal="center"/>
    </xf>
    <xf numFmtId="44" fontId="130" fillId="0" borderId="4" xfId="164" applyFont="1" applyFill="1" applyBorder="1" applyAlignment="1">
      <alignment horizontal="center"/>
    </xf>
    <xf numFmtId="44" fontId="130" fillId="0" borderId="8" xfId="164" applyFont="1" applyFill="1" applyBorder="1" applyAlignment="1">
      <alignment horizontal="center"/>
    </xf>
    <xf numFmtId="49" fontId="129" fillId="53" borderId="5" xfId="575" applyNumberFormat="1" applyFont="1" applyFill="1" applyBorder="1" applyAlignment="1" applyProtection="1">
      <alignment horizontal="center"/>
      <protection locked="0"/>
    </xf>
    <xf numFmtId="176" fontId="129" fillId="0" borderId="5" xfId="575" applyNumberFormat="1" applyFont="1" applyBorder="1" applyAlignment="1">
      <alignment horizontal="center"/>
    </xf>
    <xf numFmtId="0" fontId="129" fillId="53" borderId="5" xfId="575" applyFont="1" applyFill="1" applyBorder="1" applyAlignment="1" applyProtection="1">
      <alignment horizontal="left"/>
      <protection locked="0"/>
    </xf>
    <xf numFmtId="169" fontId="129" fillId="0" borderId="0" xfId="577" applyNumberFormat="1" applyFont="1" applyFill="1" applyBorder="1" applyAlignment="1" applyProtection="1">
      <alignment horizontal="center" vertical="center"/>
    </xf>
    <xf numFmtId="1" fontId="129" fillId="0" borderId="2" xfId="575" applyNumberFormat="1" applyFont="1" applyBorder="1" applyAlignment="1">
      <alignment horizontal="center"/>
    </xf>
    <xf numFmtId="0" fontId="129" fillId="0" borderId="2" xfId="575" applyFont="1" applyBorder="1" applyAlignment="1">
      <alignment horizontal="center"/>
    </xf>
    <xf numFmtId="181" fontId="129" fillId="0" borderId="0" xfId="575" applyNumberFormat="1" applyFont="1" applyFill="1" applyAlignment="1">
      <alignment horizontal="center"/>
    </xf>
    <xf numFmtId="1" fontId="129"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7"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7"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6" fillId="5" borderId="0" xfId="273" applyNumberFormat="1" applyFont="1" applyFill="1" applyBorder="1" applyAlignment="1" applyProtection="1">
      <alignment horizontal="center" vertical="center"/>
    </xf>
    <xf numFmtId="0" fontId="57" fillId="0" borderId="0" xfId="273" applyFont="1" applyFill="1" applyAlignment="1" applyProtection="1">
      <alignment horizontal="left" vertical="top" wrapText="1"/>
    </xf>
    <xf numFmtId="0" fontId="57" fillId="0" borderId="0" xfId="273" applyFont="1" applyBorder="1" applyAlignment="1" applyProtection="1">
      <alignment horizontal="left" vertical="top" wrapText="1"/>
    </xf>
    <xf numFmtId="0" fontId="57" fillId="0" borderId="0" xfId="273" applyFont="1" applyAlignment="1" applyProtection="1">
      <alignment horizontal="left" vertical="top" wrapText="1"/>
    </xf>
    <xf numFmtId="169" fontId="57"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cellStyle name="20% - Accent1 2 2" xfId="3"/>
    <cellStyle name="20% - Accent1 2 2 2" xfId="4"/>
    <cellStyle name="20% - Accent1 2 2 2 2" xfId="581"/>
    <cellStyle name="20% - Accent1 2 2 3" xfId="580"/>
    <cellStyle name="20% - Accent1 2 3" xfId="5"/>
    <cellStyle name="20% - Accent1 2 3 2" xfId="582"/>
    <cellStyle name="20% - Accent1 2 4" xfId="579"/>
    <cellStyle name="20% - Accent1 3" xfId="6"/>
    <cellStyle name="20% - Accent1 3 2" xfId="7"/>
    <cellStyle name="20% - Accent1 3 2 2" xfId="584"/>
    <cellStyle name="20% - Accent1 3 3" xfId="583"/>
    <cellStyle name="20% - Accent1 4" xfId="8"/>
    <cellStyle name="20% - Accent1 4 2" xfId="585"/>
    <cellStyle name="20% - Accent1 5" xfId="578"/>
    <cellStyle name="20% - Accent2" xfId="9" builtinId="34" customBuiltin="1"/>
    <cellStyle name="20% - Accent2 2" xfId="10"/>
    <cellStyle name="20% - Accent2 2 2" xfId="11"/>
    <cellStyle name="20% - Accent2 2 2 2" xfId="12"/>
    <cellStyle name="20% - Accent2 2 2 2 2" xfId="589"/>
    <cellStyle name="20% - Accent2 2 2 3" xfId="588"/>
    <cellStyle name="20% - Accent2 2 3" xfId="13"/>
    <cellStyle name="20% - Accent2 2 3 2" xfId="590"/>
    <cellStyle name="20% - Accent2 2 4" xfId="587"/>
    <cellStyle name="20% - Accent2 3" xfId="14"/>
    <cellStyle name="20% - Accent2 3 2" xfId="15"/>
    <cellStyle name="20% - Accent2 3 2 2" xfId="592"/>
    <cellStyle name="20% - Accent2 3 3" xfId="591"/>
    <cellStyle name="20% - Accent2 4" xfId="16"/>
    <cellStyle name="20% - Accent2 4 2" xfId="593"/>
    <cellStyle name="20% - Accent2 5" xfId="586"/>
    <cellStyle name="20% - Accent3" xfId="17" builtinId="38" customBuiltin="1"/>
    <cellStyle name="20% - Accent3 2" xfId="18"/>
    <cellStyle name="20% - Accent3 2 2" xfId="19"/>
    <cellStyle name="20% - Accent3 2 2 2" xfId="20"/>
    <cellStyle name="20% - Accent3 2 2 2 2" xfId="597"/>
    <cellStyle name="20% - Accent3 2 2 3" xfId="596"/>
    <cellStyle name="20% - Accent3 2 3" xfId="21"/>
    <cellStyle name="20% - Accent3 2 3 2" xfId="598"/>
    <cellStyle name="20% - Accent3 2 4" xfId="595"/>
    <cellStyle name="20% - Accent3 3" xfId="22"/>
    <cellStyle name="20% - Accent3 3 2" xfId="23"/>
    <cellStyle name="20% - Accent3 3 2 2" xfId="600"/>
    <cellStyle name="20% - Accent3 3 3" xfId="599"/>
    <cellStyle name="20% - Accent3 4" xfId="24"/>
    <cellStyle name="20% - Accent3 4 2" xfId="601"/>
    <cellStyle name="20% - Accent3 5" xfId="594"/>
    <cellStyle name="20% - Accent4" xfId="25" builtinId="42" customBuiltin="1"/>
    <cellStyle name="20% - Accent4 2" xfId="26"/>
    <cellStyle name="20% - Accent4 2 2" xfId="27"/>
    <cellStyle name="20% - Accent4 2 2 2" xfId="28"/>
    <cellStyle name="20% - Accent4 2 2 2 2" xfId="605"/>
    <cellStyle name="20% - Accent4 2 2 3" xfId="604"/>
    <cellStyle name="20% - Accent4 2 3" xfId="29"/>
    <cellStyle name="20% - Accent4 2 3 2" xfId="606"/>
    <cellStyle name="20% - Accent4 2 4" xfId="603"/>
    <cellStyle name="20% - Accent4 3" xfId="30"/>
    <cellStyle name="20% - Accent4 3 2" xfId="31"/>
    <cellStyle name="20% - Accent4 3 2 2" xfId="608"/>
    <cellStyle name="20% - Accent4 3 3" xfId="607"/>
    <cellStyle name="20% - Accent4 4" xfId="32"/>
    <cellStyle name="20% - Accent4 4 2" xfId="609"/>
    <cellStyle name="20% - Accent4 5" xfId="602"/>
    <cellStyle name="20% - Accent5" xfId="33" builtinId="46" customBuiltin="1"/>
    <cellStyle name="20% - Accent5 2" xfId="34"/>
    <cellStyle name="20% - Accent5 2 2" xfId="35"/>
    <cellStyle name="20% - Accent5 2 2 2" xfId="36"/>
    <cellStyle name="20% - Accent5 2 2 2 2" xfId="613"/>
    <cellStyle name="20% - Accent5 2 2 3" xfId="612"/>
    <cellStyle name="20% - Accent5 2 3" xfId="37"/>
    <cellStyle name="20% - Accent5 2 3 2" xfId="614"/>
    <cellStyle name="20% - Accent5 2 4" xfId="611"/>
    <cellStyle name="20% - Accent5 3" xfId="38"/>
    <cellStyle name="20% - Accent5 3 2" xfId="39"/>
    <cellStyle name="20% - Accent5 3 2 2" xfId="616"/>
    <cellStyle name="20% - Accent5 3 3" xfId="615"/>
    <cellStyle name="20% - Accent5 4" xfId="40"/>
    <cellStyle name="20% - Accent5 4 2" xfId="617"/>
    <cellStyle name="20% - Accent5 5" xfId="610"/>
    <cellStyle name="20% - Accent6" xfId="41" builtinId="50" customBuiltin="1"/>
    <cellStyle name="20% - Accent6 2" xfId="42"/>
    <cellStyle name="20% - Accent6 2 2" xfId="43"/>
    <cellStyle name="20% - Accent6 2 2 2" xfId="44"/>
    <cellStyle name="20% - Accent6 2 2 2 2" xfId="621"/>
    <cellStyle name="20% - Accent6 2 2 3" xfId="620"/>
    <cellStyle name="20% - Accent6 2 3" xfId="45"/>
    <cellStyle name="20% - Accent6 2 3 2" xfId="622"/>
    <cellStyle name="20% - Accent6 2 4" xfId="619"/>
    <cellStyle name="20% - Accent6 3" xfId="46"/>
    <cellStyle name="20% - Accent6 3 2" xfId="47"/>
    <cellStyle name="20% - Accent6 3 2 2" xfId="624"/>
    <cellStyle name="20% - Accent6 3 3" xfId="623"/>
    <cellStyle name="20% - Accent6 4" xfId="48"/>
    <cellStyle name="20% - Accent6 4 2" xfId="625"/>
    <cellStyle name="20% - Accent6 5" xfId="618"/>
    <cellStyle name="40% - Accent1" xfId="49" builtinId="31" customBuiltin="1"/>
    <cellStyle name="40% - Accent1 2" xfId="50"/>
    <cellStyle name="40% - Accent1 2 2" xfId="51"/>
    <cellStyle name="40% - Accent1 2 2 2" xfId="52"/>
    <cellStyle name="40% - Accent1 2 2 2 2" xfId="629"/>
    <cellStyle name="40% - Accent1 2 2 3" xfId="628"/>
    <cellStyle name="40% - Accent1 2 3" xfId="53"/>
    <cellStyle name="40% - Accent1 2 3 2" xfId="630"/>
    <cellStyle name="40% - Accent1 2 4" xfId="627"/>
    <cellStyle name="40% - Accent1 3" xfId="54"/>
    <cellStyle name="40% - Accent1 3 2" xfId="55"/>
    <cellStyle name="40% - Accent1 3 2 2" xfId="632"/>
    <cellStyle name="40% - Accent1 3 3" xfId="631"/>
    <cellStyle name="40% - Accent1 4" xfId="56"/>
    <cellStyle name="40% - Accent1 4 2" xfId="633"/>
    <cellStyle name="40% - Accent1 5" xfId="626"/>
    <cellStyle name="40% - Accent2" xfId="57" builtinId="35" customBuiltin="1"/>
    <cellStyle name="40% - Accent2 2" xfId="58"/>
    <cellStyle name="40% - Accent2 2 2" xfId="59"/>
    <cellStyle name="40% - Accent2 2 2 2" xfId="60"/>
    <cellStyle name="40% - Accent2 2 2 2 2" xfId="637"/>
    <cellStyle name="40% - Accent2 2 2 3" xfId="636"/>
    <cellStyle name="40% - Accent2 2 3" xfId="61"/>
    <cellStyle name="40% - Accent2 2 3 2" xfId="638"/>
    <cellStyle name="40% - Accent2 2 4" xfId="635"/>
    <cellStyle name="40% - Accent2 3" xfId="62"/>
    <cellStyle name="40% - Accent2 3 2" xfId="63"/>
    <cellStyle name="40% - Accent2 3 2 2" xfId="640"/>
    <cellStyle name="40% - Accent2 3 3" xfId="639"/>
    <cellStyle name="40% - Accent2 4" xfId="64"/>
    <cellStyle name="40% - Accent2 4 2" xfId="641"/>
    <cellStyle name="40% - Accent2 5" xfId="634"/>
    <cellStyle name="40% - Accent3" xfId="65" builtinId="39" customBuiltin="1"/>
    <cellStyle name="40% - Accent3 2" xfId="66"/>
    <cellStyle name="40% - Accent3 2 2" xfId="67"/>
    <cellStyle name="40% - Accent3 2 2 2" xfId="68"/>
    <cellStyle name="40% - Accent3 2 2 2 2" xfId="645"/>
    <cellStyle name="40% - Accent3 2 2 3" xfId="644"/>
    <cellStyle name="40% - Accent3 2 3" xfId="69"/>
    <cellStyle name="40% - Accent3 2 3 2" xfId="646"/>
    <cellStyle name="40% - Accent3 2 4" xfId="643"/>
    <cellStyle name="40% - Accent3 3" xfId="70"/>
    <cellStyle name="40% - Accent3 3 2" xfId="71"/>
    <cellStyle name="40% - Accent3 3 2 2" xfId="648"/>
    <cellStyle name="40% - Accent3 3 3" xfId="647"/>
    <cellStyle name="40% - Accent3 4" xfId="72"/>
    <cellStyle name="40% - Accent3 4 2" xfId="649"/>
    <cellStyle name="40% - Accent3 5" xfId="642"/>
    <cellStyle name="40% - Accent4" xfId="73" builtinId="43" customBuiltin="1"/>
    <cellStyle name="40% - Accent4 2" xfId="74"/>
    <cellStyle name="40% - Accent4 2 2" xfId="75"/>
    <cellStyle name="40% - Accent4 2 2 2" xfId="76"/>
    <cellStyle name="40% - Accent4 2 2 2 2" xfId="653"/>
    <cellStyle name="40% - Accent4 2 2 3" xfId="652"/>
    <cellStyle name="40% - Accent4 2 3" xfId="77"/>
    <cellStyle name="40% - Accent4 2 3 2" xfId="654"/>
    <cellStyle name="40% - Accent4 2 4" xfId="651"/>
    <cellStyle name="40% - Accent4 3" xfId="78"/>
    <cellStyle name="40% - Accent4 3 2" xfId="79"/>
    <cellStyle name="40% - Accent4 3 2 2" xfId="656"/>
    <cellStyle name="40% - Accent4 3 3" xfId="655"/>
    <cellStyle name="40% - Accent4 4" xfId="80"/>
    <cellStyle name="40% - Accent4 4 2" xfId="657"/>
    <cellStyle name="40% - Accent4 5" xfId="650"/>
    <cellStyle name="40% - Accent5" xfId="81" builtinId="47" customBuiltin="1"/>
    <cellStyle name="40% - Accent5 2" xfId="82"/>
    <cellStyle name="40% - Accent5 2 2" xfId="83"/>
    <cellStyle name="40% - Accent5 2 2 2" xfId="84"/>
    <cellStyle name="40% - Accent5 2 2 2 2" xfId="661"/>
    <cellStyle name="40% - Accent5 2 2 3" xfId="660"/>
    <cellStyle name="40% - Accent5 2 3" xfId="85"/>
    <cellStyle name="40% - Accent5 2 3 2" xfId="662"/>
    <cellStyle name="40% - Accent5 2 4" xfId="659"/>
    <cellStyle name="40% - Accent5 3" xfId="86"/>
    <cellStyle name="40% - Accent5 3 2" xfId="87"/>
    <cellStyle name="40% - Accent5 3 2 2" xfId="664"/>
    <cellStyle name="40% - Accent5 3 3" xfId="663"/>
    <cellStyle name="40% - Accent5 4" xfId="88"/>
    <cellStyle name="40% - Accent5 4 2" xfId="665"/>
    <cellStyle name="40% - Accent5 5" xfId="658"/>
    <cellStyle name="40% - Accent6" xfId="89" builtinId="51" customBuiltin="1"/>
    <cellStyle name="40% - Accent6 2" xfId="90"/>
    <cellStyle name="40% - Accent6 2 2" xfId="91"/>
    <cellStyle name="40% - Accent6 2 2 2" xfId="92"/>
    <cellStyle name="40% - Accent6 2 2 2 2" xfId="669"/>
    <cellStyle name="40% - Accent6 2 2 3" xfId="668"/>
    <cellStyle name="40% - Accent6 2 3" xfId="93"/>
    <cellStyle name="40% - Accent6 2 3 2" xfId="670"/>
    <cellStyle name="40% - Accent6 2 4" xfId="667"/>
    <cellStyle name="40% - Accent6 3" xfId="94"/>
    <cellStyle name="40% - Accent6 3 2" xfId="95"/>
    <cellStyle name="40% - Accent6 3 2 2" xfId="672"/>
    <cellStyle name="40% - Accent6 3 3" xfId="671"/>
    <cellStyle name="40% - Accent6 4" xfId="96"/>
    <cellStyle name="40% - Accent6 4 2" xfId="673"/>
    <cellStyle name="40% - Accent6 5" xfId="66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2 2 2" xfId="676"/>
    <cellStyle name="Comma 4 2 2 2 2 3" xfId="675"/>
    <cellStyle name="Comma 4 2 2 2 3" xfId="131"/>
    <cellStyle name="Comma 4 2 2 2 3 2" xfId="677"/>
    <cellStyle name="Comma 4 2 2 2 4" xfId="674"/>
    <cellStyle name="Comma 4 2 2 3" xfId="132"/>
    <cellStyle name="Comma 4 2 2 3 2" xfId="133"/>
    <cellStyle name="Comma 4 2 2 3 2 2" xfId="679"/>
    <cellStyle name="Comma 4 2 2 3 3" xfId="678"/>
    <cellStyle name="Comma 4 2 2 4" xfId="134"/>
    <cellStyle name="Comma 4 2 2 4 2" xfId="680"/>
    <cellStyle name="Comma 4 2 2 5" xfId="135"/>
    <cellStyle name="Comma 4 2 2 5 2" xfId="681"/>
    <cellStyle name="Comma 4 2 3" xfId="136"/>
    <cellStyle name="Comma 4 2 3 2" xfId="137"/>
    <cellStyle name="Comma 4 2 3 2 2" xfId="138"/>
    <cellStyle name="Comma 4 2 3 2 2 2" xfId="684"/>
    <cellStyle name="Comma 4 2 3 2 3" xfId="683"/>
    <cellStyle name="Comma 4 2 3 3" xfId="139"/>
    <cellStyle name="Comma 4 2 3 3 2" xfId="685"/>
    <cellStyle name="Comma 4 2 3 4" xfId="682"/>
    <cellStyle name="Comma 4 2 4" xfId="140"/>
    <cellStyle name="Comma 4 2 4 2" xfId="141"/>
    <cellStyle name="Comma 4 2 4 2 2" xfId="687"/>
    <cellStyle name="Comma 4 2 4 3" xfId="686"/>
    <cellStyle name="Comma 4 2 5" xfId="142"/>
    <cellStyle name="Comma 4 2 5 2" xfId="688"/>
    <cellStyle name="Comma 4 2 6" xfId="143"/>
    <cellStyle name="Comma 4 2 6 2" xfId="689"/>
    <cellStyle name="Comma 4 3" xfId="144"/>
    <cellStyle name="Comma 4 3 2" xfId="145"/>
    <cellStyle name="Comma 4 3 2 2" xfId="146"/>
    <cellStyle name="Comma 4 3 2 2 2" xfId="147"/>
    <cellStyle name="Comma 4 3 2 2 2 2" xfId="692"/>
    <cellStyle name="Comma 4 3 2 2 3" xfId="691"/>
    <cellStyle name="Comma 4 3 2 3" xfId="148"/>
    <cellStyle name="Comma 4 3 2 3 2" xfId="693"/>
    <cellStyle name="Comma 4 3 2 4" xfId="690"/>
    <cellStyle name="Comma 4 3 3" xfId="149"/>
    <cellStyle name="Comma 4 3 3 2" xfId="150"/>
    <cellStyle name="Comma 4 3 3 2 2" xfId="695"/>
    <cellStyle name="Comma 4 3 3 3" xfId="694"/>
    <cellStyle name="Comma 4 3 4" xfId="151"/>
    <cellStyle name="Comma 4 3 4 2" xfId="696"/>
    <cellStyle name="Comma 4 3 5" xfId="152"/>
    <cellStyle name="Comma 4 3 5 2" xfId="697"/>
    <cellStyle name="Comma 4 4" xfId="153"/>
    <cellStyle name="Comma 4 4 2" xfId="154"/>
    <cellStyle name="Comma 4 4 2 2" xfId="155"/>
    <cellStyle name="Comma 4 4 2 2 2" xfId="700"/>
    <cellStyle name="Comma 4 4 2 3" xfId="699"/>
    <cellStyle name="Comma 4 4 3" xfId="156"/>
    <cellStyle name="Comma 4 4 3 2" xfId="701"/>
    <cellStyle name="Comma 4 4 4" xfId="698"/>
    <cellStyle name="Comma 4 5" xfId="157"/>
    <cellStyle name="Comma 4 5 2" xfId="158"/>
    <cellStyle name="Comma 4 5 2 2" xfId="703"/>
    <cellStyle name="Comma 4 5 3" xfId="702"/>
    <cellStyle name="Comma 4 6" xfId="159"/>
    <cellStyle name="Comma 4 6 2" xfId="704"/>
    <cellStyle name="Comma 4 7" xfId="160"/>
    <cellStyle name="Comma 4 7 2" xfId="705"/>
    <cellStyle name="Comma 5" xfId="161"/>
    <cellStyle name="Comma 5 2" xfId="162"/>
    <cellStyle name="Comma 5 2 2" xfId="706"/>
    <cellStyle name="Comma 6" xfId="163"/>
    <cellStyle name="Comma 7" xfId="576"/>
    <cellStyle name="Currency" xfId="164" builtinId="4"/>
    <cellStyle name="Currency 10" xfId="165"/>
    <cellStyle name="Currency 10 2" xfId="166"/>
    <cellStyle name="Currency 10 2 2" xfId="708"/>
    <cellStyle name="Currency 10 3" xfId="167"/>
    <cellStyle name="Currency 10 3 2" xfId="709"/>
    <cellStyle name="Currency 10 4" xfId="168"/>
    <cellStyle name="Currency 10 5" xfId="707"/>
    <cellStyle name="Currency 11" xfId="169"/>
    <cellStyle name="Currency 11 2" xfId="170"/>
    <cellStyle name="Currency 11 2 2" xfId="711"/>
    <cellStyle name="Currency 11 3" xfId="710"/>
    <cellStyle name="Currency 12" xfId="171"/>
    <cellStyle name="Currency 12 2" xfId="712"/>
    <cellStyle name="Currency 2" xfId="172"/>
    <cellStyle name="Currency 2 2" xfId="173"/>
    <cellStyle name="Currency 2 3" xfId="174"/>
    <cellStyle name="Currency 2 3 2" xfId="175"/>
    <cellStyle name="Currency 2 3 2 2" xfId="714"/>
    <cellStyle name="Currency 2 3 3" xfId="176"/>
    <cellStyle name="Currency 2 4" xfId="713"/>
    <cellStyle name="Currency 3" xfId="177"/>
    <cellStyle name="Currency 3 2" xfId="178"/>
    <cellStyle name="Currency 3 2 2" xfId="179"/>
    <cellStyle name="Currency 3 2 2 2" xfId="180"/>
    <cellStyle name="Currency 3 2 2 2 2" xfId="181"/>
    <cellStyle name="Currency 3 2 2 2 2 2" xfId="717"/>
    <cellStyle name="Currency 3 2 2 2 3" xfId="716"/>
    <cellStyle name="Currency 3 2 2 3" xfId="182"/>
    <cellStyle name="Currency 3 2 2 3 2" xfId="718"/>
    <cellStyle name="Currency 3 2 2 4" xfId="715"/>
    <cellStyle name="Currency 3 2 3" xfId="183"/>
    <cellStyle name="Currency 3 2 3 2" xfId="184"/>
    <cellStyle name="Currency 3 2 3 2 2" xfId="720"/>
    <cellStyle name="Currency 3 2 3 3" xfId="719"/>
    <cellStyle name="Currency 3 2 4" xfId="185"/>
    <cellStyle name="Currency 3 2 4 2" xfId="721"/>
    <cellStyle name="Currency 3 2 5" xfId="186"/>
    <cellStyle name="Currency 3 2 5 2" xfId="722"/>
    <cellStyle name="Currency 3 3" xfId="187"/>
    <cellStyle name="Currency 4" xfId="188"/>
    <cellStyle name="Currency 4 2" xfId="189"/>
    <cellStyle name="Currency 4 2 2" xfId="724"/>
    <cellStyle name="Currency 4 3" xfId="190"/>
    <cellStyle name="Currency 4 3 2" xfId="191"/>
    <cellStyle name="Currency 4 3 2 2" xfId="726"/>
    <cellStyle name="Currency 4 3 3" xfId="725"/>
    <cellStyle name="Currency 4 4" xfId="192"/>
    <cellStyle name="Currency 4 5" xfId="193"/>
    <cellStyle name="Currency 4 5 2" xfId="727"/>
    <cellStyle name="Currency 4 6" xfId="723"/>
    <cellStyle name="Currency 5" xfId="194"/>
    <cellStyle name="Currency 5 2" xfId="195"/>
    <cellStyle name="Currency 5 2 2" xfId="196"/>
    <cellStyle name="Currency 5 2 2 2" xfId="197"/>
    <cellStyle name="Currency 5 2 2 2 2" xfId="198"/>
    <cellStyle name="Currency 5 2 2 2 2 2" xfId="199"/>
    <cellStyle name="Currency 5 2 2 2 2 2 2" xfId="732"/>
    <cellStyle name="Currency 5 2 2 2 2 3" xfId="731"/>
    <cellStyle name="Currency 5 2 2 2 3" xfId="200"/>
    <cellStyle name="Currency 5 2 2 2 3 2" xfId="733"/>
    <cellStyle name="Currency 5 2 2 2 4" xfId="730"/>
    <cellStyle name="Currency 5 2 2 3" xfId="201"/>
    <cellStyle name="Currency 5 2 2 3 2" xfId="202"/>
    <cellStyle name="Currency 5 2 2 3 2 2" xfId="735"/>
    <cellStyle name="Currency 5 2 2 3 3" xfId="734"/>
    <cellStyle name="Currency 5 2 2 4" xfId="203"/>
    <cellStyle name="Currency 5 2 2 4 2" xfId="736"/>
    <cellStyle name="Currency 5 2 2 5" xfId="204"/>
    <cellStyle name="Currency 5 2 2 5 2" xfId="737"/>
    <cellStyle name="Currency 5 2 3" xfId="205"/>
    <cellStyle name="Currency 5 2 3 2" xfId="738"/>
    <cellStyle name="Currency 5 2 4" xfId="206"/>
    <cellStyle name="Currency 5 2 4 2" xfId="207"/>
    <cellStyle name="Currency 5 2 4 2 2" xfId="740"/>
    <cellStyle name="Currency 5 2 4 3" xfId="739"/>
    <cellStyle name="Currency 5 2 5" xfId="208"/>
    <cellStyle name="Currency 5 2 5 2" xfId="741"/>
    <cellStyle name="Currency 5 2 6" xfId="209"/>
    <cellStyle name="Currency 5 2 6 2" xfId="742"/>
    <cellStyle name="Currency 5 2 7" xfId="729"/>
    <cellStyle name="Currency 5 3" xfId="210"/>
    <cellStyle name="Currency 5 3 2" xfId="211"/>
    <cellStyle name="Currency 5 3 2 2" xfId="212"/>
    <cellStyle name="Currency 5 3 2 2 2" xfId="213"/>
    <cellStyle name="Currency 5 3 2 2 2 2" xfId="745"/>
    <cellStyle name="Currency 5 3 2 2 3" xfId="744"/>
    <cellStyle name="Currency 5 3 2 3" xfId="214"/>
    <cellStyle name="Currency 5 3 2 3 2" xfId="746"/>
    <cellStyle name="Currency 5 3 2 4" xfId="743"/>
    <cellStyle name="Currency 5 3 3" xfId="215"/>
    <cellStyle name="Currency 5 3 3 2" xfId="216"/>
    <cellStyle name="Currency 5 3 3 2 2" xfId="748"/>
    <cellStyle name="Currency 5 3 3 3" xfId="747"/>
    <cellStyle name="Currency 5 3 4" xfId="217"/>
    <cellStyle name="Currency 5 3 4 2" xfId="749"/>
    <cellStyle name="Currency 5 3 5" xfId="218"/>
    <cellStyle name="Currency 5 3 5 2" xfId="750"/>
    <cellStyle name="Currency 5 4" xfId="219"/>
    <cellStyle name="Currency 5 4 2" xfId="751"/>
    <cellStyle name="Currency 5 5" xfId="220"/>
    <cellStyle name="Currency 5 5 2" xfId="221"/>
    <cellStyle name="Currency 5 5 2 2" xfId="753"/>
    <cellStyle name="Currency 5 5 3" xfId="752"/>
    <cellStyle name="Currency 5 6" xfId="222"/>
    <cellStyle name="Currency 5 6 2" xfId="754"/>
    <cellStyle name="Currency 5 7" xfId="223"/>
    <cellStyle name="Currency 5 7 2" xfId="755"/>
    <cellStyle name="Currency 5 8" xfId="728"/>
    <cellStyle name="Currency 6" xfId="224"/>
    <cellStyle name="Currency 6 2" xfId="225"/>
    <cellStyle name="Currency 6 3" xfId="226"/>
    <cellStyle name="Currency 6 3 2" xfId="757"/>
    <cellStyle name="Currency 6 4" xfId="756"/>
    <cellStyle name="Currency 7" xfId="227"/>
    <cellStyle name="Currency 7 2" xfId="228"/>
    <cellStyle name="Currency 7 2 2" xfId="759"/>
    <cellStyle name="Currency 7 3" xfId="229"/>
    <cellStyle name="Currency 7 3 2" xfId="760"/>
    <cellStyle name="Currency 7 4" xfId="230"/>
    <cellStyle name="Currency 7 4 2" xfId="761"/>
    <cellStyle name="Currency 7 5" xfId="758"/>
    <cellStyle name="Currency 8" xfId="231"/>
    <cellStyle name="Currency 8 2" xfId="232"/>
    <cellStyle name="Currency 8 2 2" xfId="763"/>
    <cellStyle name="Currency 8 3" xfId="762"/>
    <cellStyle name="Currency 9" xfId="233"/>
    <cellStyle name="Currency 9 2" xfId="234"/>
    <cellStyle name="Currency 9 2 2" xfId="765"/>
    <cellStyle name="Currency 9 3" xfId="76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2 3 2" xfId="766"/>
    <cellStyle name="Normal 11 3" xfId="260"/>
    <cellStyle name="Normal 11 3 2" xfId="767"/>
    <cellStyle name="Normal 12" xfId="261"/>
    <cellStyle name="Normal 12 2" xfId="262"/>
    <cellStyle name="Normal 12 2 2" xfId="263"/>
    <cellStyle name="Normal 12 2 2 2" xfId="264"/>
    <cellStyle name="Normal 12 2 2 2 2" xfId="771"/>
    <cellStyle name="Normal 12 2 2 3" xfId="770"/>
    <cellStyle name="Normal 12 2 3" xfId="265"/>
    <cellStyle name="Normal 12 2 3 2" xfId="772"/>
    <cellStyle name="Normal 12 2 4" xfId="769"/>
    <cellStyle name="Normal 12 3" xfId="266"/>
    <cellStyle name="Normal 12 3 2" xfId="267"/>
    <cellStyle name="Normal 12 3 2 2" xfId="774"/>
    <cellStyle name="Normal 12 3 3" xfId="773"/>
    <cellStyle name="Normal 12 4" xfId="268"/>
    <cellStyle name="Normal 12 4 2" xfId="775"/>
    <cellStyle name="Normal 12 5" xfId="269"/>
    <cellStyle name="Normal 12 6" xfId="768"/>
    <cellStyle name="Normal 13" xfId="270"/>
    <cellStyle name="Normal 13 2" xfId="271"/>
    <cellStyle name="Normal 14" xfId="272"/>
    <cellStyle name="Normal 14 2" xfId="776"/>
    <cellStyle name="Normal 15" xfId="575"/>
    <cellStyle name="Normal 2" xfId="273"/>
    <cellStyle name="Normal 2 2" xfId="274"/>
    <cellStyle name="Normal 2 2 2" xfId="275"/>
    <cellStyle name="Normal 2 2 2 2" xfId="276"/>
    <cellStyle name="Normal 2 2 2 3" xfId="277"/>
    <cellStyle name="Normal 2 2 2 4" xfId="278"/>
    <cellStyle name="Normal 2 2 2 4 2" xfId="778"/>
    <cellStyle name="Normal 2 2 3" xfId="777"/>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2 2 2" xfId="783"/>
    <cellStyle name="Normal 2 4 2 3 2 2 3" xfId="782"/>
    <cellStyle name="Normal 2 4 2 3 2 3" xfId="288"/>
    <cellStyle name="Normal 2 4 2 3 2 3 2" xfId="784"/>
    <cellStyle name="Normal 2 4 2 3 2 4" xfId="781"/>
    <cellStyle name="Normal 2 4 2 3 3" xfId="289"/>
    <cellStyle name="Normal 2 4 2 3 3 2" xfId="290"/>
    <cellStyle name="Normal 2 4 2 3 3 2 2" xfId="786"/>
    <cellStyle name="Normal 2 4 2 3 3 3" xfId="785"/>
    <cellStyle name="Normal 2 4 2 3 4" xfId="291"/>
    <cellStyle name="Normal 2 4 2 3 4 2" xfId="787"/>
    <cellStyle name="Normal 2 4 2 3 5" xfId="780"/>
    <cellStyle name="Normal 2 4 2 4" xfId="292"/>
    <cellStyle name="Normal 2 4 2 4 2" xfId="293"/>
    <cellStyle name="Normal 2 4 2 4 2 2" xfId="294"/>
    <cellStyle name="Normal 2 4 2 4 2 2 2" xfId="790"/>
    <cellStyle name="Normal 2 4 2 4 2 3" xfId="789"/>
    <cellStyle name="Normal 2 4 2 4 3" xfId="295"/>
    <cellStyle name="Normal 2 4 2 4 3 2" xfId="791"/>
    <cellStyle name="Normal 2 4 2 4 4" xfId="788"/>
    <cellStyle name="Normal 2 4 2 5" xfId="296"/>
    <cellStyle name="Normal 2 4 2 5 2" xfId="297"/>
    <cellStyle name="Normal 2 4 2 5 2 2" xfId="793"/>
    <cellStyle name="Normal 2 4 2 5 3" xfId="792"/>
    <cellStyle name="Normal 2 4 2 6" xfId="298"/>
    <cellStyle name="Normal 2 4 2 6 2" xfId="794"/>
    <cellStyle name="Normal 2 4 2 7" xfId="779"/>
    <cellStyle name="Normal 2 4 3" xfId="299"/>
    <cellStyle name="Normal 2 4 3 2" xfId="300"/>
    <cellStyle name="Normal 2 4 3 3" xfId="301"/>
    <cellStyle name="Normal 2 4 3 3 2" xfId="302"/>
    <cellStyle name="Normal 2 4 3 3 2 2" xfId="303"/>
    <cellStyle name="Normal 2 4 3 3 2 2 2" xfId="798"/>
    <cellStyle name="Normal 2 4 3 3 2 3" xfId="797"/>
    <cellStyle name="Normal 2 4 3 3 3" xfId="304"/>
    <cellStyle name="Normal 2 4 3 3 3 2" xfId="799"/>
    <cellStyle name="Normal 2 4 3 3 4" xfId="796"/>
    <cellStyle name="Normal 2 4 3 4" xfId="795"/>
    <cellStyle name="Normal 2 4 4" xfId="305"/>
    <cellStyle name="Normal 2 4 5" xfId="306"/>
    <cellStyle name="Normal 2 4 5 2" xfId="307"/>
    <cellStyle name="Normal 2 4 5 2 2" xfId="308"/>
    <cellStyle name="Normal 2 4 5 2 2 2" xfId="309"/>
    <cellStyle name="Normal 2 4 5 2 2 2 2" xfId="803"/>
    <cellStyle name="Normal 2 4 5 2 2 3" xfId="802"/>
    <cellStyle name="Normal 2 4 5 2 3" xfId="310"/>
    <cellStyle name="Normal 2 4 5 2 3 2" xfId="804"/>
    <cellStyle name="Normal 2 4 5 2 4" xfId="801"/>
    <cellStyle name="Normal 2 4 5 3" xfId="311"/>
    <cellStyle name="Normal 2 4 5 3 2" xfId="312"/>
    <cellStyle name="Normal 2 4 5 3 2 2" xfId="806"/>
    <cellStyle name="Normal 2 4 5 3 3" xfId="805"/>
    <cellStyle name="Normal 2 4 5 4" xfId="313"/>
    <cellStyle name="Normal 2 4 5 4 2" xfId="807"/>
    <cellStyle name="Normal 2 4 5 5" xfId="800"/>
    <cellStyle name="Normal 2 4 6" xfId="314"/>
    <cellStyle name="Normal 2 4 7" xfId="315"/>
    <cellStyle name="Normal 2 4 7 2" xfId="316"/>
    <cellStyle name="Normal 2 4 7 2 2" xfId="809"/>
    <cellStyle name="Normal 2 4 7 3" xfId="808"/>
    <cellStyle name="Normal 2 4 8" xfId="317"/>
    <cellStyle name="Normal 2 4 8 2" xfId="810"/>
    <cellStyle name="Normal 2 5" xfId="318"/>
    <cellStyle name="Normal 2 5 2" xfId="319"/>
    <cellStyle name="Normal 2 5 3" xfId="320"/>
    <cellStyle name="Normal 2 5 4" xfId="321"/>
    <cellStyle name="Normal 2 5 4 2" xfId="322"/>
    <cellStyle name="Normal 2 5 4 2 2" xfId="323"/>
    <cellStyle name="Normal 2 5 4 2 2 2" xfId="814"/>
    <cellStyle name="Normal 2 5 4 2 3" xfId="813"/>
    <cellStyle name="Normal 2 5 4 3" xfId="324"/>
    <cellStyle name="Normal 2 5 4 3 2" xfId="815"/>
    <cellStyle name="Normal 2 5 4 4" xfId="812"/>
    <cellStyle name="Normal 2 5 5" xfId="811"/>
    <cellStyle name="Normal 2 6" xfId="325"/>
    <cellStyle name="Normal 2 8" xfId="574"/>
    <cellStyle name="Normal 3" xfId="326"/>
    <cellStyle name="Normal 3 2" xfId="327"/>
    <cellStyle name="Normal 3 2 2" xfId="328"/>
    <cellStyle name="Normal 3 2 2 2" xfId="818"/>
    <cellStyle name="Normal 3 2 3" xfId="329"/>
    <cellStyle name="Normal 3 2 3 2" xfId="330"/>
    <cellStyle name="Normal 3 2 3 2 2" xfId="331"/>
    <cellStyle name="Normal 3 2 3 2 2 2" xfId="821"/>
    <cellStyle name="Normal 3 2 3 2 3" xfId="820"/>
    <cellStyle name="Normal 3 2 3 3" xfId="332"/>
    <cellStyle name="Normal 3 2 3 3 2" xfId="822"/>
    <cellStyle name="Normal 3 2 3 4" xfId="819"/>
    <cellStyle name="Normal 3 2 4" xfId="817"/>
    <cellStyle name="Normal 3 3" xfId="333"/>
    <cellStyle name="Normal 3 3 2" xfId="334"/>
    <cellStyle name="Normal 3 3 3" xfId="335"/>
    <cellStyle name="Normal 3 4" xfId="336"/>
    <cellStyle name="Normal 3 5" xfId="337"/>
    <cellStyle name="Normal 3 6" xfId="816"/>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2 2 2" xfId="827"/>
    <cellStyle name="Normal 4 2 2 3 2 2 3" xfId="826"/>
    <cellStyle name="Normal 4 2 2 3 2 3" xfId="346"/>
    <cellStyle name="Normal 4 2 2 3 2 3 2" xfId="828"/>
    <cellStyle name="Normal 4 2 2 3 2 4" xfId="825"/>
    <cellStyle name="Normal 4 2 2 3 3" xfId="347"/>
    <cellStyle name="Normal 4 2 2 3 3 2" xfId="348"/>
    <cellStyle name="Normal 4 2 2 3 3 2 2" xfId="830"/>
    <cellStyle name="Normal 4 2 2 3 3 3" xfId="829"/>
    <cellStyle name="Normal 4 2 2 3 4" xfId="349"/>
    <cellStyle name="Normal 4 2 2 3 4 2" xfId="831"/>
    <cellStyle name="Normal 4 2 2 3 5" xfId="824"/>
    <cellStyle name="Normal 4 2 2 4" xfId="350"/>
    <cellStyle name="Normal 4 2 2 4 2" xfId="351"/>
    <cellStyle name="Normal 4 2 2 4 2 2" xfId="352"/>
    <cellStyle name="Normal 4 2 2 4 2 2 2" xfId="834"/>
    <cellStyle name="Normal 4 2 2 4 2 3" xfId="833"/>
    <cellStyle name="Normal 4 2 2 4 3" xfId="353"/>
    <cellStyle name="Normal 4 2 2 4 3 2" xfId="835"/>
    <cellStyle name="Normal 4 2 2 4 4" xfId="832"/>
    <cellStyle name="Normal 4 2 2 5" xfId="354"/>
    <cellStyle name="Normal 4 2 2 5 2" xfId="355"/>
    <cellStyle name="Normal 4 2 2 5 2 2" xfId="837"/>
    <cellStyle name="Normal 4 2 2 5 3" xfId="836"/>
    <cellStyle name="Normal 4 2 2 6" xfId="356"/>
    <cellStyle name="Normal 4 2 2 6 2" xfId="838"/>
    <cellStyle name="Normal 4 2 2 7" xfId="823"/>
    <cellStyle name="Normal 4 2 3" xfId="357"/>
    <cellStyle name="Normal 4 2 4" xfId="358"/>
    <cellStyle name="Normal 4 2 4 2" xfId="359"/>
    <cellStyle name="Normal 4 2 4 2 2" xfId="360"/>
    <cellStyle name="Normal 4 2 4 2 2 2" xfId="361"/>
    <cellStyle name="Normal 4 2 4 2 2 2 2" xfId="842"/>
    <cellStyle name="Normal 4 2 4 2 2 3" xfId="841"/>
    <cellStyle name="Normal 4 2 4 2 3" xfId="362"/>
    <cellStyle name="Normal 4 2 4 2 3 2" xfId="843"/>
    <cellStyle name="Normal 4 2 4 2 4" xfId="840"/>
    <cellStyle name="Normal 4 2 4 3" xfId="363"/>
    <cellStyle name="Normal 4 2 4 3 2" xfId="364"/>
    <cellStyle name="Normal 4 2 4 3 2 2" xfId="845"/>
    <cellStyle name="Normal 4 2 4 3 3" xfId="844"/>
    <cellStyle name="Normal 4 2 4 4" xfId="365"/>
    <cellStyle name="Normal 4 2 4 4 2" xfId="846"/>
    <cellStyle name="Normal 4 2 4 5" xfId="839"/>
    <cellStyle name="Normal 4 2 5" xfId="366"/>
    <cellStyle name="Normal 4 2 5 2" xfId="367"/>
    <cellStyle name="Normal 4 2 5 2 2" xfId="848"/>
    <cellStyle name="Normal 4 2 5 3" xfId="847"/>
    <cellStyle name="Normal 4 2 6" xfId="368"/>
    <cellStyle name="Normal 4 2 6 2" xfId="849"/>
    <cellStyle name="Normal 4 3" xfId="369"/>
    <cellStyle name="Normal 4 3 2" xfId="370"/>
    <cellStyle name="Normal 4 3 2 2" xfId="371"/>
    <cellStyle name="Normal 4 3 2 2 2" xfId="372"/>
    <cellStyle name="Normal 4 3 2 2 2 2" xfId="373"/>
    <cellStyle name="Normal 4 3 2 2 2 2 2" xfId="374"/>
    <cellStyle name="Normal 4 3 2 2 2 2 2 2" xfId="854"/>
    <cellStyle name="Normal 4 3 2 2 2 2 3" xfId="853"/>
    <cellStyle name="Normal 4 3 2 2 2 3" xfId="375"/>
    <cellStyle name="Normal 4 3 2 2 2 3 2" xfId="855"/>
    <cellStyle name="Normal 4 3 2 2 2 4" xfId="852"/>
    <cellStyle name="Normal 4 3 2 3" xfId="376"/>
    <cellStyle name="Normal 4 3 2 3 2" xfId="856"/>
    <cellStyle name="Normal 4 3 2 4" xfId="851"/>
    <cellStyle name="Normal 4 3 3" xfId="377"/>
    <cellStyle name="Normal 4 3 3 2" xfId="378"/>
    <cellStyle name="Normal 4 3 3 2 2" xfId="379"/>
    <cellStyle name="Normal 4 3 3 2 2 2" xfId="859"/>
    <cellStyle name="Normal 4 3 3 2 3" xfId="858"/>
    <cellStyle name="Normal 4 3 3 3" xfId="380"/>
    <cellStyle name="Normal 4 3 3 3 2" xfId="860"/>
    <cellStyle name="Normal 4 3 3 4" xfId="857"/>
    <cellStyle name="Normal 4 3 4" xfId="850"/>
    <cellStyle name="Normal 4 4" xfId="381"/>
    <cellStyle name="Normal 4 4 2" xfId="382"/>
    <cellStyle name="Normal 4 4 2 2" xfId="383"/>
    <cellStyle name="Normal 4 4 2 2 2" xfId="384"/>
    <cellStyle name="Normal 4 4 2 2 2 2" xfId="385"/>
    <cellStyle name="Normal 4 4 2 2 2 2 2" xfId="865"/>
    <cellStyle name="Normal 4 4 2 2 2 3" xfId="864"/>
    <cellStyle name="Normal 4 4 2 2 3" xfId="386"/>
    <cellStyle name="Normal 4 4 2 2 3 2" xfId="866"/>
    <cellStyle name="Normal 4 4 2 2 4" xfId="863"/>
    <cellStyle name="Normal 4 4 2 3" xfId="387"/>
    <cellStyle name="Normal 4 4 2 3 2" xfId="388"/>
    <cellStyle name="Normal 4 4 2 3 2 2" xfId="868"/>
    <cellStyle name="Normal 4 4 2 3 3" xfId="867"/>
    <cellStyle name="Normal 4 4 2 4" xfId="389"/>
    <cellStyle name="Normal 4 4 2 4 2" xfId="869"/>
    <cellStyle name="Normal 4 4 2 5" xfId="862"/>
    <cellStyle name="Normal 4 4 3" xfId="390"/>
    <cellStyle name="Normal 4 4 3 2" xfId="391"/>
    <cellStyle name="Normal 4 4 3 2 2" xfId="392"/>
    <cellStyle name="Normal 4 4 3 2 2 2" xfId="872"/>
    <cellStyle name="Normal 4 4 3 2 3" xfId="871"/>
    <cellStyle name="Normal 4 4 3 3" xfId="393"/>
    <cellStyle name="Normal 4 4 3 3 2" xfId="873"/>
    <cellStyle name="Normal 4 4 3 4" xfId="870"/>
    <cellStyle name="Normal 4 4 4" xfId="394"/>
    <cellStyle name="Normal 4 4 4 2" xfId="395"/>
    <cellStyle name="Normal 4 4 4 2 2" xfId="875"/>
    <cellStyle name="Normal 4 4 4 3" xfId="874"/>
    <cellStyle name="Normal 4 4 5" xfId="396"/>
    <cellStyle name="Normal 4 4 5 2" xfId="876"/>
    <cellStyle name="Normal 4 4 6" xfId="861"/>
    <cellStyle name="Normal 4 5" xfId="397"/>
    <cellStyle name="Normal 4 6" xfId="398"/>
    <cellStyle name="Normal 4 6 2" xfId="399"/>
    <cellStyle name="Normal 4 6 2 2" xfId="400"/>
    <cellStyle name="Normal 4 6 2 2 2" xfId="401"/>
    <cellStyle name="Normal 4 6 2 2 2 2" xfId="880"/>
    <cellStyle name="Normal 4 6 2 2 3" xfId="879"/>
    <cellStyle name="Normal 4 6 2 3" xfId="402"/>
    <cellStyle name="Normal 4 6 2 3 2" xfId="881"/>
    <cellStyle name="Normal 4 6 2 4" xfId="878"/>
    <cellStyle name="Normal 4 6 3" xfId="403"/>
    <cellStyle name="Normal 4 6 3 2" xfId="404"/>
    <cellStyle name="Normal 4 6 3 2 2" xfId="883"/>
    <cellStyle name="Normal 4 6 3 3" xfId="882"/>
    <cellStyle name="Normal 4 6 4" xfId="405"/>
    <cellStyle name="Normal 4 6 4 2" xfId="884"/>
    <cellStyle name="Normal 4 6 5" xfId="877"/>
    <cellStyle name="Normal 4 7" xfId="406"/>
    <cellStyle name="Normal 4 7 2" xfId="407"/>
    <cellStyle name="Normal 4 7 2 2" xfId="886"/>
    <cellStyle name="Normal 4 7 3" xfId="885"/>
    <cellStyle name="Normal 4 8" xfId="408"/>
    <cellStyle name="Normal 4 8 2" xfId="887"/>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2 2 2" xfId="894"/>
    <cellStyle name="Normal 5 2 2 2 2 2 3" xfId="893"/>
    <cellStyle name="Normal 5 2 2 2 2 3" xfId="416"/>
    <cellStyle name="Normal 5 2 2 2 2 3 2" xfId="895"/>
    <cellStyle name="Normal 5 2 2 2 2 4" xfId="892"/>
    <cellStyle name="Normal 5 2 2 2 3" xfId="417"/>
    <cellStyle name="Normal 5 2 2 2 3 2" xfId="418"/>
    <cellStyle name="Normal 5 2 2 2 3 2 2" xfId="897"/>
    <cellStyle name="Normal 5 2 2 2 3 3" xfId="896"/>
    <cellStyle name="Normal 5 2 2 2 4" xfId="419"/>
    <cellStyle name="Normal 5 2 2 2 4 2" xfId="898"/>
    <cellStyle name="Normal 5 2 2 2 5" xfId="891"/>
    <cellStyle name="Normal 5 2 2 3" xfId="420"/>
    <cellStyle name="Normal 5 2 2 3 2" xfId="421"/>
    <cellStyle name="Normal 5 2 2 3 2 2" xfId="422"/>
    <cellStyle name="Normal 5 2 2 3 2 2 2" xfId="901"/>
    <cellStyle name="Normal 5 2 2 3 2 3" xfId="900"/>
    <cellStyle name="Normal 5 2 2 3 3" xfId="423"/>
    <cellStyle name="Normal 5 2 2 3 3 2" xfId="902"/>
    <cellStyle name="Normal 5 2 2 3 4" xfId="899"/>
    <cellStyle name="Normal 5 2 2 4" xfId="424"/>
    <cellStyle name="Normal 5 2 2 4 2" xfId="425"/>
    <cellStyle name="Normal 5 2 2 4 2 2" xfId="904"/>
    <cellStyle name="Normal 5 2 2 4 3" xfId="903"/>
    <cellStyle name="Normal 5 2 2 5" xfId="426"/>
    <cellStyle name="Normal 5 2 2 5 2" xfId="905"/>
    <cellStyle name="Normal 5 2 2 6" xfId="890"/>
    <cellStyle name="Normal 5 2 3" xfId="427"/>
    <cellStyle name="Normal 5 2 3 2" xfId="428"/>
    <cellStyle name="Normal 5 2 3 2 2" xfId="429"/>
    <cellStyle name="Normal 5 2 3 2 2 2" xfId="430"/>
    <cellStyle name="Normal 5 2 3 2 2 2 2" xfId="909"/>
    <cellStyle name="Normal 5 2 3 2 2 3" xfId="908"/>
    <cellStyle name="Normal 5 2 3 2 3" xfId="431"/>
    <cellStyle name="Normal 5 2 3 2 3 2" xfId="910"/>
    <cellStyle name="Normal 5 2 3 2 4" xfId="907"/>
    <cellStyle name="Normal 5 2 3 3" xfId="432"/>
    <cellStyle name="Normal 5 2 3 3 2" xfId="433"/>
    <cellStyle name="Normal 5 2 3 3 2 2" xfId="912"/>
    <cellStyle name="Normal 5 2 3 3 3" xfId="911"/>
    <cellStyle name="Normal 5 2 3 4" xfId="434"/>
    <cellStyle name="Normal 5 2 3 4 2" xfId="913"/>
    <cellStyle name="Normal 5 2 3 5" xfId="906"/>
    <cellStyle name="Normal 5 2 4" xfId="435"/>
    <cellStyle name="Normal 5 2 4 2" xfId="436"/>
    <cellStyle name="Normal 5 2 4 2 2" xfId="437"/>
    <cellStyle name="Normal 5 2 4 2 2 2" xfId="916"/>
    <cellStyle name="Normal 5 2 4 2 3" xfId="915"/>
    <cellStyle name="Normal 5 2 4 3" xfId="438"/>
    <cellStyle name="Normal 5 2 4 3 2" xfId="917"/>
    <cellStyle name="Normal 5 2 4 4" xfId="914"/>
    <cellStyle name="Normal 5 2 5" xfId="439"/>
    <cellStyle name="Normal 5 2 5 2" xfId="440"/>
    <cellStyle name="Normal 5 2 5 2 2" xfId="919"/>
    <cellStyle name="Normal 5 2 5 3" xfId="918"/>
    <cellStyle name="Normal 5 2 6" xfId="441"/>
    <cellStyle name="Normal 5 2 6 2" xfId="920"/>
    <cellStyle name="Normal 5 2 7" xfId="889"/>
    <cellStyle name="Normal 5 3" xfId="442"/>
    <cellStyle name="Normal 5 3 2" xfId="443"/>
    <cellStyle name="Normal 5 3 2 2" xfId="922"/>
    <cellStyle name="Normal 5 3 3" xfId="444"/>
    <cellStyle name="Normal 5 3 3 2" xfId="445"/>
    <cellStyle name="Normal 5 3 3 2 2" xfId="446"/>
    <cellStyle name="Normal 5 3 3 2 2 2" xfId="447"/>
    <cellStyle name="Normal 5 3 3 2 2 2 2" xfId="926"/>
    <cellStyle name="Normal 5 3 3 2 2 3" xfId="925"/>
    <cellStyle name="Normal 5 3 3 2 3" xfId="448"/>
    <cellStyle name="Normal 5 3 3 2 3 2" xfId="927"/>
    <cellStyle name="Normal 5 3 3 2 4" xfId="924"/>
    <cellStyle name="Normal 5 3 3 3" xfId="449"/>
    <cellStyle name="Normal 5 3 3 3 2" xfId="450"/>
    <cellStyle name="Normal 5 3 3 3 2 2" xfId="929"/>
    <cellStyle name="Normal 5 3 3 3 3" xfId="928"/>
    <cellStyle name="Normal 5 3 3 4" xfId="451"/>
    <cellStyle name="Normal 5 3 3 4 2" xfId="930"/>
    <cellStyle name="Normal 5 3 3 5" xfId="923"/>
    <cellStyle name="Normal 5 3 4" xfId="452"/>
    <cellStyle name="Normal 5 3 4 2" xfId="453"/>
    <cellStyle name="Normal 5 3 4 2 2" xfId="454"/>
    <cellStyle name="Normal 5 3 4 2 2 2" xfId="933"/>
    <cellStyle name="Normal 5 3 4 2 3" xfId="932"/>
    <cellStyle name="Normal 5 3 4 3" xfId="455"/>
    <cellStyle name="Normal 5 3 4 3 2" xfId="934"/>
    <cellStyle name="Normal 5 3 4 4" xfId="931"/>
    <cellStyle name="Normal 5 3 5" xfId="456"/>
    <cellStyle name="Normal 5 3 5 2" xfId="457"/>
    <cellStyle name="Normal 5 3 5 2 2" xfId="936"/>
    <cellStyle name="Normal 5 3 5 3" xfId="935"/>
    <cellStyle name="Normal 5 3 6" xfId="458"/>
    <cellStyle name="Normal 5 3 6 2" xfId="937"/>
    <cellStyle name="Normal 5 3 7" xfId="921"/>
    <cellStyle name="Normal 5 4" xfId="459"/>
    <cellStyle name="Normal 5 4 2" xfId="460"/>
    <cellStyle name="Normal 5 4 2 2" xfId="461"/>
    <cellStyle name="Normal 5 4 2 2 2" xfId="462"/>
    <cellStyle name="Normal 5 4 2 2 2 2" xfId="941"/>
    <cellStyle name="Normal 5 4 2 2 3" xfId="940"/>
    <cellStyle name="Normal 5 4 2 3" xfId="463"/>
    <cellStyle name="Normal 5 4 2 3 2" xfId="942"/>
    <cellStyle name="Normal 5 4 2 4" xfId="939"/>
    <cellStyle name="Normal 5 4 3" xfId="464"/>
    <cellStyle name="Normal 5 4 3 2" xfId="465"/>
    <cellStyle name="Normal 5 4 3 2 2" xfId="944"/>
    <cellStyle name="Normal 5 4 3 3" xfId="943"/>
    <cellStyle name="Normal 5 4 4" xfId="466"/>
    <cellStyle name="Normal 5 4 4 2" xfId="945"/>
    <cellStyle name="Normal 5 4 5" xfId="938"/>
    <cellStyle name="Normal 5 5" xfId="467"/>
    <cellStyle name="Normal 5 5 2" xfId="468"/>
    <cellStyle name="Normal 5 5 2 2" xfId="469"/>
    <cellStyle name="Normal 5 5 2 2 2" xfId="948"/>
    <cellStyle name="Normal 5 5 2 3" xfId="947"/>
    <cellStyle name="Normal 5 5 3" xfId="470"/>
    <cellStyle name="Normal 5 5 3 2" xfId="949"/>
    <cellStyle name="Normal 5 5 4" xfId="946"/>
    <cellStyle name="Normal 5 6" xfId="471"/>
    <cellStyle name="Normal 5 6 2" xfId="472"/>
    <cellStyle name="Normal 5 6 2 2" xfId="951"/>
    <cellStyle name="Normal 5 6 3" xfId="950"/>
    <cellStyle name="Normal 5 7" xfId="473"/>
    <cellStyle name="Normal 5 7 2" xfId="952"/>
    <cellStyle name="Normal 5 8" xfId="888"/>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2 2 2" xfId="958"/>
    <cellStyle name="Normal 8 2 2 2 2 3" xfId="957"/>
    <cellStyle name="Normal 8 2 2 2 3" xfId="487"/>
    <cellStyle name="Normal 8 2 2 2 3 2" xfId="959"/>
    <cellStyle name="Normal 8 2 2 2 4" xfId="956"/>
    <cellStyle name="Normal 8 2 2 3" xfId="488"/>
    <cellStyle name="Normal 8 2 2 3 2" xfId="489"/>
    <cellStyle name="Normal 8 2 2 3 2 2" xfId="961"/>
    <cellStyle name="Normal 8 2 2 3 3" xfId="960"/>
    <cellStyle name="Normal 8 2 2 4" xfId="490"/>
    <cellStyle name="Normal 8 2 2 4 2" xfId="962"/>
    <cellStyle name="Normal 8 2 2 5" xfId="955"/>
    <cellStyle name="Normal 8 2 3" xfId="491"/>
    <cellStyle name="Normal 8 2 3 2" xfId="492"/>
    <cellStyle name="Normal 8 2 3 2 2" xfId="493"/>
    <cellStyle name="Normal 8 2 3 2 2 2" xfId="965"/>
    <cellStyle name="Normal 8 2 3 2 3" xfId="964"/>
    <cellStyle name="Normal 8 2 3 3" xfId="494"/>
    <cellStyle name="Normal 8 2 3 3 2" xfId="966"/>
    <cellStyle name="Normal 8 2 3 4" xfId="963"/>
    <cellStyle name="Normal 8 2 4" xfId="495"/>
    <cellStyle name="Normal 8 2 4 2" xfId="496"/>
    <cellStyle name="Normal 8 2 4 2 2" xfId="968"/>
    <cellStyle name="Normal 8 2 4 3" xfId="967"/>
    <cellStyle name="Normal 8 2 5" xfId="497"/>
    <cellStyle name="Normal 8 2 5 2" xfId="969"/>
    <cellStyle name="Normal 8 2 6" xfId="954"/>
    <cellStyle name="Normal 8 3" xfId="498"/>
    <cellStyle name="Normal 8 3 2" xfId="499"/>
    <cellStyle name="Normal 8 3 2 2" xfId="500"/>
    <cellStyle name="Normal 8 3 2 2 2" xfId="501"/>
    <cellStyle name="Normal 8 3 2 2 2 2" xfId="973"/>
    <cellStyle name="Normal 8 3 2 2 3" xfId="972"/>
    <cellStyle name="Normal 8 3 2 3" xfId="502"/>
    <cellStyle name="Normal 8 3 2 3 2" xfId="974"/>
    <cellStyle name="Normal 8 3 2 4" xfId="971"/>
    <cellStyle name="Normal 8 3 3" xfId="503"/>
    <cellStyle name="Normal 8 3 3 2" xfId="504"/>
    <cellStyle name="Normal 8 3 3 2 2" xfId="976"/>
    <cellStyle name="Normal 8 3 3 3" xfId="975"/>
    <cellStyle name="Normal 8 3 4" xfId="505"/>
    <cellStyle name="Normal 8 3 4 2" xfId="977"/>
    <cellStyle name="Normal 8 3 5" xfId="970"/>
    <cellStyle name="Normal 8 4" xfId="506"/>
    <cellStyle name="Normal 8 4 2" xfId="507"/>
    <cellStyle name="Normal 8 4 2 2" xfId="508"/>
    <cellStyle name="Normal 8 4 2 2 2" xfId="980"/>
    <cellStyle name="Normal 8 4 2 3" xfId="979"/>
    <cellStyle name="Normal 8 4 3" xfId="509"/>
    <cellStyle name="Normal 8 4 3 2" xfId="981"/>
    <cellStyle name="Normal 8 4 4" xfId="978"/>
    <cellStyle name="Normal 8 5" xfId="510"/>
    <cellStyle name="Normal 8 5 2" xfId="511"/>
    <cellStyle name="Normal 8 5 2 2" xfId="983"/>
    <cellStyle name="Normal 8 5 3" xfId="982"/>
    <cellStyle name="Normal 8 6" xfId="512"/>
    <cellStyle name="Normal 8 6 2" xfId="984"/>
    <cellStyle name="Normal 8 7" xfId="953"/>
    <cellStyle name="Normal 9" xfId="513"/>
    <cellStyle name="Normal 9 2" xfId="514"/>
    <cellStyle name="Normal 9 2 2" xfId="515"/>
    <cellStyle name="Normal 9 2 2 2" xfId="516"/>
    <cellStyle name="Normal 9 2 2 2 2" xfId="517"/>
    <cellStyle name="Normal 9 2 2 2 2 2" xfId="518"/>
    <cellStyle name="Normal 9 2 2 2 2 2 2" xfId="990"/>
    <cellStyle name="Normal 9 2 2 2 2 3" xfId="989"/>
    <cellStyle name="Normal 9 2 2 2 3" xfId="519"/>
    <cellStyle name="Normal 9 2 2 2 3 2" xfId="991"/>
    <cellStyle name="Normal 9 2 2 2 4" xfId="988"/>
    <cellStyle name="Normal 9 2 2 3" xfId="520"/>
    <cellStyle name="Normal 9 2 2 3 2" xfId="521"/>
    <cellStyle name="Normal 9 2 2 3 2 2" xfId="993"/>
    <cellStyle name="Normal 9 2 2 3 3" xfId="992"/>
    <cellStyle name="Normal 9 2 2 4" xfId="522"/>
    <cellStyle name="Normal 9 2 2 4 2" xfId="994"/>
    <cellStyle name="Normal 9 2 2 5" xfId="987"/>
    <cellStyle name="Normal 9 2 3" xfId="523"/>
    <cellStyle name="Normal 9 2 3 2" xfId="524"/>
    <cellStyle name="Normal 9 2 3 2 2" xfId="525"/>
    <cellStyle name="Normal 9 2 3 2 2 2" xfId="997"/>
    <cellStyle name="Normal 9 2 3 2 3" xfId="996"/>
    <cellStyle name="Normal 9 2 3 3" xfId="526"/>
    <cellStyle name="Normal 9 2 3 3 2" xfId="998"/>
    <cellStyle name="Normal 9 2 3 4" xfId="995"/>
    <cellStyle name="Normal 9 2 4" xfId="527"/>
    <cellStyle name="Normal 9 2 4 2" xfId="528"/>
    <cellStyle name="Normal 9 2 4 2 2" xfId="1000"/>
    <cellStyle name="Normal 9 2 4 3" xfId="999"/>
    <cellStyle name="Normal 9 2 5" xfId="529"/>
    <cellStyle name="Normal 9 2 5 2" xfId="1001"/>
    <cellStyle name="Normal 9 2 6" xfId="986"/>
    <cellStyle name="Normal 9 3" xfId="530"/>
    <cellStyle name="Normal 9 3 2" xfId="531"/>
    <cellStyle name="Normal 9 3 2 2" xfId="532"/>
    <cellStyle name="Normal 9 3 2 2 2" xfId="533"/>
    <cellStyle name="Normal 9 3 2 2 2 2" xfId="1005"/>
    <cellStyle name="Normal 9 3 2 2 3" xfId="1004"/>
    <cellStyle name="Normal 9 3 2 3" xfId="534"/>
    <cellStyle name="Normal 9 3 2 3 2" xfId="1006"/>
    <cellStyle name="Normal 9 3 2 4" xfId="1003"/>
    <cellStyle name="Normal 9 3 3" xfId="535"/>
    <cellStyle name="Normal 9 3 3 2" xfId="536"/>
    <cellStyle name="Normal 9 3 3 2 2" xfId="1008"/>
    <cellStyle name="Normal 9 3 3 3" xfId="1007"/>
    <cellStyle name="Normal 9 3 4" xfId="537"/>
    <cellStyle name="Normal 9 3 4 2" xfId="1009"/>
    <cellStyle name="Normal 9 3 5" xfId="1002"/>
    <cellStyle name="Normal 9 4" xfId="538"/>
    <cellStyle name="Normal 9 4 2" xfId="1010"/>
    <cellStyle name="Normal 9 5" xfId="539"/>
    <cellStyle name="Normal 9 5 2" xfId="540"/>
    <cellStyle name="Normal 9 5 2 2" xfId="1012"/>
    <cellStyle name="Normal 9 5 3" xfId="1011"/>
    <cellStyle name="Normal 9 6" xfId="541"/>
    <cellStyle name="Normal 9 6 2" xfId="1013"/>
    <cellStyle name="Normal 9 7" xfId="985"/>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2 2 2" xfId="1016"/>
    <cellStyle name="Note 2 2 2 3" xfId="1015"/>
    <cellStyle name="Note 2 2 3" xfId="552"/>
    <cellStyle name="Note 2 2 3 2" xfId="1017"/>
    <cellStyle name="Note 2 2 4" xfId="1014"/>
    <cellStyle name="Note 2 3" xfId="553"/>
    <cellStyle name="Note 2 3 2" xfId="554"/>
    <cellStyle name="Note 2 3 2 2" xfId="1019"/>
    <cellStyle name="Note 2 3 3" xfId="1018"/>
    <cellStyle name="Note 2 4" xfId="555"/>
    <cellStyle name="Note 2 4 2" xfId="1020"/>
    <cellStyle name="Note 2 5" xfId="556"/>
    <cellStyle name="Note 2 5 2" xfId="1021"/>
    <cellStyle name="Note 3" xfId="557"/>
    <cellStyle name="Note 3 2" xfId="558"/>
    <cellStyle name="Note 3 2 2" xfId="559"/>
    <cellStyle name="Note 3 2 2 2" xfId="560"/>
    <cellStyle name="Note 3 2 2 2 2" xfId="1024"/>
    <cellStyle name="Note 3 2 2 3" xfId="1023"/>
    <cellStyle name="Note 3 2 3" xfId="561"/>
    <cellStyle name="Note 3 2 3 2" xfId="1025"/>
    <cellStyle name="Note 3 2 4" xfId="1022"/>
    <cellStyle name="Note 3 3" xfId="562"/>
    <cellStyle name="Note 3 3 2" xfId="563"/>
    <cellStyle name="Note 3 3 2 2" xfId="1027"/>
    <cellStyle name="Note 3 3 3" xfId="1026"/>
    <cellStyle name="Note 3 4" xfId="564"/>
    <cellStyle name="Note 3 4 2" xfId="1028"/>
    <cellStyle name="Note 3 5" xfId="565"/>
    <cellStyle name="Note 3 5 2" xfId="1029"/>
    <cellStyle name="Output" xfId="566" builtinId="21" customBuiltin="1"/>
    <cellStyle name="Output 2" xfId="567"/>
    <cellStyle name="Percent" xfId="573" builtinId="5"/>
    <cellStyle name="Percent 2" xfId="1030"/>
    <cellStyle name="Percent 3" xfId="577"/>
    <cellStyle name="Text Entry" xfId="568"/>
    <cellStyle name="Title 2" xfId="569"/>
    <cellStyle name="Total" xfId="570" builtinId="25" customBuiltin="1"/>
    <cellStyle name="Total 2" xfId="571"/>
    <cellStyle name="Warning Text" xfId="572" builtinId="11" customBuiltin="1"/>
  </cellStyles>
  <dxfs count="141">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104775</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ha.org\userdata\fha.org\userdata\fha.org\userdata\fha.org\userdata\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ha.org\userdata\fha.org\userdata\fha.org\userdata\fha.org\userdata\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ha.org\userdata\fha.org\userdata\fha.org\userdata\fha.org\userdata\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s>
    <sheetDataSet>
      <sheetData sheetId="0" refreshError="1"/>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72" hidden="1"/>
  </cols>
  <sheetData>
    <row r="1" spans="1:38">
      <c r="A1" s="1553" t="s">
        <v>2132</v>
      </c>
      <c r="B1" s="1553"/>
      <c r="C1" s="1553"/>
      <c r="D1" s="1553"/>
      <c r="E1" s="1553"/>
      <c r="F1" s="1553"/>
      <c r="G1" s="1553"/>
      <c r="H1" s="1553"/>
      <c r="I1" s="1553"/>
      <c r="J1" s="1553"/>
      <c r="K1" s="1553"/>
      <c r="L1" s="1553"/>
      <c r="M1" s="1553"/>
      <c r="N1" s="1553"/>
      <c r="O1" s="1553"/>
      <c r="P1" s="1553"/>
      <c r="Q1" s="1553"/>
      <c r="R1" s="1553"/>
      <c r="S1" s="1553"/>
      <c r="T1" s="1553"/>
      <c r="U1" s="1553"/>
      <c r="V1" s="1553"/>
      <c r="W1" s="1553"/>
      <c r="X1" s="1553"/>
      <c r="Y1" s="1553"/>
      <c r="Z1" s="1553"/>
      <c r="AA1" s="1553"/>
      <c r="AB1" s="1553"/>
      <c r="AC1" s="1553"/>
      <c r="AD1" s="1553"/>
      <c r="AE1" s="1553"/>
      <c r="AF1" s="1553"/>
      <c r="AG1" s="1553"/>
      <c r="AH1" s="1553"/>
      <c r="AI1" s="1553"/>
      <c r="AJ1" s="1553"/>
      <c r="AK1" s="1553"/>
      <c r="AL1" s="1554"/>
    </row>
    <row r="2" spans="1:38" ht="13.5" thickBot="1">
      <c r="A2" s="1555"/>
      <c r="B2" s="1555"/>
      <c r="C2" s="1555"/>
      <c r="D2" s="1555"/>
      <c r="E2" s="1555"/>
      <c r="F2" s="1555"/>
      <c r="G2" s="1555"/>
      <c r="H2" s="1555"/>
      <c r="I2" s="1555"/>
      <c r="J2" s="1555"/>
      <c r="K2" s="1555"/>
      <c r="L2" s="1555"/>
      <c r="M2" s="1555"/>
      <c r="N2" s="1555"/>
      <c r="O2" s="1555"/>
      <c r="P2" s="1555"/>
      <c r="Q2" s="1555"/>
      <c r="R2" s="1555"/>
      <c r="S2" s="1555"/>
      <c r="T2" s="1555"/>
      <c r="U2" s="1555"/>
      <c r="V2" s="1555"/>
      <c r="W2" s="1555"/>
      <c r="X2" s="1555"/>
      <c r="Y2" s="1555"/>
      <c r="Z2" s="1555"/>
      <c r="AA2" s="1555"/>
      <c r="AB2" s="1555"/>
      <c r="AC2" s="1555"/>
      <c r="AD2" s="1555"/>
      <c r="AE2" s="1555"/>
      <c r="AF2" s="1555"/>
      <c r="AG2" s="1555"/>
      <c r="AH2" s="1555"/>
      <c r="AI2" s="1555"/>
      <c r="AJ2" s="1555"/>
      <c r="AK2" s="1555"/>
      <c r="AL2" s="1556"/>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4" t="s">
        <v>796</v>
      </c>
      <c r="C4" s="1064"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901</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57" t="s">
        <v>2136</v>
      </c>
      <c r="E7" s="1557"/>
      <c r="F7" s="1557"/>
      <c r="G7" s="1557"/>
      <c r="H7" s="1557"/>
      <c r="I7" s="1557"/>
      <c r="J7" s="1557"/>
      <c r="K7" s="1557"/>
      <c r="L7" s="1557"/>
      <c r="M7" s="1557"/>
      <c r="N7" s="1557"/>
      <c r="O7" s="1557"/>
      <c r="P7" s="1557"/>
      <c r="Q7" s="1557"/>
      <c r="R7" s="1557"/>
      <c r="S7" s="1557"/>
      <c r="T7" s="1557"/>
      <c r="U7" s="1557"/>
      <c r="V7" s="1557"/>
      <c r="W7" s="1557"/>
      <c r="X7" s="1557"/>
      <c r="Y7" s="1557"/>
      <c r="Z7" s="1557"/>
      <c r="AA7" s="1557"/>
      <c r="AB7" s="1557"/>
      <c r="AC7" s="1557"/>
      <c r="AD7" s="1557"/>
      <c r="AE7" s="1557"/>
      <c r="AF7" s="1557"/>
      <c r="AG7" s="1557"/>
      <c r="AH7" s="1557"/>
      <c r="AI7" s="1557"/>
      <c r="AJ7" s="1557"/>
      <c r="AK7" s="1557"/>
      <c r="AL7" s="1"/>
    </row>
    <row r="8" spans="1:38">
      <c r="A8" s="283"/>
      <c r="B8" s="1"/>
      <c r="C8" s="358"/>
      <c r="D8" s="1557"/>
      <c r="E8" s="1557"/>
      <c r="F8" s="1557"/>
      <c r="G8" s="1557"/>
      <c r="H8" s="1557"/>
      <c r="I8" s="1557"/>
      <c r="J8" s="1557"/>
      <c r="K8" s="1557"/>
      <c r="L8" s="1557"/>
      <c r="M8" s="1557"/>
      <c r="N8" s="1557"/>
      <c r="O8" s="1557"/>
      <c r="P8" s="1557"/>
      <c r="Q8" s="1557"/>
      <c r="R8" s="1557"/>
      <c r="S8" s="1557"/>
      <c r="T8" s="1557"/>
      <c r="U8" s="1557"/>
      <c r="V8" s="1557"/>
      <c r="W8" s="1557"/>
      <c r="X8" s="1557"/>
      <c r="Y8" s="1557"/>
      <c r="Z8" s="1557"/>
      <c r="AA8" s="1557"/>
      <c r="AB8" s="1557"/>
      <c r="AC8" s="1557"/>
      <c r="AD8" s="1557"/>
      <c r="AE8" s="1557"/>
      <c r="AF8" s="1557"/>
      <c r="AG8" s="1557"/>
      <c r="AH8" s="1557"/>
      <c r="AI8" s="1557"/>
      <c r="AJ8" s="1557"/>
      <c r="AK8" s="1557"/>
      <c r="AL8" s="1"/>
    </row>
    <row r="9" spans="1:38">
      <c r="A9" s="283"/>
      <c r="B9" s="1"/>
      <c r="C9" s="358"/>
      <c r="D9" s="1557"/>
      <c r="E9" s="1557"/>
      <c r="F9" s="1557"/>
      <c r="G9" s="1557"/>
      <c r="H9" s="1557"/>
      <c r="I9" s="1557"/>
      <c r="J9" s="1557"/>
      <c r="K9" s="1557"/>
      <c r="L9" s="1557"/>
      <c r="M9" s="1557"/>
      <c r="N9" s="1557"/>
      <c r="O9" s="1557"/>
      <c r="P9" s="1557"/>
      <c r="Q9" s="1557"/>
      <c r="R9" s="1557"/>
      <c r="S9" s="1557"/>
      <c r="T9" s="1557"/>
      <c r="U9" s="1557"/>
      <c r="V9" s="1557"/>
      <c r="W9" s="1557"/>
      <c r="X9" s="1557"/>
      <c r="Y9" s="1557"/>
      <c r="Z9" s="1557"/>
      <c r="AA9" s="1557"/>
      <c r="AB9" s="1557"/>
      <c r="AC9" s="1557"/>
      <c r="AD9" s="1557"/>
      <c r="AE9" s="1557"/>
      <c r="AF9" s="1557"/>
      <c r="AG9" s="1557"/>
      <c r="AH9" s="1557"/>
      <c r="AI9" s="1557"/>
      <c r="AJ9" s="1557"/>
      <c r="AK9" s="1557"/>
      <c r="AL9" s="1"/>
    </row>
    <row r="10" spans="1:38">
      <c r="A10" s="283"/>
      <c r="B10" s="1"/>
      <c r="C10" s="358"/>
      <c r="D10" s="1557"/>
      <c r="E10" s="1557"/>
      <c r="F10" s="1557"/>
      <c r="G10" s="1557"/>
      <c r="H10" s="1557"/>
      <c r="I10" s="1557"/>
      <c r="J10" s="1557"/>
      <c r="K10" s="1557"/>
      <c r="L10" s="1557"/>
      <c r="M10" s="1557"/>
      <c r="N10" s="1557"/>
      <c r="O10" s="1557"/>
      <c r="P10" s="1557"/>
      <c r="Q10" s="1557"/>
      <c r="R10" s="1557"/>
      <c r="S10" s="1557"/>
      <c r="T10" s="1557"/>
      <c r="U10" s="1557"/>
      <c r="V10" s="1557"/>
      <c r="W10" s="1557"/>
      <c r="X10" s="1557"/>
      <c r="Y10" s="1557"/>
      <c r="Z10" s="1557"/>
      <c r="AA10" s="1557"/>
      <c r="AB10" s="1557"/>
      <c r="AC10" s="1557"/>
      <c r="AD10" s="1557"/>
      <c r="AE10" s="1557"/>
      <c r="AF10" s="1557"/>
      <c r="AG10" s="1557"/>
      <c r="AH10" s="1557"/>
      <c r="AI10" s="1557"/>
      <c r="AJ10" s="1557"/>
      <c r="AK10" s="1557"/>
      <c r="AL10" s="1"/>
    </row>
    <row r="11" spans="1:38">
      <c r="A11" s="283"/>
      <c r="B11" s="1"/>
      <c r="C11" s="358"/>
      <c r="D11" s="1557"/>
      <c r="E11" s="1557"/>
      <c r="F11" s="1557"/>
      <c r="G11" s="1557"/>
      <c r="H11" s="1557"/>
      <c r="I11" s="1557"/>
      <c r="J11" s="1557"/>
      <c r="K11" s="1557"/>
      <c r="L11" s="1557"/>
      <c r="M11" s="1557"/>
      <c r="N11" s="1557"/>
      <c r="O11" s="1557"/>
      <c r="P11" s="1557"/>
      <c r="Q11" s="1557"/>
      <c r="R11" s="1557"/>
      <c r="S11" s="1557"/>
      <c r="T11" s="1557"/>
      <c r="U11" s="1557"/>
      <c r="V11" s="1557"/>
      <c r="W11" s="1557"/>
      <c r="X11" s="1557"/>
      <c r="Y11" s="1557"/>
      <c r="Z11" s="1557"/>
      <c r="AA11" s="1557"/>
      <c r="AB11" s="1557"/>
      <c r="AC11" s="1557"/>
      <c r="AD11" s="1557"/>
      <c r="AE11" s="1557"/>
      <c r="AF11" s="1557"/>
      <c r="AG11" s="1557"/>
      <c r="AH11" s="1557"/>
      <c r="AI11" s="1557"/>
      <c r="AJ11" s="1557"/>
      <c r="AK11" s="1557"/>
      <c r="AL11" s="1"/>
    </row>
    <row r="12" spans="1:38">
      <c r="A12" s="283"/>
      <c r="B12" s="1"/>
      <c r="C12" s="358"/>
      <c r="D12" s="1557"/>
      <c r="E12" s="1557"/>
      <c r="F12" s="1557"/>
      <c r="G12" s="1557"/>
      <c r="H12" s="1557"/>
      <c r="I12" s="1557"/>
      <c r="J12" s="1557"/>
      <c r="K12" s="1557"/>
      <c r="L12" s="1557"/>
      <c r="M12" s="1557"/>
      <c r="N12" s="1557"/>
      <c r="O12" s="1557"/>
      <c r="P12" s="1557"/>
      <c r="Q12" s="1557"/>
      <c r="R12" s="1557"/>
      <c r="S12" s="1557"/>
      <c r="T12" s="1557"/>
      <c r="U12" s="1557"/>
      <c r="V12" s="1557"/>
      <c r="W12" s="1557"/>
      <c r="X12" s="1557"/>
      <c r="Y12" s="1557"/>
      <c r="Z12" s="1557"/>
      <c r="AA12" s="1557"/>
      <c r="AB12" s="1557"/>
      <c r="AC12" s="1557"/>
      <c r="AD12" s="1557"/>
      <c r="AE12" s="1557"/>
      <c r="AF12" s="1557"/>
      <c r="AG12" s="1557"/>
      <c r="AH12" s="1557"/>
      <c r="AI12" s="1557"/>
      <c r="AJ12" s="1557"/>
      <c r="AK12" s="1557"/>
      <c r="AL12" s="1"/>
    </row>
    <row r="13" spans="1:38">
      <c r="A13" s="283"/>
      <c r="B13" s="1"/>
      <c r="C13" s="358"/>
      <c r="D13" s="1557"/>
      <c r="E13" s="1557"/>
      <c r="F13" s="1557"/>
      <c r="G13" s="1557"/>
      <c r="H13" s="1557"/>
      <c r="I13" s="1557"/>
      <c r="J13" s="1557"/>
      <c r="K13" s="1557"/>
      <c r="L13" s="1557"/>
      <c r="M13" s="1557"/>
      <c r="N13" s="1557"/>
      <c r="O13" s="1557"/>
      <c r="P13" s="1557"/>
      <c r="Q13" s="1557"/>
      <c r="R13" s="1557"/>
      <c r="S13" s="1557"/>
      <c r="T13" s="1557"/>
      <c r="U13" s="1557"/>
      <c r="V13" s="1557"/>
      <c r="W13" s="1557"/>
      <c r="X13" s="1557"/>
      <c r="Y13" s="1557"/>
      <c r="Z13" s="1557"/>
      <c r="AA13" s="1557"/>
      <c r="AB13" s="1557"/>
      <c r="AC13" s="1557"/>
      <c r="AD13" s="1557"/>
      <c r="AE13" s="1557"/>
      <c r="AF13" s="1557"/>
      <c r="AG13" s="1557"/>
      <c r="AH13" s="1557"/>
      <c r="AI13" s="1557"/>
      <c r="AJ13" s="1557"/>
      <c r="AK13" s="1557"/>
      <c r="AL13" s="1"/>
    </row>
    <row r="14" spans="1:38">
      <c r="A14" s="283"/>
      <c r="B14" s="1"/>
      <c r="C14" s="358"/>
      <c r="D14" s="1557"/>
      <c r="E14" s="1557"/>
      <c r="F14" s="1557"/>
      <c r="G14" s="1557"/>
      <c r="H14" s="1557"/>
      <c r="I14" s="1557"/>
      <c r="J14" s="1557"/>
      <c r="K14" s="1557"/>
      <c r="L14" s="1557"/>
      <c r="M14" s="1557"/>
      <c r="N14" s="1557"/>
      <c r="O14" s="1557"/>
      <c r="P14" s="1557"/>
      <c r="Q14" s="1557"/>
      <c r="R14" s="1557"/>
      <c r="S14" s="1557"/>
      <c r="T14" s="1557"/>
      <c r="U14" s="1557"/>
      <c r="V14" s="1557"/>
      <c r="W14" s="1557"/>
      <c r="X14" s="1557"/>
      <c r="Y14" s="1557"/>
      <c r="Z14" s="1557"/>
      <c r="AA14" s="1557"/>
      <c r="AB14" s="1557"/>
      <c r="AC14" s="1557"/>
      <c r="AD14" s="1557"/>
      <c r="AE14" s="1557"/>
      <c r="AF14" s="1557"/>
      <c r="AG14" s="1557"/>
      <c r="AH14" s="1557"/>
      <c r="AI14" s="1557"/>
      <c r="AJ14" s="1557"/>
      <c r="AK14" s="1557"/>
      <c r="AL14" s="1"/>
    </row>
    <row r="15" spans="1:38">
      <c r="A15" s="283"/>
      <c r="B15" s="1"/>
      <c r="C15" s="358"/>
      <c r="D15" s="1557"/>
      <c r="E15" s="1557"/>
      <c r="F15" s="1557"/>
      <c r="G15" s="1557"/>
      <c r="H15" s="1557"/>
      <c r="I15" s="1557"/>
      <c r="J15" s="1557"/>
      <c r="K15" s="1557"/>
      <c r="L15" s="1557"/>
      <c r="M15" s="1557"/>
      <c r="N15" s="1557"/>
      <c r="O15" s="1557"/>
      <c r="P15" s="1557"/>
      <c r="Q15" s="1557"/>
      <c r="R15" s="1557"/>
      <c r="S15" s="1557"/>
      <c r="T15" s="1557"/>
      <c r="U15" s="1557"/>
      <c r="V15" s="1557"/>
      <c r="W15" s="1557"/>
      <c r="X15" s="1557"/>
      <c r="Y15" s="1557"/>
      <c r="Z15" s="1557"/>
      <c r="AA15" s="1557"/>
      <c r="AB15" s="1557"/>
      <c r="AC15" s="1557"/>
      <c r="AD15" s="1557"/>
      <c r="AE15" s="1557"/>
      <c r="AF15" s="1557"/>
      <c r="AG15" s="1557"/>
      <c r="AH15" s="1557"/>
      <c r="AI15" s="1557"/>
      <c r="AJ15" s="1557"/>
      <c r="AK15" s="1557"/>
      <c r="AL15" s="1"/>
    </row>
    <row r="16" spans="1:38">
      <c r="A16" s="283"/>
      <c r="B16" s="1"/>
      <c r="C16" s="358"/>
      <c r="D16" s="1557"/>
      <c r="E16" s="1557"/>
      <c r="F16" s="1557"/>
      <c r="G16" s="1557"/>
      <c r="H16" s="1557"/>
      <c r="I16" s="1557"/>
      <c r="J16" s="1557"/>
      <c r="K16" s="1557"/>
      <c r="L16" s="1557"/>
      <c r="M16" s="1557"/>
      <c r="N16" s="1557"/>
      <c r="O16" s="1557"/>
      <c r="P16" s="1557"/>
      <c r="Q16" s="1557"/>
      <c r="R16" s="1557"/>
      <c r="S16" s="1557"/>
      <c r="T16" s="1557"/>
      <c r="U16" s="1557"/>
      <c r="V16" s="1557"/>
      <c r="W16" s="1557"/>
      <c r="X16" s="1557"/>
      <c r="Y16" s="1557"/>
      <c r="Z16" s="1557"/>
      <c r="AA16" s="1557"/>
      <c r="AB16" s="1557"/>
      <c r="AC16" s="1557"/>
      <c r="AD16" s="1557"/>
      <c r="AE16" s="1557"/>
      <c r="AF16" s="1557"/>
      <c r="AG16" s="1557"/>
      <c r="AH16" s="1557"/>
      <c r="AI16" s="1557"/>
      <c r="AJ16" s="1557"/>
      <c r="AK16" s="1557"/>
      <c r="AL16" s="1"/>
    </row>
    <row r="17" spans="1:38">
      <c r="A17" s="283"/>
      <c r="B17" s="1"/>
      <c r="C17" s="358"/>
      <c r="D17" s="1557"/>
      <c r="E17" s="1557"/>
      <c r="F17" s="1557"/>
      <c r="G17" s="1557"/>
      <c r="H17" s="1557"/>
      <c r="I17" s="1557"/>
      <c r="J17" s="1557"/>
      <c r="K17" s="1557"/>
      <c r="L17" s="1557"/>
      <c r="M17" s="1557"/>
      <c r="N17" s="1557"/>
      <c r="O17" s="1557"/>
      <c r="P17" s="1557"/>
      <c r="Q17" s="1557"/>
      <c r="R17" s="1557"/>
      <c r="S17" s="1557"/>
      <c r="T17" s="1557"/>
      <c r="U17" s="1557"/>
      <c r="V17" s="1557"/>
      <c r="W17" s="1557"/>
      <c r="X17" s="1557"/>
      <c r="Y17" s="1557"/>
      <c r="Z17" s="1557"/>
      <c r="AA17" s="1557"/>
      <c r="AB17" s="1557"/>
      <c r="AC17" s="1557"/>
      <c r="AD17" s="1557"/>
      <c r="AE17" s="1557"/>
      <c r="AF17" s="1557"/>
      <c r="AG17" s="1557"/>
      <c r="AH17" s="1557"/>
      <c r="AI17" s="1557"/>
      <c r="AJ17" s="1557"/>
      <c r="AK17" s="1557"/>
      <c r="AL17" s="1"/>
    </row>
    <row r="18" spans="1:38" ht="11.1" customHeight="1">
      <c r="A18" s="283"/>
      <c r="B18" s="1"/>
      <c r="C18" s="358"/>
      <c r="D18" s="1557"/>
      <c r="E18" s="1557"/>
      <c r="F18" s="1557"/>
      <c r="G18" s="1557"/>
      <c r="H18" s="1557"/>
      <c r="I18" s="1557"/>
      <c r="J18" s="1557"/>
      <c r="K18" s="1557"/>
      <c r="L18" s="1557"/>
      <c r="M18" s="1557"/>
      <c r="N18" s="1557"/>
      <c r="O18" s="1557"/>
      <c r="P18" s="1557"/>
      <c r="Q18" s="1557"/>
      <c r="R18" s="1557"/>
      <c r="S18" s="1557"/>
      <c r="T18" s="1557"/>
      <c r="U18" s="1557"/>
      <c r="V18" s="1557"/>
      <c r="W18" s="1557"/>
      <c r="X18" s="1557"/>
      <c r="Y18" s="1557"/>
      <c r="Z18" s="1557"/>
      <c r="AA18" s="1557"/>
      <c r="AB18" s="1557"/>
      <c r="AC18" s="1557"/>
      <c r="AD18" s="1557"/>
      <c r="AE18" s="1557"/>
      <c r="AF18" s="1557"/>
      <c r="AG18" s="1557"/>
      <c r="AH18" s="1557"/>
      <c r="AI18" s="1557"/>
      <c r="AJ18" s="1557"/>
      <c r="AK18" s="1557"/>
      <c r="AL18" s="1"/>
    </row>
    <row r="19" spans="1:38" ht="13.7" customHeight="1">
      <c r="A19" s="283"/>
      <c r="B19" s="1"/>
      <c r="C19" s="358"/>
      <c r="D19" s="1557" t="s">
        <v>2318</v>
      </c>
      <c r="E19" s="1557"/>
      <c r="F19" s="1557"/>
      <c r="G19" s="1557"/>
      <c r="H19" s="1557"/>
      <c r="I19" s="1557"/>
      <c r="J19" s="1557"/>
      <c r="K19" s="1557"/>
      <c r="L19" s="1557"/>
      <c r="M19" s="1557"/>
      <c r="N19" s="1557"/>
      <c r="O19" s="1557"/>
      <c r="P19" s="1557"/>
      <c r="Q19" s="1557"/>
      <c r="R19" s="1557"/>
      <c r="S19" s="1557"/>
      <c r="T19" s="1557"/>
      <c r="U19" s="1557"/>
      <c r="V19" s="1557"/>
      <c r="W19" s="1557"/>
      <c r="X19" s="1557"/>
      <c r="Y19" s="1557"/>
      <c r="Z19" s="1557"/>
      <c r="AA19" s="1557"/>
      <c r="AB19" s="1557"/>
      <c r="AC19" s="1557"/>
      <c r="AD19" s="1557"/>
      <c r="AE19" s="1557"/>
      <c r="AF19" s="1557"/>
      <c r="AG19" s="1557"/>
      <c r="AH19" s="1557"/>
      <c r="AI19" s="1557"/>
      <c r="AJ19" s="1557"/>
      <c r="AK19" s="1557"/>
      <c r="AL19" s="1"/>
    </row>
    <row r="20" spans="1:38">
      <c r="A20" s="283"/>
      <c r="B20" s="1"/>
      <c r="C20" s="358"/>
      <c r="D20" s="1557"/>
      <c r="E20" s="1557"/>
      <c r="F20" s="1557"/>
      <c r="G20" s="1557"/>
      <c r="H20" s="1557"/>
      <c r="I20" s="1557"/>
      <c r="J20" s="1557"/>
      <c r="K20" s="1557"/>
      <c r="L20" s="1557"/>
      <c r="M20" s="1557"/>
      <c r="N20" s="1557"/>
      <c r="O20" s="1557"/>
      <c r="P20" s="1557"/>
      <c r="Q20" s="1557"/>
      <c r="R20" s="1557"/>
      <c r="S20" s="1557"/>
      <c r="T20" s="1557"/>
      <c r="U20" s="1557"/>
      <c r="V20" s="1557"/>
      <c r="W20" s="1557"/>
      <c r="X20" s="1557"/>
      <c r="Y20" s="1557"/>
      <c r="Z20" s="1557"/>
      <c r="AA20" s="1557"/>
      <c r="AB20" s="1557"/>
      <c r="AC20" s="1557"/>
      <c r="AD20" s="1557"/>
      <c r="AE20" s="1557"/>
      <c r="AF20" s="1557"/>
      <c r="AG20" s="1557"/>
      <c r="AH20" s="1557"/>
      <c r="AI20" s="1557"/>
      <c r="AJ20" s="1557"/>
      <c r="AK20" s="1557"/>
      <c r="AL20" s="1"/>
    </row>
    <row r="21" spans="1:38">
      <c r="A21" s="283"/>
      <c r="B21" s="1"/>
      <c r="C21" s="358"/>
      <c r="D21" s="1557"/>
      <c r="E21" s="1557"/>
      <c r="F21" s="1557"/>
      <c r="G21" s="1557"/>
      <c r="H21" s="1557"/>
      <c r="I21" s="1557"/>
      <c r="J21" s="1557"/>
      <c r="K21" s="1557"/>
      <c r="L21" s="1557"/>
      <c r="M21" s="1557"/>
      <c r="N21" s="1557"/>
      <c r="O21" s="1557"/>
      <c r="P21" s="1557"/>
      <c r="Q21" s="1557"/>
      <c r="R21" s="1557"/>
      <c r="S21" s="1557"/>
      <c r="T21" s="1557"/>
      <c r="U21" s="1557"/>
      <c r="V21" s="1557"/>
      <c r="W21" s="1557"/>
      <c r="X21" s="1557"/>
      <c r="Y21" s="1557"/>
      <c r="Z21" s="1557"/>
      <c r="AA21" s="1557"/>
      <c r="AB21" s="1557"/>
      <c r="AC21" s="1557"/>
      <c r="AD21" s="1557"/>
      <c r="AE21" s="1557"/>
      <c r="AF21" s="1557"/>
      <c r="AG21" s="1557"/>
      <c r="AH21" s="1557"/>
      <c r="AI21" s="1557"/>
      <c r="AJ21" s="1557"/>
      <c r="AK21" s="1557"/>
      <c r="AL21" s="1"/>
    </row>
    <row r="22" spans="1:38">
      <c r="A22" s="283"/>
      <c r="B22" s="1"/>
      <c r="C22" s="358"/>
      <c r="D22" s="1557"/>
      <c r="E22" s="1557"/>
      <c r="F22" s="1557"/>
      <c r="G22" s="1557"/>
      <c r="H22" s="1557"/>
      <c r="I22" s="1557"/>
      <c r="J22" s="1557"/>
      <c r="K22" s="1557"/>
      <c r="L22" s="1557"/>
      <c r="M22" s="1557"/>
      <c r="N22" s="1557"/>
      <c r="O22" s="1557"/>
      <c r="P22" s="1557"/>
      <c r="Q22" s="1557"/>
      <c r="R22" s="1557"/>
      <c r="S22" s="1557"/>
      <c r="T22" s="1557"/>
      <c r="U22" s="1557"/>
      <c r="V22" s="1557"/>
      <c r="W22" s="1557"/>
      <c r="X22" s="1557"/>
      <c r="Y22" s="1557"/>
      <c r="Z22" s="1557"/>
      <c r="AA22" s="1557"/>
      <c r="AB22" s="1557"/>
      <c r="AC22" s="1557"/>
      <c r="AD22" s="1557"/>
      <c r="AE22" s="1557"/>
      <c r="AF22" s="1557"/>
      <c r="AG22" s="1557"/>
      <c r="AH22" s="1557"/>
      <c r="AI22" s="1557"/>
      <c r="AJ22" s="1557"/>
      <c r="AK22" s="1557"/>
      <c r="AL22" s="1"/>
    </row>
    <row r="23" spans="1:38">
      <c r="A23" s="283"/>
      <c r="B23" s="1"/>
      <c r="C23" s="358"/>
      <c r="D23" s="1557"/>
      <c r="E23" s="1557"/>
      <c r="F23" s="1557"/>
      <c r="G23" s="1557"/>
      <c r="H23" s="1557"/>
      <c r="I23" s="1557"/>
      <c r="J23" s="1557"/>
      <c r="K23" s="1557"/>
      <c r="L23" s="1557"/>
      <c r="M23" s="1557"/>
      <c r="N23" s="1557"/>
      <c r="O23" s="1557"/>
      <c r="P23" s="1557"/>
      <c r="Q23" s="1557"/>
      <c r="R23" s="1557"/>
      <c r="S23" s="1557"/>
      <c r="T23" s="1557"/>
      <c r="U23" s="1557"/>
      <c r="V23" s="1557"/>
      <c r="W23" s="1557"/>
      <c r="X23" s="1557"/>
      <c r="Y23" s="1557"/>
      <c r="Z23" s="1557"/>
      <c r="AA23" s="1557"/>
      <c r="AB23" s="1557"/>
      <c r="AC23" s="1557"/>
      <c r="AD23" s="1557"/>
      <c r="AE23" s="1557"/>
      <c r="AF23" s="1557"/>
      <c r="AG23" s="1557"/>
      <c r="AH23" s="1557"/>
      <c r="AI23" s="1557"/>
      <c r="AJ23" s="1557"/>
      <c r="AK23" s="1557"/>
      <c r="AL23" s="1"/>
    </row>
    <row r="24" spans="1:38">
      <c r="A24" s="283"/>
      <c r="B24" s="1"/>
      <c r="C24" s="358"/>
      <c r="D24" s="1557"/>
      <c r="E24" s="1557"/>
      <c r="F24" s="1557"/>
      <c r="G24" s="1557"/>
      <c r="H24" s="1557"/>
      <c r="I24" s="1557"/>
      <c r="J24" s="1557"/>
      <c r="K24" s="1557"/>
      <c r="L24" s="1557"/>
      <c r="M24" s="1557"/>
      <c r="N24" s="1557"/>
      <c r="O24" s="1557"/>
      <c r="P24" s="1557"/>
      <c r="Q24" s="1557"/>
      <c r="R24" s="1557"/>
      <c r="S24" s="1557"/>
      <c r="T24" s="1557"/>
      <c r="U24" s="1557"/>
      <c r="V24" s="1557"/>
      <c r="W24" s="1557"/>
      <c r="X24" s="1557"/>
      <c r="Y24" s="1557"/>
      <c r="Z24" s="1557"/>
      <c r="AA24" s="1557"/>
      <c r="AB24" s="1557"/>
      <c r="AC24" s="1557"/>
      <c r="AD24" s="1557"/>
      <c r="AE24" s="1557"/>
      <c r="AF24" s="1557"/>
      <c r="AG24" s="1557"/>
      <c r="AH24" s="1557"/>
      <c r="AI24" s="1557"/>
      <c r="AJ24" s="1557"/>
      <c r="AK24" s="1557"/>
      <c r="AL24" s="1"/>
    </row>
    <row r="25" spans="1:38">
      <c r="A25" s="283"/>
      <c r="B25" s="1"/>
      <c r="C25" s="358"/>
      <c r="D25" s="1557"/>
      <c r="E25" s="1557"/>
      <c r="F25" s="1557"/>
      <c r="G25" s="1557"/>
      <c r="H25" s="1557"/>
      <c r="I25" s="1557"/>
      <c r="J25" s="1557"/>
      <c r="K25" s="1557"/>
      <c r="L25" s="1557"/>
      <c r="M25" s="1557"/>
      <c r="N25" s="1557"/>
      <c r="O25" s="1557"/>
      <c r="P25" s="1557"/>
      <c r="Q25" s="1557"/>
      <c r="R25" s="1557"/>
      <c r="S25" s="1557"/>
      <c r="T25" s="1557"/>
      <c r="U25" s="1557"/>
      <c r="V25" s="1557"/>
      <c r="W25" s="1557"/>
      <c r="X25" s="1557"/>
      <c r="Y25" s="1557"/>
      <c r="Z25" s="1557"/>
      <c r="AA25" s="1557"/>
      <c r="AB25" s="1557"/>
      <c r="AC25" s="1557"/>
      <c r="AD25" s="1557"/>
      <c r="AE25" s="1557"/>
      <c r="AF25" s="1557"/>
      <c r="AG25" s="1557"/>
      <c r="AH25" s="1557"/>
      <c r="AI25" s="1557"/>
      <c r="AJ25" s="1557"/>
      <c r="AK25" s="1557"/>
      <c r="AL25" s="1"/>
    </row>
    <row r="26" spans="1:38">
      <c r="A26" s="283"/>
      <c r="B26" s="1"/>
      <c r="C26" s="358"/>
      <c r="D26" s="288"/>
      <c r="E26" s="1568" t="s">
        <v>2319</v>
      </c>
      <c r="F26" s="1568"/>
      <c r="G26" s="1568"/>
      <c r="H26" s="1568"/>
      <c r="I26" s="1568"/>
      <c r="J26" s="1568"/>
      <c r="K26" s="1568"/>
      <c r="L26" s="1568"/>
      <c r="M26" s="1568"/>
      <c r="N26" s="1568"/>
      <c r="O26" s="1568"/>
      <c r="P26" s="1568"/>
      <c r="Q26" s="1568"/>
      <c r="R26" s="1568"/>
      <c r="S26" s="1568"/>
      <c r="T26" s="1568"/>
      <c r="U26" s="1568"/>
      <c r="V26" s="1568"/>
      <c r="W26" s="1568"/>
      <c r="X26" s="1568"/>
      <c r="Y26" s="1568"/>
      <c r="Z26" s="1568"/>
      <c r="AA26" s="1568"/>
      <c r="AB26" s="1568"/>
      <c r="AC26" s="1568"/>
      <c r="AD26" s="1568"/>
      <c r="AE26" s="1568"/>
      <c r="AF26" s="1568"/>
      <c r="AG26" s="1568"/>
      <c r="AH26" s="1568"/>
      <c r="AI26" s="1568"/>
      <c r="AJ26" s="1568"/>
      <c r="AK26" s="1568"/>
      <c r="AL26" s="1"/>
    </row>
    <row r="27" spans="1:38">
      <c r="A27" s="283"/>
      <c r="B27" s="1"/>
      <c r="C27" s="358"/>
      <c r="D27" s="272"/>
      <c r="E27" s="1568" t="s">
        <v>2043</v>
      </c>
      <c r="F27" s="1568"/>
      <c r="G27" s="1568"/>
      <c r="H27" s="1568"/>
      <c r="I27" s="1568"/>
      <c r="J27" s="1568"/>
      <c r="K27" s="1568"/>
      <c r="L27" s="1568"/>
      <c r="M27" s="1568"/>
      <c r="N27" s="1568"/>
      <c r="O27" s="1568"/>
      <c r="P27" s="1568"/>
      <c r="Q27" s="1568"/>
      <c r="R27" s="1568"/>
      <c r="S27" s="1568"/>
      <c r="T27" s="1568"/>
      <c r="U27" s="1568"/>
      <c r="V27" s="1568"/>
      <c r="W27" s="1568"/>
      <c r="X27" s="1568"/>
      <c r="Y27" s="1568"/>
      <c r="Z27" s="1568"/>
      <c r="AA27" s="1568"/>
      <c r="AB27" s="1568"/>
      <c r="AC27" s="1568"/>
      <c r="AD27" s="1568"/>
      <c r="AE27" s="1568"/>
      <c r="AF27" s="1568"/>
      <c r="AG27" s="1568"/>
      <c r="AH27" s="1568"/>
      <c r="AI27" s="1568"/>
      <c r="AJ27" s="1568"/>
      <c r="AK27" s="1568"/>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67" t="s">
        <v>2315</v>
      </c>
      <c r="E29" s="1567"/>
      <c r="F29" s="1567"/>
      <c r="G29" s="1567"/>
      <c r="H29" s="1567"/>
      <c r="I29" s="1567"/>
      <c r="J29" s="1567"/>
      <c r="K29" s="1567"/>
      <c r="L29" s="1567"/>
      <c r="M29" s="1567"/>
      <c r="N29" s="1567"/>
      <c r="O29" s="1567"/>
      <c r="P29" s="1567"/>
      <c r="Q29" s="1567"/>
      <c r="R29" s="1567"/>
      <c r="S29" s="1567"/>
      <c r="T29" s="1567"/>
      <c r="U29" s="1567"/>
      <c r="V29" s="1567"/>
      <c r="W29" s="1567"/>
      <c r="X29" s="1567"/>
      <c r="Y29" s="1567"/>
      <c r="Z29" s="1567"/>
      <c r="AA29" s="1567"/>
      <c r="AB29" s="1567"/>
      <c r="AC29" s="1567"/>
      <c r="AD29" s="1567"/>
      <c r="AE29" s="1567"/>
      <c r="AF29" s="1567"/>
      <c r="AG29" s="1567"/>
      <c r="AH29" s="1567"/>
      <c r="AI29" s="1567"/>
      <c r="AJ29" s="1567"/>
      <c r="AK29" s="1567"/>
      <c r="AL29" s="1"/>
    </row>
    <row r="30" spans="1:38">
      <c r="A30" s="283"/>
      <c r="B30" s="1"/>
      <c r="C30" s="1"/>
      <c r="D30" s="1567"/>
      <c r="E30" s="1567"/>
      <c r="F30" s="1567"/>
      <c r="G30" s="1567"/>
      <c r="H30" s="1567"/>
      <c r="I30" s="1567"/>
      <c r="J30" s="1567"/>
      <c r="K30" s="1567"/>
      <c r="L30" s="1567"/>
      <c r="M30" s="1567"/>
      <c r="N30" s="1567"/>
      <c r="O30" s="1567"/>
      <c r="P30" s="1567"/>
      <c r="Q30" s="1567"/>
      <c r="R30" s="1567"/>
      <c r="S30" s="1567"/>
      <c r="T30" s="1567"/>
      <c r="U30" s="1567"/>
      <c r="V30" s="1567"/>
      <c r="W30" s="1567"/>
      <c r="X30" s="1567"/>
      <c r="Y30" s="1567"/>
      <c r="Z30" s="1567"/>
      <c r="AA30" s="1567"/>
      <c r="AB30" s="1567"/>
      <c r="AC30" s="1567"/>
      <c r="AD30" s="1567"/>
      <c r="AE30" s="1567"/>
      <c r="AF30" s="1567"/>
      <c r="AG30" s="1567"/>
      <c r="AH30" s="1567"/>
      <c r="AI30" s="1567"/>
      <c r="AJ30" s="1567"/>
      <c r="AK30" s="1567"/>
      <c r="AL30" s="1"/>
    </row>
    <row r="31" spans="1:38">
      <c r="A31" s="283"/>
      <c r="B31" s="1"/>
      <c r="C31" s="1"/>
      <c r="D31" s="1068"/>
      <c r="E31" s="1569" t="s">
        <v>1423</v>
      </c>
      <c r="F31" s="1569"/>
      <c r="G31" s="1569"/>
      <c r="H31" s="1569"/>
      <c r="I31" s="1569"/>
      <c r="J31" s="1569"/>
      <c r="K31" s="1569"/>
      <c r="L31" s="1569"/>
      <c r="M31" s="1569"/>
      <c r="N31" s="1569"/>
      <c r="O31" s="1569"/>
      <c r="P31" s="1569"/>
      <c r="Q31" s="1569"/>
      <c r="R31" s="1569"/>
      <c r="S31" s="1569"/>
      <c r="T31" s="1569"/>
      <c r="U31" s="1569"/>
      <c r="V31" s="1569"/>
      <c r="W31" s="1569"/>
      <c r="X31" s="1569"/>
      <c r="Y31" s="1569"/>
      <c r="Z31" s="1569"/>
      <c r="AA31" s="1569"/>
      <c r="AB31" s="1569"/>
      <c r="AC31" s="1569"/>
      <c r="AD31" s="1569"/>
      <c r="AE31" s="1569"/>
      <c r="AF31" s="1569"/>
      <c r="AG31" s="1569"/>
      <c r="AH31" s="1569"/>
      <c r="AI31" s="1569"/>
      <c r="AJ31" s="1569"/>
      <c r="AK31" s="1569"/>
      <c r="AL31" s="1"/>
    </row>
    <row r="32" spans="1:38">
      <c r="A32" s="283"/>
      <c r="B32" s="1"/>
      <c r="C32" s="1"/>
      <c r="D32" s="1068"/>
      <c r="E32" s="1569" t="s">
        <v>1266</v>
      </c>
      <c r="F32" s="1569"/>
      <c r="G32" s="1569"/>
      <c r="H32" s="1569"/>
      <c r="I32" s="1569"/>
      <c r="J32" s="1569"/>
      <c r="K32" s="1569"/>
      <c r="L32" s="1569"/>
      <c r="M32" s="1569"/>
      <c r="N32" s="1569"/>
      <c r="O32" s="1569"/>
      <c r="P32" s="1569"/>
      <c r="Q32" s="1569"/>
      <c r="R32" s="1569"/>
      <c r="S32" s="1569"/>
      <c r="T32" s="1569"/>
      <c r="U32" s="1569"/>
      <c r="V32" s="1569"/>
      <c r="W32" s="1569"/>
      <c r="X32" s="1569"/>
      <c r="Y32" s="1569"/>
      <c r="Z32" s="1569"/>
      <c r="AA32" s="1569"/>
      <c r="AB32" s="1569"/>
      <c r="AC32" s="1569"/>
      <c r="AD32" s="1569"/>
      <c r="AE32" s="1569"/>
      <c r="AF32" s="1569"/>
      <c r="AG32" s="1569"/>
      <c r="AH32" s="1569"/>
      <c r="AI32" s="1569"/>
      <c r="AJ32" s="1569"/>
      <c r="AK32" s="1569"/>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1004</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1900</v>
      </c>
      <c r="F36" s="1557" t="s">
        <v>1901</v>
      </c>
      <c r="G36" s="1557"/>
      <c r="H36" s="1557"/>
      <c r="I36" s="1557"/>
      <c r="J36" s="1557"/>
      <c r="K36" s="1557"/>
      <c r="L36" s="1557"/>
      <c r="M36" s="1557"/>
      <c r="N36" s="1557"/>
      <c r="O36" s="1557"/>
      <c r="P36" s="1557"/>
      <c r="Q36" s="1557"/>
      <c r="R36" s="1557"/>
      <c r="S36" s="1557"/>
      <c r="T36" s="1557"/>
      <c r="U36" s="1557"/>
      <c r="V36" s="1557"/>
      <c r="W36" s="1557"/>
      <c r="X36" s="1557"/>
      <c r="Y36" s="1557"/>
      <c r="Z36" s="1557"/>
      <c r="AA36" s="1557"/>
      <c r="AB36" s="1557"/>
      <c r="AC36" s="1557"/>
      <c r="AD36" s="1557"/>
      <c r="AE36" s="1557"/>
      <c r="AF36" s="1557"/>
      <c r="AG36" s="1557"/>
      <c r="AH36" s="1557"/>
      <c r="AI36" s="1557"/>
      <c r="AJ36" s="1557"/>
      <c r="AK36" s="1557"/>
      <c r="AL36" s="1"/>
    </row>
    <row r="37" spans="1:38">
      <c r="A37" s="283"/>
      <c r="B37" s="1"/>
      <c r="C37" s="358"/>
      <c r="D37" s="283"/>
      <c r="E37" s="283"/>
      <c r="F37" s="1557"/>
      <c r="G37" s="1557"/>
      <c r="H37" s="1557"/>
      <c r="I37" s="1557"/>
      <c r="J37" s="1557"/>
      <c r="K37" s="1557"/>
      <c r="L37" s="1557"/>
      <c r="M37" s="1557"/>
      <c r="N37" s="1557"/>
      <c r="O37" s="1557"/>
      <c r="P37" s="1557"/>
      <c r="Q37" s="1557"/>
      <c r="R37" s="1557"/>
      <c r="S37" s="1557"/>
      <c r="T37" s="1557"/>
      <c r="U37" s="1557"/>
      <c r="V37" s="1557"/>
      <c r="W37" s="1557"/>
      <c r="X37" s="1557"/>
      <c r="Y37" s="1557"/>
      <c r="Z37" s="1557"/>
      <c r="AA37" s="1557"/>
      <c r="AB37" s="1557"/>
      <c r="AC37" s="1557"/>
      <c r="AD37" s="1557"/>
      <c r="AE37" s="1557"/>
      <c r="AF37" s="1557"/>
      <c r="AG37" s="1557"/>
      <c r="AH37" s="1557"/>
      <c r="AI37" s="1557"/>
      <c r="AJ37" s="1557"/>
      <c r="AK37" s="1557"/>
      <c r="AL37" s="1"/>
    </row>
    <row r="38" spans="1:38">
      <c r="A38" s="283"/>
      <c r="B38" s="1"/>
      <c r="C38" s="358"/>
      <c r="D38" s="283"/>
      <c r="E38" s="283"/>
      <c r="F38" s="1061" t="s">
        <v>641</v>
      </c>
      <c r="G38" s="283" t="s">
        <v>989</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2130</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1" t="s">
        <v>641</v>
      </c>
      <c r="G40" s="358" t="s">
        <v>990</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1" t="s">
        <v>214</v>
      </c>
      <c r="G41" s="283" t="s">
        <v>647</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594</v>
      </c>
      <c r="F42" s="1557" t="s">
        <v>2131</v>
      </c>
      <c r="G42" s="1557"/>
      <c r="H42" s="1557"/>
      <c r="I42" s="1557"/>
      <c r="J42" s="1557"/>
      <c r="K42" s="1557"/>
      <c r="L42" s="1557"/>
      <c r="M42" s="1557"/>
      <c r="N42" s="1557"/>
      <c r="O42" s="1557"/>
      <c r="P42" s="1557"/>
      <c r="Q42" s="1557"/>
      <c r="R42" s="1557"/>
      <c r="S42" s="1557"/>
      <c r="T42" s="1557"/>
      <c r="U42" s="1557"/>
      <c r="V42" s="1557"/>
      <c r="W42" s="1557"/>
      <c r="X42" s="1557"/>
      <c r="Y42" s="1557"/>
      <c r="Z42" s="1557"/>
      <c r="AA42" s="1557"/>
      <c r="AB42" s="1557"/>
      <c r="AC42" s="1557"/>
      <c r="AD42" s="1557"/>
      <c r="AE42" s="1557"/>
      <c r="AF42" s="1557"/>
      <c r="AG42" s="1557"/>
      <c r="AH42" s="1557"/>
      <c r="AI42" s="1557"/>
      <c r="AJ42" s="1557"/>
      <c r="AK42" s="1557"/>
      <c r="AL42" s="1"/>
    </row>
    <row r="43" spans="1:38">
      <c r="A43" s="283"/>
      <c r="B43" s="1"/>
      <c r="C43" s="358"/>
      <c r="D43" s="283"/>
      <c r="E43" s="283"/>
      <c r="F43" s="1557"/>
      <c r="G43" s="1557"/>
      <c r="H43" s="1557"/>
      <c r="I43" s="1557"/>
      <c r="J43" s="1557"/>
      <c r="K43" s="1557"/>
      <c r="L43" s="1557"/>
      <c r="M43" s="1557"/>
      <c r="N43" s="1557"/>
      <c r="O43" s="1557"/>
      <c r="P43" s="1557"/>
      <c r="Q43" s="1557"/>
      <c r="R43" s="1557"/>
      <c r="S43" s="1557"/>
      <c r="T43" s="1557"/>
      <c r="U43" s="1557"/>
      <c r="V43" s="1557"/>
      <c r="W43" s="1557"/>
      <c r="X43" s="1557"/>
      <c r="Y43" s="1557"/>
      <c r="Z43" s="1557"/>
      <c r="AA43" s="1557"/>
      <c r="AB43" s="1557"/>
      <c r="AC43" s="1557"/>
      <c r="AD43" s="1557"/>
      <c r="AE43" s="1557"/>
      <c r="AF43" s="1557"/>
      <c r="AG43" s="1557"/>
      <c r="AH43" s="1557"/>
      <c r="AI43" s="1557"/>
      <c r="AJ43" s="1557"/>
      <c r="AK43" s="1557"/>
      <c r="AL43" s="1"/>
    </row>
    <row r="44" spans="1:38">
      <c r="A44" s="283"/>
      <c r="B44" s="1"/>
      <c r="C44" s="358"/>
      <c r="D44" s="283"/>
      <c r="E44" s="283"/>
      <c r="F44" s="1557"/>
      <c r="G44" s="1557"/>
      <c r="H44" s="1557"/>
      <c r="I44" s="1557"/>
      <c r="J44" s="1557"/>
      <c r="K44" s="1557"/>
      <c r="L44" s="1557"/>
      <c r="M44" s="1557"/>
      <c r="N44" s="1557"/>
      <c r="O44" s="1557"/>
      <c r="P44" s="1557"/>
      <c r="Q44" s="1557"/>
      <c r="R44" s="1557"/>
      <c r="S44" s="1557"/>
      <c r="T44" s="1557"/>
      <c r="U44" s="1557"/>
      <c r="V44" s="1557"/>
      <c r="W44" s="1557"/>
      <c r="X44" s="1557"/>
      <c r="Y44" s="1557"/>
      <c r="Z44" s="1557"/>
      <c r="AA44" s="1557"/>
      <c r="AB44" s="1557"/>
      <c r="AC44" s="1557"/>
      <c r="AD44" s="1557"/>
      <c r="AE44" s="1557"/>
      <c r="AF44" s="1557"/>
      <c r="AG44" s="1557"/>
      <c r="AH44" s="1557"/>
      <c r="AI44" s="1557"/>
      <c r="AJ44" s="1557"/>
      <c r="AK44" s="1557"/>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1005</v>
      </c>
      <c r="E46" s="283" t="s">
        <v>791</v>
      </c>
      <c r="F46" s="283"/>
      <c r="G46" s="283"/>
      <c r="H46" s="283"/>
      <c r="I46" s="283"/>
      <c r="J46" s="1069"/>
      <c r="K46" s="1069"/>
      <c r="L46" s="1069"/>
      <c r="M46" s="1069"/>
      <c r="N46" s="1069"/>
      <c r="O46" s="1065"/>
      <c r="P46" s="1065"/>
      <c r="Q46" s="1065"/>
      <c r="R46" s="1065"/>
      <c r="S46" s="1065"/>
      <c r="T46" s="1065"/>
      <c r="U46" s="1065"/>
      <c r="V46" s="1065"/>
      <c r="W46" s="1065"/>
      <c r="X46" s="1065"/>
      <c r="Y46" s="1065"/>
      <c r="Z46" s="1065"/>
      <c r="AA46" s="1065"/>
      <c r="AB46" s="1065"/>
      <c r="AC46" s="1065"/>
      <c r="AD46" s="1065"/>
      <c r="AE46" s="1065"/>
      <c r="AF46" s="1065"/>
      <c r="AG46" s="358"/>
      <c r="AH46" s="1"/>
      <c r="AI46" s="1"/>
      <c r="AJ46" s="1"/>
      <c r="AK46" s="1"/>
      <c r="AL46" s="1"/>
    </row>
    <row r="47" spans="1:38">
      <c r="A47" s="283"/>
      <c r="B47" s="1"/>
      <c r="C47" s="358"/>
      <c r="D47" s="358"/>
      <c r="E47" s="283" t="s">
        <v>903</v>
      </c>
      <c r="F47" s="1" t="s">
        <v>838</v>
      </c>
      <c r="G47" s="358"/>
      <c r="H47" s="1065"/>
      <c r="I47" s="1065"/>
      <c r="J47" s="1"/>
      <c r="K47" s="1"/>
      <c r="L47" s="1065"/>
      <c r="M47" s="1065"/>
      <c r="N47" s="1065"/>
      <c r="O47" s="1065"/>
      <c r="P47" s="1065"/>
      <c r="Q47" s="1065"/>
      <c r="R47" s="1065"/>
      <c r="S47" s="1065"/>
      <c r="T47" s="1065"/>
      <c r="U47" s="1065"/>
      <c r="V47" s="1065"/>
      <c r="W47" s="1065"/>
      <c r="X47" s="1065"/>
      <c r="Y47" s="1065"/>
      <c r="Z47" s="1065"/>
      <c r="AA47" s="1065"/>
      <c r="AB47" s="1065"/>
      <c r="AC47" s="1065"/>
      <c r="AD47" s="1065"/>
      <c r="AE47" s="1065"/>
      <c r="AF47" s="1065"/>
      <c r="AG47" s="358"/>
      <c r="AH47" s="1"/>
      <c r="AI47" s="1"/>
      <c r="AJ47" s="1"/>
      <c r="AK47" s="1"/>
      <c r="AL47" s="1"/>
    </row>
    <row r="48" spans="1:38">
      <c r="A48" s="283"/>
      <c r="B48" s="1"/>
      <c r="C48" s="358"/>
      <c r="D48" s="358"/>
      <c r="E48" s="283"/>
      <c r="F48" s="516" t="s">
        <v>641</v>
      </c>
      <c r="G48" s="1559" t="s">
        <v>2133</v>
      </c>
      <c r="H48" s="1559"/>
      <c r="I48" s="1559"/>
      <c r="J48" s="1559"/>
      <c r="K48" s="1559"/>
      <c r="L48" s="1559"/>
      <c r="M48" s="1559"/>
      <c r="N48" s="1559"/>
      <c r="O48" s="1559"/>
      <c r="P48" s="1559"/>
      <c r="Q48" s="1559"/>
      <c r="R48" s="1559"/>
      <c r="S48" s="1559"/>
      <c r="T48" s="1559"/>
      <c r="U48" s="1559"/>
      <c r="V48" s="1559"/>
      <c r="W48" s="1559"/>
      <c r="X48" s="1559"/>
      <c r="Y48" s="1559"/>
      <c r="Z48" s="1559"/>
      <c r="AA48" s="1559"/>
      <c r="AB48" s="1559"/>
      <c r="AC48" s="1559"/>
      <c r="AD48" s="1559"/>
      <c r="AE48" s="1559"/>
      <c r="AF48" s="1559"/>
      <c r="AG48" s="1559"/>
      <c r="AH48" s="1559"/>
      <c r="AI48" s="1559"/>
      <c r="AJ48" s="1559"/>
      <c r="AK48" s="1559"/>
      <c r="AL48" s="1"/>
    </row>
    <row r="49" spans="1:38">
      <c r="A49" s="283"/>
      <c r="B49" s="1"/>
      <c r="C49" s="358"/>
      <c r="D49" s="358"/>
      <c r="E49" s="283"/>
      <c r="F49" s="516"/>
      <c r="G49" s="1559"/>
      <c r="H49" s="1559"/>
      <c r="I49" s="1559"/>
      <c r="J49" s="1559"/>
      <c r="K49" s="1559"/>
      <c r="L49" s="1559"/>
      <c r="M49" s="1559"/>
      <c r="N49" s="1559"/>
      <c r="O49" s="1559"/>
      <c r="P49" s="1559"/>
      <c r="Q49" s="1559"/>
      <c r="R49" s="1559"/>
      <c r="S49" s="1559"/>
      <c r="T49" s="1559"/>
      <c r="U49" s="1559"/>
      <c r="V49" s="1559"/>
      <c r="W49" s="1559"/>
      <c r="X49" s="1559"/>
      <c r="Y49" s="1559"/>
      <c r="Z49" s="1559"/>
      <c r="AA49" s="1559"/>
      <c r="AB49" s="1559"/>
      <c r="AC49" s="1559"/>
      <c r="AD49" s="1559"/>
      <c r="AE49" s="1559"/>
      <c r="AF49" s="1559"/>
      <c r="AG49" s="1559"/>
      <c r="AH49" s="1559"/>
      <c r="AI49" s="1559"/>
      <c r="AJ49" s="1559"/>
      <c r="AK49" s="1559"/>
      <c r="AL49" s="1"/>
    </row>
    <row r="50" spans="1:38">
      <c r="A50" s="283"/>
      <c r="B50" s="1"/>
      <c r="C50" s="358"/>
      <c r="D50" s="358"/>
      <c r="E50" s="283"/>
      <c r="F50" s="516"/>
      <c r="G50" s="1559"/>
      <c r="H50" s="1559"/>
      <c r="I50" s="1559"/>
      <c r="J50" s="1559"/>
      <c r="K50" s="1559"/>
      <c r="L50" s="1559"/>
      <c r="M50" s="1559"/>
      <c r="N50" s="1559"/>
      <c r="O50" s="1559"/>
      <c r="P50" s="1559"/>
      <c r="Q50" s="1559"/>
      <c r="R50" s="1559"/>
      <c r="S50" s="1559"/>
      <c r="T50" s="1559"/>
      <c r="U50" s="1559"/>
      <c r="V50" s="1559"/>
      <c r="W50" s="1559"/>
      <c r="X50" s="1559"/>
      <c r="Y50" s="1559"/>
      <c r="Z50" s="1559"/>
      <c r="AA50" s="1559"/>
      <c r="AB50" s="1559"/>
      <c r="AC50" s="1559"/>
      <c r="AD50" s="1559"/>
      <c r="AE50" s="1559"/>
      <c r="AF50" s="1559"/>
      <c r="AG50" s="1559"/>
      <c r="AH50" s="1559"/>
      <c r="AI50" s="1559"/>
      <c r="AJ50" s="1559"/>
      <c r="AK50" s="1559"/>
      <c r="AL50" s="1"/>
    </row>
    <row r="51" spans="1:38">
      <c r="A51" s="283"/>
      <c r="B51" s="358"/>
      <c r="C51" s="358"/>
      <c r="D51" s="358"/>
      <c r="E51" s="283"/>
      <c r="F51" s="516" t="s">
        <v>214</v>
      </c>
      <c r="G51" s="1560" t="s">
        <v>1902</v>
      </c>
      <c r="H51" s="1560"/>
      <c r="I51" s="1560"/>
      <c r="J51" s="1560"/>
      <c r="K51" s="1560"/>
      <c r="L51" s="1560"/>
      <c r="M51" s="1560"/>
      <c r="N51" s="1560"/>
      <c r="O51" s="1560"/>
      <c r="P51" s="1560"/>
      <c r="Q51" s="1560"/>
      <c r="R51" s="1560"/>
      <c r="S51" s="1560"/>
      <c r="T51" s="1560"/>
      <c r="U51" s="1560"/>
      <c r="V51" s="1560"/>
      <c r="W51" s="1560"/>
      <c r="X51" s="1560"/>
      <c r="Y51" s="1560"/>
      <c r="Z51" s="1560"/>
      <c r="AA51" s="1560"/>
      <c r="AB51" s="1560"/>
      <c r="AC51" s="1560"/>
      <c r="AD51" s="1560"/>
      <c r="AE51" s="1560"/>
      <c r="AF51" s="1560"/>
      <c r="AG51" s="1560"/>
      <c r="AH51" s="1560"/>
      <c r="AI51" s="1560"/>
      <c r="AJ51" s="1560"/>
      <c r="AK51" s="1560"/>
      <c r="AL51" s="1"/>
    </row>
    <row r="52" spans="1:38" s="288" customFormat="1">
      <c r="A52" s="283"/>
      <c r="B52" s="1"/>
      <c r="C52" s="358"/>
      <c r="D52" s="358"/>
      <c r="E52" s="283"/>
      <c r="F52" s="516"/>
      <c r="G52" s="1560"/>
      <c r="H52" s="1560"/>
      <c r="I52" s="1560"/>
      <c r="J52" s="1560"/>
      <c r="K52" s="1560"/>
      <c r="L52" s="1560"/>
      <c r="M52" s="1560"/>
      <c r="N52" s="1560"/>
      <c r="O52" s="1560"/>
      <c r="P52" s="1560"/>
      <c r="Q52" s="1560"/>
      <c r="R52" s="1560"/>
      <c r="S52" s="1560"/>
      <c r="T52" s="1560"/>
      <c r="U52" s="1560"/>
      <c r="V52" s="1560"/>
      <c r="W52" s="1560"/>
      <c r="X52" s="1560"/>
      <c r="Y52" s="1560"/>
      <c r="Z52" s="1560"/>
      <c r="AA52" s="1560"/>
      <c r="AB52" s="1560"/>
      <c r="AC52" s="1560"/>
      <c r="AD52" s="1560"/>
      <c r="AE52" s="1560"/>
      <c r="AF52" s="1560"/>
      <c r="AG52" s="1560"/>
      <c r="AH52" s="1560"/>
      <c r="AI52" s="1560"/>
      <c r="AJ52" s="1560"/>
      <c r="AK52" s="1560"/>
      <c r="AL52" s="1"/>
    </row>
    <row r="53" spans="1:38">
      <c r="A53" s="288"/>
      <c r="B53" s="272"/>
      <c r="C53" s="359"/>
      <c r="D53" s="359"/>
      <c r="E53" s="288"/>
      <c r="F53" s="1070"/>
      <c r="G53" s="1560"/>
      <c r="H53" s="1560"/>
      <c r="I53" s="1560"/>
      <c r="J53" s="1560"/>
      <c r="K53" s="1560"/>
      <c r="L53" s="1560"/>
      <c r="M53" s="1560"/>
      <c r="N53" s="1560"/>
      <c r="O53" s="1560"/>
      <c r="P53" s="1560"/>
      <c r="Q53" s="1560"/>
      <c r="R53" s="1560"/>
      <c r="S53" s="1560"/>
      <c r="T53" s="1560"/>
      <c r="U53" s="1560"/>
      <c r="V53" s="1560"/>
      <c r="W53" s="1560"/>
      <c r="X53" s="1560"/>
      <c r="Y53" s="1560"/>
      <c r="Z53" s="1560"/>
      <c r="AA53" s="1560"/>
      <c r="AB53" s="1560"/>
      <c r="AC53" s="1560"/>
      <c r="AD53" s="1560"/>
      <c r="AE53" s="1560"/>
      <c r="AF53" s="1560"/>
      <c r="AG53" s="1560"/>
      <c r="AH53" s="1560"/>
      <c r="AI53" s="1560"/>
      <c r="AJ53" s="1560"/>
      <c r="AK53" s="1560"/>
      <c r="AL53" s="272"/>
    </row>
    <row r="54" spans="1:38">
      <c r="A54" s="283"/>
      <c r="B54" s="1"/>
      <c r="C54" s="358"/>
      <c r="D54" s="358"/>
      <c r="E54" s="283"/>
      <c r="F54" s="358"/>
      <c r="G54" s="358"/>
      <c r="H54" s="1"/>
      <c r="I54" s="358"/>
      <c r="J54" s="1065"/>
      <c r="K54" s="1065"/>
      <c r="L54" s="1065"/>
      <c r="M54" s="1065"/>
      <c r="N54" s="1065"/>
      <c r="O54" s="1065"/>
      <c r="P54" s="1065"/>
      <c r="Q54" s="1065"/>
      <c r="R54" s="1065"/>
      <c r="S54" s="1065"/>
      <c r="T54" s="1065"/>
      <c r="U54" s="1065"/>
      <c r="V54" s="1065"/>
      <c r="W54" s="1065"/>
      <c r="X54" s="1065"/>
      <c r="Y54" s="1065"/>
      <c r="Z54" s="1065"/>
      <c r="AA54" s="1065"/>
      <c r="AB54" s="1065"/>
      <c r="AC54" s="1065"/>
      <c r="AD54" s="1065"/>
      <c r="AE54" s="1065"/>
      <c r="AF54" s="1065"/>
      <c r="AG54" s="358"/>
      <c r="AH54" s="1"/>
      <c r="AI54" s="1"/>
      <c r="AJ54" s="1"/>
      <c r="AK54" s="1"/>
      <c r="AL54" s="1"/>
    </row>
    <row r="55" spans="1:38">
      <c r="A55" s="283"/>
      <c r="B55" s="283"/>
      <c r="C55" s="283"/>
      <c r="D55" s="283" t="s">
        <v>1011</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1903</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903</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641</v>
      </c>
      <c r="G58" s="1557" t="s">
        <v>1905</v>
      </c>
      <c r="H58" s="1557"/>
      <c r="I58" s="1557"/>
      <c r="J58" s="1557"/>
      <c r="K58" s="1557"/>
      <c r="L58" s="1557"/>
      <c r="M58" s="1557"/>
      <c r="N58" s="1557"/>
      <c r="O58" s="1557"/>
      <c r="P58" s="1557"/>
      <c r="Q58" s="1557"/>
      <c r="R58" s="1557"/>
      <c r="S58" s="1557"/>
      <c r="T58" s="1557"/>
      <c r="U58" s="1557"/>
      <c r="V58" s="1557"/>
      <c r="W58" s="1557"/>
      <c r="X58" s="1557"/>
      <c r="Y58" s="1557"/>
      <c r="Z58" s="1557"/>
      <c r="AA58" s="1557"/>
      <c r="AB58" s="1557"/>
      <c r="AC58" s="1557"/>
      <c r="AD58" s="1557"/>
      <c r="AE58" s="1557"/>
      <c r="AF58" s="1557"/>
      <c r="AG58" s="1557"/>
      <c r="AH58" s="1557"/>
      <c r="AI58" s="1557"/>
      <c r="AJ58" s="1557"/>
      <c r="AK58" s="1557"/>
      <c r="AL58" s="1"/>
    </row>
    <row r="59" spans="1:38">
      <c r="A59" s="283"/>
      <c r="B59" s="1"/>
      <c r="C59" s="358"/>
      <c r="D59" s="283"/>
      <c r="E59" s="283"/>
      <c r="F59" s="426"/>
      <c r="G59" s="1557"/>
      <c r="H59" s="1557"/>
      <c r="I59" s="1557"/>
      <c r="J59" s="1557"/>
      <c r="K59" s="1557"/>
      <c r="L59" s="1557"/>
      <c r="M59" s="1557"/>
      <c r="N59" s="1557"/>
      <c r="O59" s="1557"/>
      <c r="P59" s="1557"/>
      <c r="Q59" s="1557"/>
      <c r="R59" s="1557"/>
      <c r="S59" s="1557"/>
      <c r="T59" s="1557"/>
      <c r="U59" s="1557"/>
      <c r="V59" s="1557"/>
      <c r="W59" s="1557"/>
      <c r="X59" s="1557"/>
      <c r="Y59" s="1557"/>
      <c r="Z59" s="1557"/>
      <c r="AA59" s="1557"/>
      <c r="AB59" s="1557"/>
      <c r="AC59" s="1557"/>
      <c r="AD59" s="1557"/>
      <c r="AE59" s="1557"/>
      <c r="AF59" s="1557"/>
      <c r="AG59" s="1557"/>
      <c r="AH59" s="1557"/>
      <c r="AI59" s="1557"/>
      <c r="AJ59" s="1557"/>
      <c r="AK59" s="1557"/>
      <c r="AL59" s="1"/>
    </row>
    <row r="60" spans="1:38">
      <c r="A60" s="283"/>
      <c r="B60" s="1"/>
      <c r="C60" s="358"/>
      <c r="D60" s="283"/>
      <c r="E60" s="283"/>
      <c r="F60" s="426"/>
      <c r="G60" s="1557"/>
      <c r="H60" s="1557"/>
      <c r="I60" s="1557"/>
      <c r="J60" s="1557"/>
      <c r="K60" s="1557"/>
      <c r="L60" s="1557"/>
      <c r="M60" s="1557"/>
      <c r="N60" s="1557"/>
      <c r="O60" s="1557"/>
      <c r="P60" s="1557"/>
      <c r="Q60" s="1557"/>
      <c r="R60" s="1557"/>
      <c r="S60" s="1557"/>
      <c r="T60" s="1557"/>
      <c r="U60" s="1557"/>
      <c r="V60" s="1557"/>
      <c r="W60" s="1557"/>
      <c r="X60" s="1557"/>
      <c r="Y60" s="1557"/>
      <c r="Z60" s="1557"/>
      <c r="AA60" s="1557"/>
      <c r="AB60" s="1557"/>
      <c r="AC60" s="1557"/>
      <c r="AD60" s="1557"/>
      <c r="AE60" s="1557"/>
      <c r="AF60" s="1557"/>
      <c r="AG60" s="1557"/>
      <c r="AH60" s="1557"/>
      <c r="AI60" s="1557"/>
      <c r="AJ60" s="1557"/>
      <c r="AK60" s="1557"/>
      <c r="AL60" s="1"/>
    </row>
    <row r="61" spans="1:38">
      <c r="A61" s="283"/>
      <c r="B61" s="1"/>
      <c r="C61" s="358"/>
      <c r="D61" s="283"/>
      <c r="E61" s="283"/>
      <c r="F61" s="426" t="s">
        <v>214</v>
      </c>
      <c r="G61" s="1557" t="s">
        <v>1904</v>
      </c>
      <c r="H61" s="1557"/>
      <c r="I61" s="1557"/>
      <c r="J61" s="1557"/>
      <c r="K61" s="1557"/>
      <c r="L61" s="1557"/>
      <c r="M61" s="1557"/>
      <c r="N61" s="1557"/>
      <c r="O61" s="1557"/>
      <c r="P61" s="1557"/>
      <c r="Q61" s="1557"/>
      <c r="R61" s="1557"/>
      <c r="S61" s="1557"/>
      <c r="T61" s="1557"/>
      <c r="U61" s="1557"/>
      <c r="V61" s="1557"/>
      <c r="W61" s="1557"/>
      <c r="X61" s="1557"/>
      <c r="Y61" s="1557"/>
      <c r="Z61" s="1557"/>
      <c r="AA61" s="1557"/>
      <c r="AB61" s="1557"/>
      <c r="AC61" s="1557"/>
      <c r="AD61" s="1557"/>
      <c r="AE61" s="1557"/>
      <c r="AF61" s="1557"/>
      <c r="AG61" s="1557"/>
      <c r="AH61" s="1557"/>
      <c r="AI61" s="1557"/>
      <c r="AJ61" s="1557"/>
      <c r="AK61" s="1557"/>
      <c r="AL61" s="1"/>
    </row>
    <row r="62" spans="1:38">
      <c r="A62" s="283"/>
      <c r="B62" s="1"/>
      <c r="C62" s="358"/>
      <c r="D62" s="283"/>
      <c r="E62" s="283"/>
      <c r="F62" s="426"/>
      <c r="G62" s="1557"/>
      <c r="H62" s="1557"/>
      <c r="I62" s="1557"/>
      <c r="J62" s="1557"/>
      <c r="K62" s="1557"/>
      <c r="L62" s="1557"/>
      <c r="M62" s="1557"/>
      <c r="N62" s="1557"/>
      <c r="O62" s="1557"/>
      <c r="P62" s="1557"/>
      <c r="Q62" s="1557"/>
      <c r="R62" s="1557"/>
      <c r="S62" s="1557"/>
      <c r="T62" s="1557"/>
      <c r="U62" s="1557"/>
      <c r="V62" s="1557"/>
      <c r="W62" s="1557"/>
      <c r="X62" s="1557"/>
      <c r="Y62" s="1557"/>
      <c r="Z62" s="1557"/>
      <c r="AA62" s="1557"/>
      <c r="AB62" s="1557"/>
      <c r="AC62" s="1557"/>
      <c r="AD62" s="1557"/>
      <c r="AE62" s="1557"/>
      <c r="AF62" s="1557"/>
      <c r="AG62" s="1557"/>
      <c r="AH62" s="1557"/>
      <c r="AI62" s="1557"/>
      <c r="AJ62" s="1557"/>
      <c r="AK62" s="1557"/>
      <c r="AL62" s="1"/>
    </row>
    <row r="63" spans="1:38">
      <c r="A63" s="283"/>
      <c r="B63" s="1"/>
      <c r="C63" s="358"/>
      <c r="D63" s="283"/>
      <c r="E63" s="283"/>
      <c r="F63" s="1071"/>
      <c r="G63" s="1557"/>
      <c r="H63" s="1557"/>
      <c r="I63" s="1557"/>
      <c r="J63" s="1557"/>
      <c r="K63" s="1557"/>
      <c r="L63" s="1557"/>
      <c r="M63" s="1557"/>
      <c r="N63" s="1557"/>
      <c r="O63" s="1557"/>
      <c r="P63" s="1557"/>
      <c r="Q63" s="1557"/>
      <c r="R63" s="1557"/>
      <c r="S63" s="1557"/>
      <c r="T63" s="1557"/>
      <c r="U63" s="1557"/>
      <c r="V63" s="1557"/>
      <c r="W63" s="1557"/>
      <c r="X63" s="1557"/>
      <c r="Y63" s="1557"/>
      <c r="Z63" s="1557"/>
      <c r="AA63" s="1557"/>
      <c r="AB63" s="1557"/>
      <c r="AC63" s="1557"/>
      <c r="AD63" s="1557"/>
      <c r="AE63" s="1557"/>
      <c r="AF63" s="1557"/>
      <c r="AG63" s="1557"/>
      <c r="AH63" s="1557"/>
      <c r="AI63" s="1557"/>
      <c r="AJ63" s="1557"/>
      <c r="AK63" s="1557"/>
      <c r="AL63" s="1"/>
    </row>
    <row r="64" spans="1:38">
      <c r="A64" s="283"/>
      <c r="B64" s="1"/>
      <c r="C64" s="358"/>
      <c r="D64" s="283"/>
      <c r="E64" s="283" t="s">
        <v>79</v>
      </c>
      <c r="F64" s="283" t="s">
        <v>752</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6" t="s">
        <v>641</v>
      </c>
      <c r="G65" s="1557" t="s">
        <v>1906</v>
      </c>
      <c r="H65" s="1557"/>
      <c r="I65" s="1557"/>
      <c r="J65" s="1557"/>
      <c r="K65" s="1557"/>
      <c r="L65" s="1557"/>
      <c r="M65" s="1557"/>
      <c r="N65" s="1557"/>
      <c r="O65" s="1557"/>
      <c r="P65" s="1557"/>
      <c r="Q65" s="1557"/>
      <c r="R65" s="1557"/>
      <c r="S65" s="1557"/>
      <c r="T65" s="1557"/>
      <c r="U65" s="1557"/>
      <c r="V65" s="1557"/>
      <c r="W65" s="1557"/>
      <c r="X65" s="1557"/>
      <c r="Y65" s="1557"/>
      <c r="Z65" s="1557"/>
      <c r="AA65" s="1557"/>
      <c r="AB65" s="1557"/>
      <c r="AC65" s="1557"/>
      <c r="AD65" s="1557"/>
      <c r="AE65" s="1557"/>
      <c r="AF65" s="1557"/>
      <c r="AG65" s="1557"/>
      <c r="AH65" s="1557"/>
      <c r="AI65" s="1557"/>
      <c r="AJ65" s="1557"/>
      <c r="AK65" s="1557"/>
      <c r="AL65" s="1"/>
    </row>
    <row r="66" spans="1:38">
      <c r="A66" s="283"/>
      <c r="B66" s="1"/>
      <c r="C66" s="358"/>
      <c r="D66" s="283"/>
      <c r="E66" s="283"/>
      <c r="F66" s="516"/>
      <c r="G66" s="1557"/>
      <c r="H66" s="1557"/>
      <c r="I66" s="1557"/>
      <c r="J66" s="1557"/>
      <c r="K66" s="1557"/>
      <c r="L66" s="1557"/>
      <c r="M66" s="1557"/>
      <c r="N66" s="1557"/>
      <c r="O66" s="1557"/>
      <c r="P66" s="1557"/>
      <c r="Q66" s="1557"/>
      <c r="R66" s="1557"/>
      <c r="S66" s="1557"/>
      <c r="T66" s="1557"/>
      <c r="U66" s="1557"/>
      <c r="V66" s="1557"/>
      <c r="W66" s="1557"/>
      <c r="X66" s="1557"/>
      <c r="Y66" s="1557"/>
      <c r="Z66" s="1557"/>
      <c r="AA66" s="1557"/>
      <c r="AB66" s="1557"/>
      <c r="AC66" s="1557"/>
      <c r="AD66" s="1557"/>
      <c r="AE66" s="1557"/>
      <c r="AF66" s="1557"/>
      <c r="AG66" s="1557"/>
      <c r="AH66" s="1557"/>
      <c r="AI66" s="1557"/>
      <c r="AJ66" s="1557"/>
      <c r="AK66" s="1557"/>
      <c r="AL66" s="1"/>
    </row>
    <row r="67" spans="1:38">
      <c r="A67" s="283"/>
      <c r="B67" s="1"/>
      <c r="C67" s="358"/>
      <c r="D67" s="283"/>
      <c r="E67" s="283"/>
      <c r="F67" s="516" t="s">
        <v>214</v>
      </c>
      <c r="G67" s="1557" t="s">
        <v>1907</v>
      </c>
      <c r="H67" s="1557"/>
      <c r="I67" s="1557"/>
      <c r="J67" s="1557"/>
      <c r="K67" s="1557"/>
      <c r="L67" s="1557"/>
      <c r="M67" s="1557"/>
      <c r="N67" s="1557"/>
      <c r="O67" s="1557"/>
      <c r="P67" s="1557"/>
      <c r="Q67" s="1557"/>
      <c r="R67" s="1557"/>
      <c r="S67" s="1557"/>
      <c r="T67" s="1557"/>
      <c r="U67" s="1557"/>
      <c r="V67" s="1557"/>
      <c r="W67" s="1557"/>
      <c r="X67" s="1557"/>
      <c r="Y67" s="1557"/>
      <c r="Z67" s="1557"/>
      <c r="AA67" s="1557"/>
      <c r="AB67" s="1557"/>
      <c r="AC67" s="1557"/>
      <c r="AD67" s="1557"/>
      <c r="AE67" s="1557"/>
      <c r="AF67" s="1557"/>
      <c r="AG67" s="1557"/>
      <c r="AH67" s="1557"/>
      <c r="AI67" s="1557"/>
      <c r="AJ67" s="1557"/>
      <c r="AK67" s="1557"/>
      <c r="AL67" s="1"/>
    </row>
    <row r="68" spans="1:38">
      <c r="A68" s="283"/>
      <c r="B68" s="1"/>
      <c r="C68" s="358"/>
      <c r="D68" s="283"/>
      <c r="E68" s="283"/>
      <c r="F68" s="516"/>
      <c r="G68" s="1557"/>
      <c r="H68" s="1557"/>
      <c r="I68" s="1557"/>
      <c r="J68" s="1557"/>
      <c r="K68" s="1557"/>
      <c r="L68" s="1557"/>
      <c r="M68" s="1557"/>
      <c r="N68" s="1557"/>
      <c r="O68" s="1557"/>
      <c r="P68" s="1557"/>
      <c r="Q68" s="1557"/>
      <c r="R68" s="1557"/>
      <c r="S68" s="1557"/>
      <c r="T68" s="1557"/>
      <c r="U68" s="1557"/>
      <c r="V68" s="1557"/>
      <c r="W68" s="1557"/>
      <c r="X68" s="1557"/>
      <c r="Y68" s="1557"/>
      <c r="Z68" s="1557"/>
      <c r="AA68" s="1557"/>
      <c r="AB68" s="1557"/>
      <c r="AC68" s="1557"/>
      <c r="AD68" s="1557"/>
      <c r="AE68" s="1557"/>
      <c r="AF68" s="1557"/>
      <c r="AG68" s="1557"/>
      <c r="AH68" s="1557"/>
      <c r="AI68" s="1557"/>
      <c r="AJ68" s="1557"/>
      <c r="AK68" s="1557"/>
      <c r="AL68" s="1"/>
    </row>
    <row r="69" spans="1:38">
      <c r="A69" s="283"/>
      <c r="B69" s="1"/>
      <c r="C69" s="358"/>
      <c r="D69" s="283"/>
      <c r="E69" s="283"/>
      <c r="F69" s="516"/>
      <c r="G69" s="1065" t="s">
        <v>520</v>
      </c>
      <c r="H69" s="283"/>
      <c r="I69" s="1"/>
      <c r="J69" s="1065"/>
      <c r="K69" s="1065"/>
      <c r="L69" s="1065"/>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6"/>
      <c r="G70" s="1065" t="s">
        <v>1164</v>
      </c>
      <c r="H70" s="1"/>
      <c r="I70" s="1"/>
      <c r="J70" s="1065"/>
      <c r="K70" s="1065"/>
      <c r="L70" s="1065"/>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6" t="s">
        <v>992</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1163</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594</v>
      </c>
      <c r="F74" s="283" t="s">
        <v>875</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6"/>
      <c r="G75" s="1557" t="s">
        <v>1922</v>
      </c>
      <c r="H75" s="1557"/>
      <c r="I75" s="1557"/>
      <c r="J75" s="1557"/>
      <c r="K75" s="1557"/>
      <c r="L75" s="1557"/>
      <c r="M75" s="1557"/>
      <c r="N75" s="1557"/>
      <c r="O75" s="1557"/>
      <c r="P75" s="1557"/>
      <c r="Q75" s="1557"/>
      <c r="R75" s="1557"/>
      <c r="S75" s="1557"/>
      <c r="T75" s="1557"/>
      <c r="U75" s="1557"/>
      <c r="V75" s="1557"/>
      <c r="W75" s="1557"/>
      <c r="X75" s="1557"/>
      <c r="Y75" s="1557"/>
      <c r="Z75" s="1557"/>
      <c r="AA75" s="1557"/>
      <c r="AB75" s="1557"/>
      <c r="AC75" s="1557"/>
      <c r="AD75" s="1557"/>
      <c r="AE75" s="1557"/>
      <c r="AF75" s="1557"/>
      <c r="AG75" s="1557"/>
      <c r="AH75" s="1557"/>
      <c r="AI75" s="1557"/>
      <c r="AJ75" s="1557"/>
      <c r="AK75" s="1557"/>
      <c r="AL75" s="1"/>
    </row>
    <row r="76" spans="1:38">
      <c r="A76" s="283"/>
      <c r="B76" s="1"/>
      <c r="C76" s="358"/>
      <c r="D76" s="283"/>
      <c r="E76" s="283"/>
      <c r="F76" s="283"/>
      <c r="G76" s="1557"/>
      <c r="H76" s="1557"/>
      <c r="I76" s="1557"/>
      <c r="J76" s="1557"/>
      <c r="K76" s="1557"/>
      <c r="L76" s="1557"/>
      <c r="M76" s="1557"/>
      <c r="N76" s="1557"/>
      <c r="O76" s="1557"/>
      <c r="P76" s="1557"/>
      <c r="Q76" s="1557"/>
      <c r="R76" s="1557"/>
      <c r="S76" s="1557"/>
      <c r="T76" s="1557"/>
      <c r="U76" s="1557"/>
      <c r="V76" s="1557"/>
      <c r="W76" s="1557"/>
      <c r="X76" s="1557"/>
      <c r="Y76" s="1557"/>
      <c r="Z76" s="1557"/>
      <c r="AA76" s="1557"/>
      <c r="AB76" s="1557"/>
      <c r="AC76" s="1557"/>
      <c r="AD76" s="1557"/>
      <c r="AE76" s="1557"/>
      <c r="AF76" s="1557"/>
      <c r="AG76" s="1557"/>
      <c r="AH76" s="1557"/>
      <c r="AI76" s="1557"/>
      <c r="AJ76" s="1557"/>
      <c r="AK76" s="1557"/>
      <c r="AL76" s="1"/>
    </row>
    <row r="77" spans="1:38">
      <c r="A77" s="283"/>
      <c r="B77" s="1"/>
      <c r="C77" s="358"/>
      <c r="D77" s="283"/>
      <c r="E77" s="283"/>
      <c r="F77" s="283"/>
      <c r="G77" s="1557"/>
      <c r="H77" s="1557"/>
      <c r="I77" s="1557"/>
      <c r="J77" s="1557"/>
      <c r="K77" s="1557"/>
      <c r="L77" s="1557"/>
      <c r="M77" s="1557"/>
      <c r="N77" s="1557"/>
      <c r="O77" s="1557"/>
      <c r="P77" s="1557"/>
      <c r="Q77" s="1557"/>
      <c r="R77" s="1557"/>
      <c r="S77" s="1557"/>
      <c r="T77" s="1557"/>
      <c r="U77" s="1557"/>
      <c r="V77" s="1557"/>
      <c r="W77" s="1557"/>
      <c r="X77" s="1557"/>
      <c r="Y77" s="1557"/>
      <c r="Z77" s="1557"/>
      <c r="AA77" s="1557"/>
      <c r="AB77" s="1557"/>
      <c r="AC77" s="1557"/>
      <c r="AD77" s="1557"/>
      <c r="AE77" s="1557"/>
      <c r="AF77" s="1557"/>
      <c r="AG77" s="1557"/>
      <c r="AH77" s="1557"/>
      <c r="AI77" s="1557"/>
      <c r="AJ77" s="1557"/>
      <c r="AK77" s="1557"/>
      <c r="AL77" s="1"/>
    </row>
    <row r="78" spans="1:38">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6"/>
      <c r="G79" s="1557" t="s">
        <v>1923</v>
      </c>
      <c r="H79" s="1557"/>
      <c r="I79" s="1557"/>
      <c r="J79" s="1557"/>
      <c r="K79" s="1557"/>
      <c r="L79" s="1557"/>
      <c r="M79" s="1557"/>
      <c r="N79" s="1557"/>
      <c r="O79" s="1557"/>
      <c r="P79" s="1557"/>
      <c r="Q79" s="1557"/>
      <c r="R79" s="1557"/>
      <c r="S79" s="1557"/>
      <c r="T79" s="1557"/>
      <c r="U79" s="1557"/>
      <c r="V79" s="1557"/>
      <c r="W79" s="1557"/>
      <c r="X79" s="1557"/>
      <c r="Y79" s="1557"/>
      <c r="Z79" s="1557"/>
      <c r="AA79" s="1557"/>
      <c r="AB79" s="1557"/>
      <c r="AC79" s="1557"/>
      <c r="AD79" s="1557"/>
      <c r="AE79" s="1557"/>
      <c r="AF79" s="1557"/>
      <c r="AG79" s="1557"/>
      <c r="AH79" s="1557"/>
      <c r="AI79" s="1557"/>
      <c r="AJ79" s="1557"/>
      <c r="AK79" s="1557"/>
      <c r="AL79" s="1"/>
    </row>
    <row r="80" spans="1:38">
      <c r="A80" s="283"/>
      <c r="B80" s="1"/>
      <c r="C80" s="358"/>
      <c r="D80" s="283"/>
      <c r="E80" s="283"/>
      <c r="F80" s="283"/>
      <c r="G80" s="1557"/>
      <c r="H80" s="1557"/>
      <c r="I80" s="1557"/>
      <c r="J80" s="1557"/>
      <c r="K80" s="1557"/>
      <c r="L80" s="1557"/>
      <c r="M80" s="1557"/>
      <c r="N80" s="1557"/>
      <c r="O80" s="1557"/>
      <c r="P80" s="1557"/>
      <c r="Q80" s="1557"/>
      <c r="R80" s="1557"/>
      <c r="S80" s="1557"/>
      <c r="T80" s="1557"/>
      <c r="U80" s="1557"/>
      <c r="V80" s="1557"/>
      <c r="W80" s="1557"/>
      <c r="X80" s="1557"/>
      <c r="Y80" s="1557"/>
      <c r="Z80" s="1557"/>
      <c r="AA80" s="1557"/>
      <c r="AB80" s="1557"/>
      <c r="AC80" s="1557"/>
      <c r="AD80" s="1557"/>
      <c r="AE80" s="1557"/>
      <c r="AF80" s="1557"/>
      <c r="AG80" s="1557"/>
      <c r="AH80" s="1557"/>
      <c r="AI80" s="1557"/>
      <c r="AJ80" s="1557"/>
      <c r="AK80" s="1557"/>
      <c r="AL80" s="1"/>
    </row>
    <row r="81" spans="1:38">
      <c r="A81" s="283"/>
      <c r="B81" s="1"/>
      <c r="C81" s="358"/>
      <c r="D81" s="283"/>
      <c r="E81" s="283"/>
      <c r="F81" s="1"/>
      <c r="G81" s="1557"/>
      <c r="H81" s="1557"/>
      <c r="I81" s="1557"/>
      <c r="J81" s="1557"/>
      <c r="K81" s="1557"/>
      <c r="L81" s="1557"/>
      <c r="M81" s="1557"/>
      <c r="N81" s="1557"/>
      <c r="O81" s="1557"/>
      <c r="P81" s="1557"/>
      <c r="Q81" s="1557"/>
      <c r="R81" s="1557"/>
      <c r="S81" s="1557"/>
      <c r="T81" s="1557"/>
      <c r="U81" s="1557"/>
      <c r="V81" s="1557"/>
      <c r="W81" s="1557"/>
      <c r="X81" s="1557"/>
      <c r="Y81" s="1557"/>
      <c r="Z81" s="1557"/>
      <c r="AA81" s="1557"/>
      <c r="AB81" s="1557"/>
      <c r="AC81" s="1557"/>
      <c r="AD81" s="1557"/>
      <c r="AE81" s="1557"/>
      <c r="AF81" s="1557"/>
      <c r="AG81" s="1557"/>
      <c r="AH81" s="1557"/>
      <c r="AI81" s="1557"/>
      <c r="AJ81" s="1557"/>
      <c r="AK81" s="1557"/>
      <c r="AL81" s="1"/>
    </row>
    <row r="82" spans="1:38">
      <c r="A82" s="283"/>
      <c r="B82" s="1"/>
      <c r="C82" s="358"/>
      <c r="D82" s="283"/>
      <c r="E82" s="283" t="s">
        <v>53</v>
      </c>
      <c r="F82" s="283" t="s">
        <v>936</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57" t="s">
        <v>1908</v>
      </c>
      <c r="H83" s="1557"/>
      <c r="I83" s="1557"/>
      <c r="J83" s="1557"/>
      <c r="K83" s="1557"/>
      <c r="L83" s="1557"/>
      <c r="M83" s="1557"/>
      <c r="N83" s="1557"/>
      <c r="O83" s="1557"/>
      <c r="P83" s="1557"/>
      <c r="Q83" s="1557"/>
      <c r="R83" s="1557"/>
      <c r="S83" s="1557"/>
      <c r="T83" s="1557"/>
      <c r="U83" s="1557"/>
      <c r="V83" s="1557"/>
      <c r="W83" s="1557"/>
      <c r="X83" s="1557"/>
      <c r="Y83" s="1557"/>
      <c r="Z83" s="1557"/>
      <c r="AA83" s="1557"/>
      <c r="AB83" s="1557"/>
      <c r="AC83" s="1557"/>
      <c r="AD83" s="1557"/>
      <c r="AE83" s="1557"/>
      <c r="AF83" s="1557"/>
      <c r="AG83" s="1557"/>
      <c r="AH83" s="1557"/>
      <c r="AI83" s="1557"/>
      <c r="AJ83" s="1557"/>
      <c r="AK83" s="1557"/>
      <c r="AL83" s="1"/>
    </row>
    <row r="84" spans="1:38">
      <c r="A84" s="283"/>
      <c r="B84" s="1"/>
      <c r="C84" s="358"/>
      <c r="D84" s="283"/>
      <c r="E84" s="283"/>
      <c r="F84" s="1"/>
      <c r="G84" s="1557"/>
      <c r="H84" s="1557"/>
      <c r="I84" s="1557"/>
      <c r="J84" s="1557"/>
      <c r="K84" s="1557"/>
      <c r="L84" s="1557"/>
      <c r="M84" s="1557"/>
      <c r="N84" s="1557"/>
      <c r="O84" s="1557"/>
      <c r="P84" s="1557"/>
      <c r="Q84" s="1557"/>
      <c r="R84" s="1557"/>
      <c r="S84" s="1557"/>
      <c r="T84" s="1557"/>
      <c r="U84" s="1557"/>
      <c r="V84" s="1557"/>
      <c r="W84" s="1557"/>
      <c r="X84" s="1557"/>
      <c r="Y84" s="1557"/>
      <c r="Z84" s="1557"/>
      <c r="AA84" s="1557"/>
      <c r="AB84" s="1557"/>
      <c r="AC84" s="1557"/>
      <c r="AD84" s="1557"/>
      <c r="AE84" s="1557"/>
      <c r="AF84" s="1557"/>
      <c r="AG84" s="1557"/>
      <c r="AH84" s="1557"/>
      <c r="AI84" s="1557"/>
      <c r="AJ84" s="1557"/>
      <c r="AK84" s="1557"/>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6"/>
      <c r="G86" s="1557" t="s">
        <v>1909</v>
      </c>
      <c r="H86" s="1557"/>
      <c r="I86" s="1557"/>
      <c r="J86" s="1557"/>
      <c r="K86" s="1557"/>
      <c r="L86" s="1557"/>
      <c r="M86" s="1557"/>
      <c r="N86" s="1557"/>
      <c r="O86" s="1557"/>
      <c r="P86" s="1557"/>
      <c r="Q86" s="1557"/>
      <c r="R86" s="1557"/>
      <c r="S86" s="1557"/>
      <c r="T86" s="1557"/>
      <c r="U86" s="1557"/>
      <c r="V86" s="1557"/>
      <c r="W86" s="1557"/>
      <c r="X86" s="1557"/>
      <c r="Y86" s="1557"/>
      <c r="Z86" s="1557"/>
      <c r="AA86" s="1557"/>
      <c r="AB86" s="1557"/>
      <c r="AC86" s="1557"/>
      <c r="AD86" s="1557"/>
      <c r="AE86" s="1557"/>
      <c r="AF86" s="1557"/>
      <c r="AG86" s="1557"/>
      <c r="AH86" s="1557"/>
      <c r="AI86" s="1557"/>
      <c r="AJ86" s="1557"/>
      <c r="AK86" s="1557"/>
      <c r="AL86" s="1"/>
    </row>
    <row r="87" spans="1:38">
      <c r="A87" s="283"/>
      <c r="B87" s="1"/>
      <c r="C87" s="358"/>
      <c r="D87" s="283"/>
      <c r="E87" s="283"/>
      <c r="F87" s="1"/>
      <c r="G87" s="1557"/>
      <c r="H87" s="1557"/>
      <c r="I87" s="1557"/>
      <c r="J87" s="1557"/>
      <c r="K87" s="1557"/>
      <c r="L87" s="1557"/>
      <c r="M87" s="1557"/>
      <c r="N87" s="1557"/>
      <c r="O87" s="1557"/>
      <c r="P87" s="1557"/>
      <c r="Q87" s="1557"/>
      <c r="R87" s="1557"/>
      <c r="S87" s="1557"/>
      <c r="T87" s="1557"/>
      <c r="U87" s="1557"/>
      <c r="V87" s="1557"/>
      <c r="W87" s="1557"/>
      <c r="X87" s="1557"/>
      <c r="Y87" s="1557"/>
      <c r="Z87" s="1557"/>
      <c r="AA87" s="1557"/>
      <c r="AB87" s="1557"/>
      <c r="AC87" s="1557"/>
      <c r="AD87" s="1557"/>
      <c r="AE87" s="1557"/>
      <c r="AF87" s="1557"/>
      <c r="AG87" s="1557"/>
      <c r="AH87" s="1557"/>
      <c r="AI87" s="1557"/>
      <c r="AJ87" s="1557"/>
      <c r="AK87" s="1557"/>
      <c r="AL87" s="1"/>
    </row>
    <row r="88" spans="1:38">
      <c r="A88" s="283"/>
      <c r="B88" s="1"/>
      <c r="C88" s="358"/>
      <c r="D88" s="283"/>
      <c r="E88" s="283" t="s">
        <v>280</v>
      </c>
      <c r="F88" s="283" t="s">
        <v>1099</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6"/>
      <c r="G89" s="1557" t="s">
        <v>1915</v>
      </c>
      <c r="H89" s="1557"/>
      <c r="I89" s="1557"/>
      <c r="J89" s="1557"/>
      <c r="K89" s="1557"/>
      <c r="L89" s="1557"/>
      <c r="M89" s="1557"/>
      <c r="N89" s="1557"/>
      <c r="O89" s="1557"/>
      <c r="P89" s="1557"/>
      <c r="Q89" s="1557"/>
      <c r="R89" s="1557"/>
      <c r="S89" s="1557"/>
      <c r="T89" s="1557"/>
      <c r="U89" s="1557"/>
      <c r="V89" s="1557"/>
      <c r="W89" s="1557"/>
      <c r="X89" s="1557"/>
      <c r="Y89" s="1557"/>
      <c r="Z89" s="1557"/>
      <c r="AA89" s="1557"/>
      <c r="AB89" s="1557"/>
      <c r="AC89" s="1557"/>
      <c r="AD89" s="1557"/>
      <c r="AE89" s="1557"/>
      <c r="AF89" s="1557"/>
      <c r="AG89" s="1557"/>
      <c r="AH89" s="1557"/>
      <c r="AI89" s="1557"/>
      <c r="AJ89" s="1557"/>
      <c r="AK89" s="1557"/>
      <c r="AL89" s="1"/>
    </row>
    <row r="90" spans="1:38">
      <c r="A90" s="283"/>
      <c r="B90" s="1"/>
      <c r="C90" s="358"/>
      <c r="D90" s="283"/>
      <c r="E90" s="283"/>
      <c r="F90" s="283"/>
      <c r="G90" s="1557"/>
      <c r="H90" s="1557"/>
      <c r="I90" s="1557"/>
      <c r="J90" s="1557"/>
      <c r="K90" s="1557"/>
      <c r="L90" s="1557"/>
      <c r="M90" s="1557"/>
      <c r="N90" s="1557"/>
      <c r="O90" s="1557"/>
      <c r="P90" s="1557"/>
      <c r="Q90" s="1557"/>
      <c r="R90" s="1557"/>
      <c r="S90" s="1557"/>
      <c r="T90" s="1557"/>
      <c r="U90" s="1557"/>
      <c r="V90" s="1557"/>
      <c r="W90" s="1557"/>
      <c r="X90" s="1557"/>
      <c r="Y90" s="1557"/>
      <c r="Z90" s="1557"/>
      <c r="AA90" s="1557"/>
      <c r="AB90" s="1557"/>
      <c r="AC90" s="1557"/>
      <c r="AD90" s="1557"/>
      <c r="AE90" s="1557"/>
      <c r="AF90" s="1557"/>
      <c r="AG90" s="1557"/>
      <c r="AH90" s="1557"/>
      <c r="AI90" s="1557"/>
      <c r="AJ90" s="1557"/>
      <c r="AK90" s="1557"/>
      <c r="AL90" s="1"/>
    </row>
    <row r="91" spans="1:38">
      <c r="A91" s="283"/>
      <c r="B91" s="1"/>
      <c r="C91" s="358"/>
      <c r="D91" s="283"/>
      <c r="E91" s="283"/>
      <c r="F91" s="283"/>
      <c r="G91" s="1557"/>
      <c r="H91" s="1557"/>
      <c r="I91" s="1557"/>
      <c r="J91" s="1557"/>
      <c r="K91" s="1557"/>
      <c r="L91" s="1557"/>
      <c r="M91" s="1557"/>
      <c r="N91" s="1557"/>
      <c r="O91" s="1557"/>
      <c r="P91" s="1557"/>
      <c r="Q91" s="1557"/>
      <c r="R91" s="1557"/>
      <c r="S91" s="1557"/>
      <c r="T91" s="1557"/>
      <c r="U91" s="1557"/>
      <c r="V91" s="1557"/>
      <c r="W91" s="1557"/>
      <c r="X91" s="1557"/>
      <c r="Y91" s="1557"/>
      <c r="Z91" s="1557"/>
      <c r="AA91" s="1557"/>
      <c r="AB91" s="1557"/>
      <c r="AC91" s="1557"/>
      <c r="AD91" s="1557"/>
      <c r="AE91" s="1557"/>
      <c r="AF91" s="1557"/>
      <c r="AG91" s="1557"/>
      <c r="AH91" s="1557"/>
      <c r="AI91" s="1557"/>
      <c r="AJ91" s="1557"/>
      <c r="AK91" s="1557"/>
      <c r="AL91" s="1"/>
    </row>
    <row r="92" spans="1:38">
      <c r="A92" s="283"/>
      <c r="B92" s="1"/>
      <c r="C92" s="358"/>
      <c r="D92" s="283"/>
      <c r="E92" s="283"/>
      <c r="F92" s="283"/>
      <c r="G92" s="1557"/>
      <c r="H92" s="1557"/>
      <c r="I92" s="1557"/>
      <c r="J92" s="1557"/>
      <c r="K92" s="1557"/>
      <c r="L92" s="1557"/>
      <c r="M92" s="1557"/>
      <c r="N92" s="1557"/>
      <c r="O92" s="1557"/>
      <c r="P92" s="1557"/>
      <c r="Q92" s="1557"/>
      <c r="R92" s="1557"/>
      <c r="S92" s="1557"/>
      <c r="T92" s="1557"/>
      <c r="U92" s="1557"/>
      <c r="V92" s="1557"/>
      <c r="W92" s="1557"/>
      <c r="X92" s="1557"/>
      <c r="Y92" s="1557"/>
      <c r="Z92" s="1557"/>
      <c r="AA92" s="1557"/>
      <c r="AB92" s="1557"/>
      <c r="AC92" s="1557"/>
      <c r="AD92" s="1557"/>
      <c r="AE92" s="1557"/>
      <c r="AF92" s="1557"/>
      <c r="AG92" s="1557"/>
      <c r="AH92" s="1557"/>
      <c r="AI92" s="1557"/>
      <c r="AJ92" s="1557"/>
      <c r="AK92" s="1557"/>
      <c r="AL92" s="1"/>
    </row>
    <row r="93" spans="1:38">
      <c r="A93" s="1072"/>
      <c r="B93" s="1073"/>
      <c r="C93" s="1074"/>
      <c r="D93" s="1072"/>
      <c r="E93" s="1072" t="s">
        <v>1098</v>
      </c>
      <c r="F93" s="1073" t="s">
        <v>1165</v>
      </c>
      <c r="G93" s="1072"/>
      <c r="H93" s="1073"/>
      <c r="I93" s="1073"/>
      <c r="J93" s="1073"/>
      <c r="K93" s="1073"/>
      <c r="L93" s="1072"/>
      <c r="M93" s="1072"/>
      <c r="N93" s="1073"/>
      <c r="O93" s="1073"/>
      <c r="P93" s="1072"/>
      <c r="Q93" s="1072"/>
      <c r="R93" s="1072"/>
      <c r="S93" s="1072"/>
      <c r="T93" s="1072"/>
      <c r="U93" s="1072"/>
      <c r="V93" s="1072"/>
      <c r="W93" s="1072"/>
      <c r="X93" s="1072"/>
      <c r="Y93" s="1072"/>
      <c r="Z93" s="1072"/>
      <c r="AA93" s="1072"/>
      <c r="AB93" s="1072"/>
      <c r="AC93" s="1073"/>
      <c r="AD93" s="1073"/>
      <c r="AE93" s="1073"/>
      <c r="AF93" s="1073"/>
      <c r="AG93" s="1073"/>
      <c r="AH93" s="1073"/>
      <c r="AI93" s="1073"/>
      <c r="AJ93" s="1073"/>
      <c r="AK93" s="1073"/>
      <c r="AL93" s="1073"/>
    </row>
    <row r="94" spans="1:38">
      <c r="A94" s="1072"/>
      <c r="B94" s="1073"/>
      <c r="C94" s="1074"/>
      <c r="D94" s="1072"/>
      <c r="E94" s="1072"/>
      <c r="F94" s="1073"/>
      <c r="G94" s="1558" t="s">
        <v>1916</v>
      </c>
      <c r="H94" s="1558"/>
      <c r="I94" s="1558"/>
      <c r="J94" s="1558"/>
      <c r="K94" s="1558"/>
      <c r="L94" s="1558"/>
      <c r="M94" s="1558"/>
      <c r="N94" s="1558"/>
      <c r="O94" s="1558"/>
      <c r="P94" s="1558"/>
      <c r="Q94" s="1558"/>
      <c r="R94" s="1558"/>
      <c r="S94" s="1558"/>
      <c r="T94" s="1558"/>
      <c r="U94" s="1558"/>
      <c r="V94" s="1558"/>
      <c r="W94" s="1558"/>
      <c r="X94" s="1558"/>
      <c r="Y94" s="1558"/>
      <c r="Z94" s="1558"/>
      <c r="AA94" s="1558"/>
      <c r="AB94" s="1558"/>
      <c r="AC94" s="1558"/>
      <c r="AD94" s="1558"/>
      <c r="AE94" s="1558"/>
      <c r="AF94" s="1558"/>
      <c r="AG94" s="1558"/>
      <c r="AH94" s="1558"/>
      <c r="AI94" s="1558"/>
      <c r="AJ94" s="1558"/>
      <c r="AK94" s="1558"/>
      <c r="AL94" s="1073"/>
    </row>
    <row r="95" spans="1:38">
      <c r="A95" s="1072"/>
      <c r="B95" s="1073"/>
      <c r="C95" s="1074"/>
      <c r="D95" s="1072"/>
      <c r="E95" s="1072"/>
      <c r="F95" s="1073"/>
      <c r="G95" s="1558"/>
      <c r="H95" s="1558"/>
      <c r="I95" s="1558"/>
      <c r="J95" s="1558"/>
      <c r="K95" s="1558"/>
      <c r="L95" s="1558"/>
      <c r="M95" s="1558"/>
      <c r="N95" s="1558"/>
      <c r="O95" s="1558"/>
      <c r="P95" s="1558"/>
      <c r="Q95" s="1558"/>
      <c r="R95" s="1558"/>
      <c r="S95" s="1558"/>
      <c r="T95" s="1558"/>
      <c r="U95" s="1558"/>
      <c r="V95" s="1558"/>
      <c r="W95" s="1558"/>
      <c r="X95" s="1558"/>
      <c r="Y95" s="1558"/>
      <c r="Z95" s="1558"/>
      <c r="AA95" s="1558"/>
      <c r="AB95" s="1558"/>
      <c r="AC95" s="1558"/>
      <c r="AD95" s="1558"/>
      <c r="AE95" s="1558"/>
      <c r="AF95" s="1558"/>
      <c r="AG95" s="1558"/>
      <c r="AH95" s="1558"/>
      <c r="AI95" s="1558"/>
      <c r="AJ95" s="1558"/>
      <c r="AK95" s="1558"/>
      <c r="AL95" s="1073"/>
    </row>
    <row r="96" spans="1:38">
      <c r="A96" s="1072"/>
      <c r="B96" s="1073"/>
      <c r="C96" s="1074"/>
      <c r="D96" s="1072"/>
      <c r="E96" s="1072"/>
      <c r="F96" s="1073"/>
      <c r="G96" s="1558"/>
      <c r="H96" s="1558"/>
      <c r="I96" s="1558"/>
      <c r="J96" s="1558"/>
      <c r="K96" s="1558"/>
      <c r="L96" s="1558"/>
      <c r="M96" s="1558"/>
      <c r="N96" s="1558"/>
      <c r="O96" s="1558"/>
      <c r="P96" s="1558"/>
      <c r="Q96" s="1558"/>
      <c r="R96" s="1558"/>
      <c r="S96" s="1558"/>
      <c r="T96" s="1558"/>
      <c r="U96" s="1558"/>
      <c r="V96" s="1558"/>
      <c r="W96" s="1558"/>
      <c r="X96" s="1558"/>
      <c r="Y96" s="1558"/>
      <c r="Z96" s="1558"/>
      <c r="AA96" s="1558"/>
      <c r="AB96" s="1558"/>
      <c r="AC96" s="1558"/>
      <c r="AD96" s="1558"/>
      <c r="AE96" s="1558"/>
      <c r="AF96" s="1558"/>
      <c r="AG96" s="1558"/>
      <c r="AH96" s="1558"/>
      <c r="AI96" s="1558"/>
      <c r="AJ96" s="1558"/>
      <c r="AK96" s="1558"/>
      <c r="AL96" s="1073"/>
    </row>
    <row r="97" spans="1:38">
      <c r="A97" s="1072"/>
      <c r="B97" s="1073"/>
      <c r="C97" s="1074"/>
      <c r="D97" s="1072"/>
      <c r="E97" s="1072"/>
      <c r="F97" s="1073"/>
      <c r="G97" s="1558"/>
      <c r="H97" s="1558"/>
      <c r="I97" s="1558"/>
      <c r="J97" s="1558"/>
      <c r="K97" s="1558"/>
      <c r="L97" s="1558"/>
      <c r="M97" s="1558"/>
      <c r="N97" s="1558"/>
      <c r="O97" s="1558"/>
      <c r="P97" s="1558"/>
      <c r="Q97" s="1558"/>
      <c r="R97" s="1558"/>
      <c r="S97" s="1558"/>
      <c r="T97" s="1558"/>
      <c r="U97" s="1558"/>
      <c r="V97" s="1558"/>
      <c r="W97" s="1558"/>
      <c r="X97" s="1558"/>
      <c r="Y97" s="1558"/>
      <c r="Z97" s="1558"/>
      <c r="AA97" s="1558"/>
      <c r="AB97" s="1558"/>
      <c r="AC97" s="1558"/>
      <c r="AD97" s="1558"/>
      <c r="AE97" s="1558"/>
      <c r="AF97" s="1558"/>
      <c r="AG97" s="1558"/>
      <c r="AH97" s="1558"/>
      <c r="AI97" s="1558"/>
      <c r="AJ97" s="1558"/>
      <c r="AK97" s="1558"/>
      <c r="AL97" s="1073"/>
    </row>
    <row r="98" spans="1:38">
      <c r="A98" s="283"/>
      <c r="B98" s="1"/>
      <c r="C98" s="358"/>
      <c r="D98" s="283"/>
      <c r="E98" s="283" t="s">
        <v>1100</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57" t="s">
        <v>1917</v>
      </c>
      <c r="H99" s="1557"/>
      <c r="I99" s="1557"/>
      <c r="J99" s="1557"/>
      <c r="K99" s="1557"/>
      <c r="L99" s="1557"/>
      <c r="M99" s="1557"/>
      <c r="N99" s="1557"/>
      <c r="O99" s="1557"/>
      <c r="P99" s="1557"/>
      <c r="Q99" s="1557"/>
      <c r="R99" s="1557"/>
      <c r="S99" s="1557"/>
      <c r="T99" s="1557"/>
      <c r="U99" s="1557"/>
      <c r="V99" s="1557"/>
      <c r="W99" s="1557"/>
      <c r="X99" s="1557"/>
      <c r="Y99" s="1557"/>
      <c r="Z99" s="1557"/>
      <c r="AA99" s="1557"/>
      <c r="AB99" s="1557"/>
      <c r="AC99" s="1557"/>
      <c r="AD99" s="1557"/>
      <c r="AE99" s="1557"/>
      <c r="AF99" s="1557"/>
      <c r="AG99" s="1557"/>
      <c r="AH99" s="1557"/>
      <c r="AI99" s="1557"/>
      <c r="AJ99" s="1557"/>
      <c r="AK99" s="1557"/>
      <c r="AL99" s="1"/>
    </row>
    <row r="100" spans="1:38">
      <c r="A100" s="283"/>
      <c r="B100" s="1"/>
      <c r="C100" s="358"/>
      <c r="D100" s="283"/>
      <c r="E100" s="283"/>
      <c r="F100" s="1"/>
      <c r="G100" s="1557"/>
      <c r="H100" s="1557"/>
      <c r="I100" s="1557"/>
      <c r="J100" s="1557"/>
      <c r="K100" s="1557"/>
      <c r="L100" s="1557"/>
      <c r="M100" s="1557"/>
      <c r="N100" s="1557"/>
      <c r="O100" s="1557"/>
      <c r="P100" s="1557"/>
      <c r="Q100" s="1557"/>
      <c r="R100" s="1557"/>
      <c r="S100" s="1557"/>
      <c r="T100" s="1557"/>
      <c r="U100" s="1557"/>
      <c r="V100" s="1557"/>
      <c r="W100" s="1557"/>
      <c r="X100" s="1557"/>
      <c r="Y100" s="1557"/>
      <c r="Z100" s="1557"/>
      <c r="AA100" s="1557"/>
      <c r="AB100" s="1557"/>
      <c r="AC100" s="1557"/>
      <c r="AD100" s="1557"/>
      <c r="AE100" s="1557"/>
      <c r="AF100" s="1557"/>
      <c r="AG100" s="1557"/>
      <c r="AH100" s="1557"/>
      <c r="AI100" s="1557"/>
      <c r="AJ100" s="1557"/>
      <c r="AK100" s="1557"/>
      <c r="AL100" s="1"/>
    </row>
    <row r="101" spans="1:38">
      <c r="A101" s="283"/>
      <c r="B101" s="1"/>
      <c r="C101" s="358"/>
      <c r="D101" s="283"/>
      <c r="E101" s="283" t="s">
        <v>1101</v>
      </c>
      <c r="F101" s="283" t="s">
        <v>1102</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57" t="s">
        <v>1918</v>
      </c>
      <c r="H102" s="1557"/>
      <c r="I102" s="1557"/>
      <c r="J102" s="1557"/>
      <c r="K102" s="1557"/>
      <c r="L102" s="1557"/>
      <c r="M102" s="1557"/>
      <c r="N102" s="1557"/>
      <c r="O102" s="1557"/>
      <c r="P102" s="1557"/>
      <c r="Q102" s="1557"/>
      <c r="R102" s="1557"/>
      <c r="S102" s="1557"/>
      <c r="T102" s="1557"/>
      <c r="U102" s="1557"/>
      <c r="V102" s="1557"/>
      <c r="W102" s="1557"/>
      <c r="X102" s="1557"/>
      <c r="Y102" s="1557"/>
      <c r="Z102" s="1557"/>
      <c r="AA102" s="1557"/>
      <c r="AB102" s="1557"/>
      <c r="AC102" s="1557"/>
      <c r="AD102" s="1557"/>
      <c r="AE102" s="1557"/>
      <c r="AF102" s="1557"/>
      <c r="AG102" s="1557"/>
      <c r="AH102" s="1557"/>
      <c r="AI102" s="1557"/>
      <c r="AJ102" s="1557"/>
      <c r="AK102" s="1557"/>
      <c r="AL102" s="1"/>
    </row>
    <row r="103" spans="1:38">
      <c r="A103" s="283"/>
      <c r="B103" s="1"/>
      <c r="C103" s="358"/>
      <c r="D103" s="283"/>
      <c r="E103" s="283"/>
      <c r="F103" s="1"/>
      <c r="G103" s="1557"/>
      <c r="H103" s="1557"/>
      <c r="I103" s="1557"/>
      <c r="J103" s="1557"/>
      <c r="K103" s="1557"/>
      <c r="L103" s="1557"/>
      <c r="M103" s="1557"/>
      <c r="N103" s="1557"/>
      <c r="O103" s="1557"/>
      <c r="P103" s="1557"/>
      <c r="Q103" s="1557"/>
      <c r="R103" s="1557"/>
      <c r="S103" s="1557"/>
      <c r="T103" s="1557"/>
      <c r="U103" s="1557"/>
      <c r="V103" s="1557"/>
      <c r="W103" s="1557"/>
      <c r="X103" s="1557"/>
      <c r="Y103" s="1557"/>
      <c r="Z103" s="1557"/>
      <c r="AA103" s="1557"/>
      <c r="AB103" s="1557"/>
      <c r="AC103" s="1557"/>
      <c r="AD103" s="1557"/>
      <c r="AE103" s="1557"/>
      <c r="AF103" s="1557"/>
      <c r="AG103" s="1557"/>
      <c r="AH103" s="1557"/>
      <c r="AI103" s="1557"/>
      <c r="AJ103" s="1557"/>
      <c r="AK103" s="1557"/>
      <c r="AL103" s="1"/>
    </row>
    <row r="104" spans="1:38">
      <c r="A104" s="283"/>
      <c r="B104" s="1"/>
      <c r="C104" s="358"/>
      <c r="D104" s="283"/>
      <c r="E104" s="283" t="s">
        <v>1103</v>
      </c>
      <c r="F104" s="283" t="s">
        <v>1104</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57" t="s">
        <v>1919</v>
      </c>
      <c r="H105" s="1557"/>
      <c r="I105" s="1557"/>
      <c r="J105" s="1557"/>
      <c r="K105" s="1557"/>
      <c r="L105" s="1557"/>
      <c r="M105" s="1557"/>
      <c r="N105" s="1557"/>
      <c r="O105" s="1557"/>
      <c r="P105" s="1557"/>
      <c r="Q105" s="1557"/>
      <c r="R105" s="1557"/>
      <c r="S105" s="1557"/>
      <c r="T105" s="1557"/>
      <c r="U105" s="1557"/>
      <c r="V105" s="1557"/>
      <c r="W105" s="1557"/>
      <c r="X105" s="1557"/>
      <c r="Y105" s="1557"/>
      <c r="Z105" s="1557"/>
      <c r="AA105" s="1557"/>
      <c r="AB105" s="1557"/>
      <c r="AC105" s="1557"/>
      <c r="AD105" s="1557"/>
      <c r="AE105" s="1557"/>
      <c r="AF105" s="1557"/>
      <c r="AG105" s="1557"/>
      <c r="AH105" s="1557"/>
      <c r="AI105" s="1557"/>
      <c r="AJ105" s="1557"/>
      <c r="AK105" s="1557"/>
      <c r="AL105" s="1"/>
    </row>
    <row r="106" spans="1:38">
      <c r="A106" s="288"/>
      <c r="B106" s="272"/>
      <c r="C106" s="359"/>
      <c r="D106" s="288"/>
      <c r="E106" s="288"/>
      <c r="F106" s="288"/>
      <c r="G106" s="1557"/>
      <c r="H106" s="1557"/>
      <c r="I106" s="1557"/>
      <c r="J106" s="1557"/>
      <c r="K106" s="1557"/>
      <c r="L106" s="1557"/>
      <c r="M106" s="1557"/>
      <c r="N106" s="1557"/>
      <c r="O106" s="1557"/>
      <c r="P106" s="1557"/>
      <c r="Q106" s="1557"/>
      <c r="R106" s="1557"/>
      <c r="S106" s="1557"/>
      <c r="T106" s="1557"/>
      <c r="U106" s="1557"/>
      <c r="V106" s="1557"/>
      <c r="W106" s="1557"/>
      <c r="X106" s="1557"/>
      <c r="Y106" s="1557"/>
      <c r="Z106" s="1557"/>
      <c r="AA106" s="1557"/>
      <c r="AB106" s="1557"/>
      <c r="AC106" s="1557"/>
      <c r="AD106" s="1557"/>
      <c r="AE106" s="1557"/>
      <c r="AF106" s="1557"/>
      <c r="AG106" s="1557"/>
      <c r="AH106" s="1557"/>
      <c r="AI106" s="1557"/>
      <c r="AJ106" s="1557"/>
      <c r="AK106" s="1557"/>
      <c r="AL106" s="272"/>
    </row>
    <row r="107" spans="1:38">
      <c r="A107" s="288"/>
      <c r="B107" s="272"/>
      <c r="C107" s="359"/>
      <c r="D107" s="359"/>
      <c r="E107" s="288"/>
      <c r="F107" s="288"/>
      <c r="G107" s="1557"/>
      <c r="H107" s="1557"/>
      <c r="I107" s="1557"/>
      <c r="J107" s="1557"/>
      <c r="K107" s="1557"/>
      <c r="L107" s="1557"/>
      <c r="M107" s="1557"/>
      <c r="N107" s="1557"/>
      <c r="O107" s="1557"/>
      <c r="P107" s="1557"/>
      <c r="Q107" s="1557"/>
      <c r="R107" s="1557"/>
      <c r="S107" s="1557"/>
      <c r="T107" s="1557"/>
      <c r="U107" s="1557"/>
      <c r="V107" s="1557"/>
      <c r="W107" s="1557"/>
      <c r="X107" s="1557"/>
      <c r="Y107" s="1557"/>
      <c r="Z107" s="1557"/>
      <c r="AA107" s="1557"/>
      <c r="AB107" s="1557"/>
      <c r="AC107" s="1557"/>
      <c r="AD107" s="1557"/>
      <c r="AE107" s="1557"/>
      <c r="AF107" s="1557"/>
      <c r="AG107" s="1557"/>
      <c r="AH107" s="1557"/>
      <c r="AI107" s="1557"/>
      <c r="AJ107" s="1557"/>
      <c r="AK107" s="1557"/>
      <c r="AL107" s="272"/>
    </row>
    <row r="108" spans="1:38">
      <c r="A108" s="283"/>
      <c r="B108" s="1"/>
      <c r="C108" s="358"/>
      <c r="D108" s="358"/>
      <c r="E108" s="283" t="s">
        <v>1136</v>
      </c>
      <c r="F108" s="283" t="s">
        <v>1137</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57" t="s">
        <v>1920</v>
      </c>
      <c r="H109" s="1557"/>
      <c r="I109" s="1557"/>
      <c r="J109" s="1557"/>
      <c r="K109" s="1557"/>
      <c r="L109" s="1557"/>
      <c r="M109" s="1557"/>
      <c r="N109" s="1557"/>
      <c r="O109" s="1557"/>
      <c r="P109" s="1557"/>
      <c r="Q109" s="1557"/>
      <c r="R109" s="1557"/>
      <c r="S109" s="1557"/>
      <c r="T109" s="1557"/>
      <c r="U109" s="1557"/>
      <c r="V109" s="1557"/>
      <c r="W109" s="1557"/>
      <c r="X109" s="1557"/>
      <c r="Y109" s="1557"/>
      <c r="Z109" s="1557"/>
      <c r="AA109" s="1557"/>
      <c r="AB109" s="1557"/>
      <c r="AC109" s="1557"/>
      <c r="AD109" s="1557"/>
      <c r="AE109" s="1557"/>
      <c r="AF109" s="1557"/>
      <c r="AG109" s="1557"/>
      <c r="AH109" s="1557"/>
      <c r="AI109" s="1557"/>
      <c r="AJ109" s="1557"/>
      <c r="AK109" s="1557"/>
      <c r="AL109" s="1"/>
    </row>
    <row r="110" spans="1:38">
      <c r="A110" s="283"/>
      <c r="B110" s="1"/>
      <c r="C110" s="358"/>
      <c r="D110" s="358"/>
      <c r="E110" s="283"/>
      <c r="F110" s="283"/>
      <c r="G110" s="1557"/>
      <c r="H110" s="1557"/>
      <c r="I110" s="1557"/>
      <c r="J110" s="1557"/>
      <c r="K110" s="1557"/>
      <c r="L110" s="1557"/>
      <c r="M110" s="1557"/>
      <c r="N110" s="1557"/>
      <c r="O110" s="1557"/>
      <c r="P110" s="1557"/>
      <c r="Q110" s="1557"/>
      <c r="R110" s="1557"/>
      <c r="S110" s="1557"/>
      <c r="T110" s="1557"/>
      <c r="U110" s="1557"/>
      <c r="V110" s="1557"/>
      <c r="W110" s="1557"/>
      <c r="X110" s="1557"/>
      <c r="Y110" s="1557"/>
      <c r="Z110" s="1557"/>
      <c r="AA110" s="1557"/>
      <c r="AB110" s="1557"/>
      <c r="AC110" s="1557"/>
      <c r="AD110" s="1557"/>
      <c r="AE110" s="1557"/>
      <c r="AF110" s="1557"/>
      <c r="AG110" s="1557"/>
      <c r="AH110" s="1557"/>
      <c r="AI110" s="1557"/>
      <c r="AJ110" s="1557"/>
      <c r="AK110" s="1557"/>
      <c r="AL110" s="1"/>
    </row>
    <row r="111" spans="1:38">
      <c r="A111" s="283"/>
      <c r="B111" s="1"/>
      <c r="C111" s="358"/>
      <c r="D111" s="358"/>
      <c r="E111" s="283"/>
      <c r="F111" s="283"/>
      <c r="G111" s="283" t="s">
        <v>1138</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5"/>
      <c r="E112" s="1565" t="s">
        <v>1921</v>
      </c>
      <c r="F112" s="1565"/>
      <c r="G112" s="1565"/>
      <c r="H112" s="1565"/>
      <c r="I112" s="1565"/>
      <c r="J112" s="1565"/>
      <c r="K112" s="1565"/>
      <c r="L112" s="1565"/>
      <c r="M112" s="1565"/>
      <c r="N112" s="1565"/>
      <c r="O112" s="1565"/>
      <c r="P112" s="1565"/>
      <c r="Q112" s="1565"/>
      <c r="R112" s="1565"/>
      <c r="S112" s="1565"/>
      <c r="T112" s="1565"/>
      <c r="U112" s="1565"/>
      <c r="V112" s="1565"/>
      <c r="W112" s="1565"/>
      <c r="X112" s="1565"/>
      <c r="Y112" s="1565"/>
      <c r="Z112" s="1565"/>
      <c r="AA112" s="1565"/>
      <c r="AB112" s="1565"/>
      <c r="AC112" s="1565"/>
      <c r="AD112" s="1565"/>
      <c r="AE112" s="1565"/>
      <c r="AF112" s="1565"/>
      <c r="AG112" s="1565"/>
      <c r="AH112" s="1565"/>
      <c r="AI112" s="1565"/>
      <c r="AJ112" s="1565"/>
      <c r="AK112" s="1565"/>
      <c r="AL112" s="1"/>
    </row>
    <row r="113" spans="1:38">
      <c r="A113" s="283"/>
      <c r="B113" s="1"/>
      <c r="C113" s="1"/>
      <c r="D113" s="1075"/>
      <c r="E113" s="1565"/>
      <c r="F113" s="1565"/>
      <c r="G113" s="1565"/>
      <c r="H113" s="1565"/>
      <c r="I113" s="1565"/>
      <c r="J113" s="1565"/>
      <c r="K113" s="1565"/>
      <c r="L113" s="1565"/>
      <c r="M113" s="1565"/>
      <c r="N113" s="1565"/>
      <c r="O113" s="1565"/>
      <c r="P113" s="1565"/>
      <c r="Q113" s="1565"/>
      <c r="R113" s="1565"/>
      <c r="S113" s="1565"/>
      <c r="T113" s="1565"/>
      <c r="U113" s="1565"/>
      <c r="V113" s="1565"/>
      <c r="W113" s="1565"/>
      <c r="X113" s="1565"/>
      <c r="Y113" s="1565"/>
      <c r="Z113" s="1565"/>
      <c r="AA113" s="1565"/>
      <c r="AB113" s="1565"/>
      <c r="AC113" s="1565"/>
      <c r="AD113" s="1565"/>
      <c r="AE113" s="1565"/>
      <c r="AF113" s="1565"/>
      <c r="AG113" s="1565"/>
      <c r="AH113" s="1565"/>
      <c r="AI113" s="1565"/>
      <c r="AJ113" s="1565"/>
      <c r="AK113" s="1565"/>
      <c r="AL113" s="1"/>
    </row>
    <row r="114" spans="1:38" s="1066" customFormat="1" ht="12.75" customHeight="1">
      <c r="A114" s="283"/>
      <c r="B114" s="1076"/>
      <c r="C114" s="1075"/>
      <c r="D114" s="1075"/>
      <c r="E114" s="1076"/>
      <c r="F114" s="1075"/>
      <c r="G114" s="1075"/>
      <c r="H114" s="1075"/>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4" t="s">
        <v>513</v>
      </c>
      <c r="C115" s="1064" t="s">
        <v>752</v>
      </c>
      <c r="D115" s="1064"/>
      <c r="E115" s="1064"/>
      <c r="F115" s="1064"/>
      <c r="G115" s="1064"/>
      <c r="H115" s="1064"/>
      <c r="I115" s="1064"/>
      <c r="J115" s="1064"/>
      <c r="K115" s="1064"/>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2134</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901</v>
      </c>
      <c r="E118" s="358" t="s">
        <v>2134</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1004</v>
      </c>
      <c r="F119" s="1077" t="s">
        <v>902</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904</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7" customFormat="1">
      <c r="A121" s="1"/>
      <c r="B121" s="1"/>
      <c r="C121" s="1"/>
      <c r="D121" s="1"/>
      <c r="E121" s="283"/>
      <c r="F121" s="1" t="s">
        <v>905</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7"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1005</v>
      </c>
      <c r="F123" s="1077" t="s">
        <v>906</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907</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1011</v>
      </c>
      <c r="F126" s="1077"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1310</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1336</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7" t="s">
        <v>1311</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1166</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5" t="s">
        <v>2135</v>
      </c>
      <c r="G132" s="1075"/>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5"/>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7"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1445</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901</v>
      </c>
      <c r="E138" s="1078" t="s">
        <v>720</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1312</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1312</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932</v>
      </c>
      <c r="E144" s="358" t="s">
        <v>952</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57" t="s">
        <v>1924</v>
      </c>
      <c r="F145" s="1557"/>
      <c r="G145" s="1557"/>
      <c r="H145" s="1557"/>
      <c r="I145" s="1557"/>
      <c r="J145" s="1557"/>
      <c r="K145" s="1557"/>
      <c r="L145" s="1557"/>
      <c r="M145" s="1557"/>
      <c r="N145" s="1557"/>
      <c r="O145" s="1557"/>
      <c r="P145" s="1557"/>
      <c r="Q145" s="1557"/>
      <c r="R145" s="1557"/>
      <c r="S145" s="1557"/>
      <c r="T145" s="1557"/>
      <c r="U145" s="1557"/>
      <c r="V145" s="1557"/>
      <c r="W145" s="1557"/>
      <c r="X145" s="1557"/>
      <c r="Y145" s="1557"/>
      <c r="Z145" s="1557"/>
      <c r="AA145" s="1557"/>
      <c r="AB145" s="1557"/>
      <c r="AC145" s="1557"/>
      <c r="AD145" s="1557"/>
      <c r="AE145" s="1557"/>
      <c r="AF145" s="1557"/>
      <c r="AG145" s="1557"/>
      <c r="AH145" s="1557"/>
      <c r="AI145" s="1557"/>
      <c r="AJ145" s="1557"/>
      <c r="AK145" s="1557"/>
      <c r="AL145" s="1"/>
    </row>
    <row r="146" spans="1:38">
      <c r="A146" s="1"/>
      <c r="B146" s="1"/>
      <c r="C146" s="1"/>
      <c r="D146" s="1"/>
      <c r="E146" s="1557"/>
      <c r="F146" s="1557"/>
      <c r="G146" s="1557"/>
      <c r="H146" s="1557"/>
      <c r="I146" s="1557"/>
      <c r="J146" s="1557"/>
      <c r="K146" s="1557"/>
      <c r="L146" s="1557"/>
      <c r="M146" s="1557"/>
      <c r="N146" s="1557"/>
      <c r="O146" s="1557"/>
      <c r="P146" s="1557"/>
      <c r="Q146" s="1557"/>
      <c r="R146" s="1557"/>
      <c r="S146" s="1557"/>
      <c r="T146" s="1557"/>
      <c r="U146" s="1557"/>
      <c r="V146" s="1557"/>
      <c r="W146" s="1557"/>
      <c r="X146" s="1557"/>
      <c r="Y146" s="1557"/>
      <c r="Z146" s="1557"/>
      <c r="AA146" s="1557"/>
      <c r="AB146" s="1557"/>
      <c r="AC146" s="1557"/>
      <c r="AD146" s="1557"/>
      <c r="AE146" s="1557"/>
      <c r="AF146" s="1557"/>
      <c r="AG146" s="1557"/>
      <c r="AH146" s="1557"/>
      <c r="AI146" s="1557"/>
      <c r="AJ146" s="1557"/>
      <c r="AK146" s="1557"/>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821</v>
      </c>
      <c r="E148" s="358" t="s">
        <v>840</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1978</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553</v>
      </c>
      <c r="E151" s="358" t="s">
        <v>953</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1272</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1004</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1005</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903</v>
      </c>
      <c r="G157" s="1" t="s">
        <v>954</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57" t="s">
        <v>1925</v>
      </c>
      <c r="H158" s="1557"/>
      <c r="I158" s="1557"/>
      <c r="J158" s="1557"/>
      <c r="K158" s="1557"/>
      <c r="L158" s="1557"/>
      <c r="M158" s="1557"/>
      <c r="N158" s="1557"/>
      <c r="O158" s="1557"/>
      <c r="P158" s="1557"/>
      <c r="Q158" s="1557"/>
      <c r="R158" s="1557"/>
      <c r="S158" s="1557"/>
      <c r="T158" s="1557"/>
      <c r="U158" s="1557"/>
      <c r="V158" s="1557"/>
      <c r="W158" s="1557"/>
      <c r="X158" s="1557"/>
      <c r="Y158" s="1557"/>
      <c r="Z158" s="1557"/>
      <c r="AA158" s="1557"/>
      <c r="AB158" s="1557"/>
      <c r="AC158" s="1557"/>
      <c r="AD158" s="1557"/>
      <c r="AE158" s="1557"/>
      <c r="AF158" s="1557"/>
      <c r="AG158" s="1557"/>
      <c r="AH158" s="1557"/>
      <c r="AI158" s="1557"/>
      <c r="AJ158" s="1557"/>
      <c r="AK158" s="1557"/>
      <c r="AL158" s="1"/>
    </row>
    <row r="159" spans="1:38">
      <c r="A159" s="1"/>
      <c r="B159" s="1"/>
      <c r="C159" s="1"/>
      <c r="D159" s="1"/>
      <c r="E159" s="1"/>
      <c r="F159" s="1"/>
      <c r="G159" s="1557"/>
      <c r="H159" s="1557"/>
      <c r="I159" s="1557"/>
      <c r="J159" s="1557"/>
      <c r="K159" s="1557"/>
      <c r="L159" s="1557"/>
      <c r="M159" s="1557"/>
      <c r="N159" s="1557"/>
      <c r="O159" s="1557"/>
      <c r="P159" s="1557"/>
      <c r="Q159" s="1557"/>
      <c r="R159" s="1557"/>
      <c r="S159" s="1557"/>
      <c r="T159" s="1557"/>
      <c r="U159" s="1557"/>
      <c r="V159" s="1557"/>
      <c r="W159" s="1557"/>
      <c r="X159" s="1557"/>
      <c r="Y159" s="1557"/>
      <c r="Z159" s="1557"/>
      <c r="AA159" s="1557"/>
      <c r="AB159" s="1557"/>
      <c r="AC159" s="1557"/>
      <c r="AD159" s="1557"/>
      <c r="AE159" s="1557"/>
      <c r="AF159" s="1557"/>
      <c r="AG159" s="1557"/>
      <c r="AH159" s="1557"/>
      <c r="AI159" s="1557"/>
      <c r="AJ159" s="1557"/>
      <c r="AK159" s="1557"/>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797</v>
      </c>
      <c r="E161" s="358" t="s">
        <v>1271</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0" t="s">
        <v>2189</v>
      </c>
      <c r="F162" s="1072"/>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901</v>
      </c>
      <c r="E165" s="359" t="s">
        <v>690</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1105</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514</v>
      </c>
      <c r="E168" s="359" t="s">
        <v>920</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1314</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1313</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932</v>
      </c>
      <c r="E172" s="62" t="s">
        <v>699</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1004</v>
      </c>
      <c r="F173" s="283" t="s">
        <v>1315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1005</v>
      </c>
      <c r="F174" s="283" t="s">
        <v>1316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1011</v>
      </c>
      <c r="F175" s="1" t="s">
        <v>955</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821</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1317</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1319</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5" t="s">
        <v>883</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5"/>
      <c r="G184" s="1"/>
      <c r="H184" s="1"/>
      <c r="I184" s="1065"/>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1004</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1005</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2" t="s">
        <v>1167</v>
      </c>
      <c r="F190" s="1072"/>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901</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1004</v>
      </c>
      <c r="F194" s="1072" t="s">
        <v>1320</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5" t="s">
        <v>1785</v>
      </c>
      <c r="G195" s="1"/>
      <c r="H195" s="1"/>
      <c r="I195" s="1065"/>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5"/>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1005</v>
      </c>
      <c r="F197" s="1072" t="s">
        <v>1168</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903</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514</v>
      </c>
      <c r="E200" s="62" t="s">
        <v>2048</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1446</v>
      </c>
      <c r="F202" s="1065"/>
      <c r="G202" s="283"/>
      <c r="H202" s="1"/>
      <c r="I202" s="1065"/>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5"/>
      <c r="G203" s="283"/>
      <c r="H203" s="1"/>
      <c r="I203" s="1065"/>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932</v>
      </c>
      <c r="E204" s="358" t="s">
        <v>71</v>
      </c>
      <c r="F204" s="1065"/>
      <c r="G204" s="283"/>
      <c r="H204" s="1"/>
      <c r="I204" s="1065"/>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5"/>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5"/>
      <c r="G206" s="283"/>
      <c r="H206" s="1"/>
      <c r="I206" s="1065"/>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821</v>
      </c>
      <c r="E207" s="358" t="s">
        <v>1003</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1004</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903</v>
      </c>
      <c r="G209" s="289" t="s">
        <v>1963</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1964</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1321</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553</v>
      </c>
      <c r="E213" s="358" t="s">
        <v>1006</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1322</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1012</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1004</v>
      </c>
      <c r="F217" s="283" t="s">
        <v>1323</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1005</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1011</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903</v>
      </c>
      <c r="G220" s="283" t="s">
        <v>1325</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480</v>
      </c>
      <c r="F221" s="283" t="s">
        <v>1324</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903</v>
      </c>
      <c r="G222" s="1557" t="s">
        <v>1926</v>
      </c>
      <c r="H222" s="1557"/>
      <c r="I222" s="1557"/>
      <c r="J222" s="1557"/>
      <c r="K222" s="1557"/>
      <c r="L222" s="1557"/>
      <c r="M222" s="1557"/>
      <c r="N222" s="1557"/>
      <c r="O222" s="1557"/>
      <c r="P222" s="1557"/>
      <c r="Q222" s="1557"/>
      <c r="R222" s="1557"/>
      <c r="S222" s="1557"/>
      <c r="T222" s="1557"/>
      <c r="U222" s="1557"/>
      <c r="V222" s="1557"/>
      <c r="W222" s="1557"/>
      <c r="X222" s="1557"/>
      <c r="Y222" s="1557"/>
      <c r="Z222" s="1557"/>
      <c r="AA222" s="1557"/>
      <c r="AB222" s="1557"/>
      <c r="AC222" s="1557"/>
      <c r="AD222" s="1557"/>
      <c r="AE222" s="1557"/>
      <c r="AF222" s="1557"/>
      <c r="AG222" s="1557"/>
      <c r="AH222" s="1557"/>
      <c r="AI222" s="1557"/>
      <c r="AJ222" s="1557"/>
      <c r="AK222" s="1557"/>
      <c r="AL222" s="1"/>
    </row>
    <row r="223" spans="1:38">
      <c r="A223" s="1"/>
      <c r="B223" s="283"/>
      <c r="C223" s="283"/>
      <c r="D223" s="358"/>
      <c r="E223" s="1"/>
      <c r="F223" s="1"/>
      <c r="G223" s="1557"/>
      <c r="H223" s="1557"/>
      <c r="I223" s="1557"/>
      <c r="J223" s="1557"/>
      <c r="K223" s="1557"/>
      <c r="L223" s="1557"/>
      <c r="M223" s="1557"/>
      <c r="N223" s="1557"/>
      <c r="O223" s="1557"/>
      <c r="P223" s="1557"/>
      <c r="Q223" s="1557"/>
      <c r="R223" s="1557"/>
      <c r="S223" s="1557"/>
      <c r="T223" s="1557"/>
      <c r="U223" s="1557"/>
      <c r="V223" s="1557"/>
      <c r="W223" s="1557"/>
      <c r="X223" s="1557"/>
      <c r="Y223" s="1557"/>
      <c r="Z223" s="1557"/>
      <c r="AA223" s="1557"/>
      <c r="AB223" s="1557"/>
      <c r="AC223" s="1557"/>
      <c r="AD223" s="1557"/>
      <c r="AE223" s="1557"/>
      <c r="AF223" s="1557"/>
      <c r="AG223" s="1557"/>
      <c r="AH223" s="1557"/>
      <c r="AI223" s="1557"/>
      <c r="AJ223" s="1557"/>
      <c r="AK223" s="1557"/>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797</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794</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1139</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1004</v>
      </c>
      <c r="F232" s="283" t="s">
        <v>1140</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903</v>
      </c>
      <c r="G233" s="1557" t="s">
        <v>1927</v>
      </c>
      <c r="H233" s="1557"/>
      <c r="I233" s="1557"/>
      <c r="J233" s="1557"/>
      <c r="K233" s="1557"/>
      <c r="L233" s="1557"/>
      <c r="M233" s="1557"/>
      <c r="N233" s="1557"/>
      <c r="O233" s="1557"/>
      <c r="P233" s="1557"/>
      <c r="Q233" s="1557"/>
      <c r="R233" s="1557"/>
      <c r="S233" s="1557"/>
      <c r="T233" s="1557"/>
      <c r="U233" s="1557"/>
      <c r="V233" s="1557"/>
      <c r="W233" s="1557"/>
      <c r="X233" s="1557"/>
      <c r="Y233" s="1557"/>
      <c r="Z233" s="1557"/>
      <c r="AA233" s="1557"/>
      <c r="AB233" s="1557"/>
      <c r="AC233" s="1557"/>
      <c r="AD233" s="1557"/>
      <c r="AE233" s="1557"/>
      <c r="AF233" s="1557"/>
      <c r="AG233" s="1557"/>
      <c r="AH233" s="1557"/>
      <c r="AI233" s="1557"/>
      <c r="AJ233" s="1557"/>
      <c r="AK233" s="1557"/>
      <c r="AL233" s="1"/>
    </row>
    <row r="234" spans="1:38">
      <c r="A234" s="1"/>
      <c r="B234" s="283"/>
      <c r="C234" s="283"/>
      <c r="D234" s="1"/>
      <c r="E234" s="1"/>
      <c r="F234" s="283"/>
      <c r="G234" s="1557"/>
      <c r="H234" s="1557"/>
      <c r="I234" s="1557"/>
      <c r="J234" s="1557"/>
      <c r="K234" s="1557"/>
      <c r="L234" s="1557"/>
      <c r="M234" s="1557"/>
      <c r="N234" s="1557"/>
      <c r="O234" s="1557"/>
      <c r="P234" s="1557"/>
      <c r="Q234" s="1557"/>
      <c r="R234" s="1557"/>
      <c r="S234" s="1557"/>
      <c r="T234" s="1557"/>
      <c r="U234" s="1557"/>
      <c r="V234" s="1557"/>
      <c r="W234" s="1557"/>
      <c r="X234" s="1557"/>
      <c r="Y234" s="1557"/>
      <c r="Z234" s="1557"/>
      <c r="AA234" s="1557"/>
      <c r="AB234" s="1557"/>
      <c r="AC234" s="1557"/>
      <c r="AD234" s="1557"/>
      <c r="AE234" s="1557"/>
      <c r="AF234" s="1557"/>
      <c r="AG234" s="1557"/>
      <c r="AH234" s="1557"/>
      <c r="AI234" s="1557"/>
      <c r="AJ234" s="1557"/>
      <c r="AK234" s="1557"/>
      <c r="AL234" s="1"/>
    </row>
    <row r="235" spans="1:38">
      <c r="A235" s="1"/>
      <c r="B235" s="283"/>
      <c r="C235" s="283"/>
      <c r="D235" s="1"/>
      <c r="E235" s="1" t="s">
        <v>1005</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903</v>
      </c>
      <c r="G236" s="1557" t="s">
        <v>1928</v>
      </c>
      <c r="H236" s="1557"/>
      <c r="I236" s="1557"/>
      <c r="J236" s="1557"/>
      <c r="K236" s="1557"/>
      <c r="L236" s="1557"/>
      <c r="M236" s="1557"/>
      <c r="N236" s="1557"/>
      <c r="O236" s="1557"/>
      <c r="P236" s="1557"/>
      <c r="Q236" s="1557"/>
      <c r="R236" s="1557"/>
      <c r="S236" s="1557"/>
      <c r="T236" s="1557"/>
      <c r="U236" s="1557"/>
      <c r="V236" s="1557"/>
      <c r="W236" s="1557"/>
      <c r="X236" s="1557"/>
      <c r="Y236" s="1557"/>
      <c r="Z236" s="1557"/>
      <c r="AA236" s="1557"/>
      <c r="AB236" s="1557"/>
      <c r="AC236" s="1557"/>
      <c r="AD236" s="1557"/>
      <c r="AE236" s="1557"/>
      <c r="AF236" s="1557"/>
      <c r="AG236" s="1557"/>
      <c r="AH236" s="1557"/>
      <c r="AI236" s="1557"/>
      <c r="AJ236" s="1557"/>
      <c r="AK236" s="1557"/>
      <c r="AL236" s="1"/>
    </row>
    <row r="237" spans="1:38">
      <c r="A237" s="1"/>
      <c r="B237" s="283"/>
      <c r="C237" s="283"/>
      <c r="D237" s="1"/>
      <c r="E237" s="1"/>
      <c r="F237" s="283"/>
      <c r="G237" s="1557"/>
      <c r="H237" s="1557"/>
      <c r="I237" s="1557"/>
      <c r="J237" s="1557"/>
      <c r="K237" s="1557"/>
      <c r="L237" s="1557"/>
      <c r="M237" s="1557"/>
      <c r="N237" s="1557"/>
      <c r="O237" s="1557"/>
      <c r="P237" s="1557"/>
      <c r="Q237" s="1557"/>
      <c r="R237" s="1557"/>
      <c r="S237" s="1557"/>
      <c r="T237" s="1557"/>
      <c r="U237" s="1557"/>
      <c r="V237" s="1557"/>
      <c r="W237" s="1557"/>
      <c r="X237" s="1557"/>
      <c r="Y237" s="1557"/>
      <c r="Z237" s="1557"/>
      <c r="AA237" s="1557"/>
      <c r="AB237" s="1557"/>
      <c r="AC237" s="1557"/>
      <c r="AD237" s="1557"/>
      <c r="AE237" s="1557"/>
      <c r="AF237" s="1557"/>
      <c r="AG237" s="1557"/>
      <c r="AH237" s="1557"/>
      <c r="AI237" s="1557"/>
      <c r="AJ237" s="1557"/>
      <c r="AK237" s="1557"/>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4" t="s">
        <v>372</v>
      </c>
      <c r="C239" s="1064" t="s">
        <v>935</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806</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1004</v>
      </c>
      <c r="F242" s="283" t="s">
        <v>986</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1005</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919</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1004</v>
      </c>
      <c r="F246" s="283" t="s">
        <v>987</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1005</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1011</v>
      </c>
      <c r="F249" s="1077" t="s">
        <v>1337</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1004</v>
      </c>
      <c r="F252" s="283" t="s">
        <v>860</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5" t="s">
        <v>1788</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1005</v>
      </c>
      <c r="F254" s="283" t="s">
        <v>1326</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903</v>
      </c>
      <c r="G255" s="283" t="s">
        <v>1143</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1144</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1331</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1170</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901</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1004</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1005</v>
      </c>
      <c r="F262" s="283" t="s">
        <v>1115</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1011</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1116</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480</v>
      </c>
      <c r="F265" s="283" t="s">
        <v>1145</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514</v>
      </c>
      <c r="E267" s="358" t="s">
        <v>861</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932</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821</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2190</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2191</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1327</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5" t="s">
        <v>1786</v>
      </c>
      <c r="F285" s="1065"/>
      <c r="G285" s="283"/>
      <c r="H285" s="1065"/>
      <c r="I285" s="1065"/>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79" t="s">
        <v>1169</v>
      </c>
      <c r="F286" s="1"/>
      <c r="G286" s="283"/>
      <c r="H286" s="1079"/>
      <c r="I286" s="1079"/>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797</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1004</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5" t="s">
        <v>1787</v>
      </c>
      <c r="G290" s="1065"/>
      <c r="H290" s="1065"/>
      <c r="I290" s="1065"/>
      <c r="J290" s="1065"/>
      <c r="K290" s="1065"/>
      <c r="L290" s="1065"/>
      <c r="M290" s="1065"/>
      <c r="N290" s="1065"/>
      <c r="O290" s="1065"/>
      <c r="P290" s="1065"/>
      <c r="Q290" s="1065"/>
      <c r="R290" s="1065"/>
      <c r="S290" s="1065"/>
      <c r="T290" s="1065"/>
      <c r="U290" s="1065"/>
      <c r="V290" s="1065"/>
      <c r="W290" s="1065"/>
      <c r="X290" s="1065"/>
      <c r="Y290" s="1"/>
      <c r="Z290" s="1"/>
      <c r="AA290" s="1"/>
      <c r="AB290" s="1"/>
      <c r="AC290" s="1"/>
      <c r="AD290" s="1"/>
      <c r="AE290" s="1"/>
      <c r="AF290" s="1"/>
      <c r="AG290" s="1"/>
      <c r="AH290" s="1"/>
      <c r="AI290" s="1"/>
      <c r="AJ290" s="1"/>
      <c r="AK290" s="1"/>
      <c r="AL290" s="1"/>
    </row>
    <row r="291" spans="1:38">
      <c r="A291" s="1"/>
      <c r="B291" s="358"/>
      <c r="C291" s="1"/>
      <c r="D291" s="283"/>
      <c r="E291" s="283" t="s">
        <v>1005</v>
      </c>
      <c r="F291" s="283" t="s">
        <v>1106</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1011</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903</v>
      </c>
      <c r="G293" s="283" t="s">
        <v>607</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1328</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594</v>
      </c>
      <c r="G295" s="283" t="s">
        <v>801</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508</v>
      </c>
      <c r="G296" s="283" t="s">
        <v>608</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1329</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7" t="s">
        <v>1110</v>
      </c>
      <c r="G301" s="1065"/>
      <c r="H301" s="1065"/>
      <c r="I301" s="1067"/>
      <c r="J301" s="1067"/>
      <c r="K301" s="1067"/>
      <c r="L301" s="1067"/>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7" t="s">
        <v>1354</v>
      </c>
      <c r="G302" s="1065"/>
      <c r="H302" s="1065"/>
      <c r="I302" s="1067"/>
      <c r="J302" s="1067"/>
      <c r="K302" s="1067"/>
      <c r="L302" s="1067"/>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7" t="s">
        <v>1107</v>
      </c>
      <c r="G303" s="1065"/>
      <c r="H303" s="1065"/>
      <c r="I303" s="1067"/>
      <c r="J303" s="1067"/>
      <c r="K303" s="1067"/>
      <c r="L303" s="1067"/>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5"/>
      <c r="G304" s="1065"/>
      <c r="H304" s="1065"/>
      <c r="I304" s="1065"/>
      <c r="J304" s="1065"/>
      <c r="K304" s="1065"/>
      <c r="L304" s="1065"/>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794</v>
      </c>
      <c r="E305" s="358" t="s">
        <v>290</v>
      </c>
      <c r="F305" s="1"/>
      <c r="G305" s="283"/>
      <c r="H305" s="283"/>
      <c r="I305" s="1065"/>
      <c r="J305" s="1065"/>
      <c r="K305" s="1065"/>
      <c r="L305" s="1065"/>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1330</v>
      </c>
      <c r="F306" s="1"/>
      <c r="G306" s="1"/>
      <c r="H306" s="1"/>
      <c r="I306" s="1065"/>
      <c r="J306" s="1065"/>
      <c r="K306" s="1065"/>
      <c r="L306" s="1065"/>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1327</v>
      </c>
      <c r="F307" s="283"/>
      <c r="G307" s="1"/>
      <c r="H307" s="1"/>
      <c r="I307" s="1065"/>
      <c r="J307" s="1065"/>
      <c r="K307" s="1065"/>
      <c r="L307" s="1065"/>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901</v>
      </c>
      <c r="E310" s="358" t="s">
        <v>609</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1004</v>
      </c>
      <c r="F311" s="1" t="s">
        <v>610</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1108</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1332</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1111</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0"/>
      <c r="B319" s="1081"/>
      <c r="C319" s="1082"/>
      <c r="D319" s="1081" t="s">
        <v>932</v>
      </c>
      <c r="E319" s="1081" t="s">
        <v>882</v>
      </c>
      <c r="F319" s="1082"/>
      <c r="G319" s="1082"/>
      <c r="H319" s="1082"/>
      <c r="I319" s="1082"/>
      <c r="J319" s="1082"/>
      <c r="K319" s="1082"/>
      <c r="L319" s="1082"/>
      <c r="M319" s="1082"/>
      <c r="N319" s="1082"/>
      <c r="O319" s="1082"/>
      <c r="P319" s="1082"/>
      <c r="Q319" s="1082"/>
      <c r="R319" s="1082"/>
      <c r="S319" s="1082"/>
      <c r="T319" s="1082"/>
      <c r="U319" s="1082"/>
      <c r="V319" s="1082"/>
      <c r="W319" s="1082"/>
      <c r="X319" s="1082"/>
      <c r="Y319" s="1082"/>
      <c r="Z319" s="1082"/>
      <c r="AA319" s="1082"/>
      <c r="AB319" s="1082"/>
      <c r="AC319" s="1082"/>
      <c r="AD319" s="1082"/>
      <c r="AE319" s="1082"/>
      <c r="AF319" s="1082"/>
      <c r="AG319" s="1082"/>
      <c r="AH319" s="1082"/>
      <c r="AI319" s="1082"/>
      <c r="AJ319" s="1082"/>
      <c r="AK319" s="1082"/>
      <c r="AL319" s="1082"/>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901</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1004</v>
      </c>
      <c r="F326" s="283" t="s">
        <v>1333</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1005</v>
      </c>
      <c r="F327" s="1" t="s">
        <v>979</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5" t="s">
        <v>1789</v>
      </c>
      <c r="G328" s="1"/>
      <c r="H328" s="1"/>
      <c r="I328" s="1065"/>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5" t="s">
        <v>1790</v>
      </c>
      <c r="G329" s="1"/>
      <c r="H329" s="1"/>
      <c r="I329" s="1065"/>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4" t="s">
        <v>822</v>
      </c>
      <c r="C331" s="357" t="s">
        <v>875</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875</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901</v>
      </c>
      <c r="E334" s="358" t="s">
        <v>875</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1004</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1005</v>
      </c>
      <c r="F338" s="283" t="s">
        <v>1791</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1792</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1339</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2056</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66" t="s">
        <v>2057</v>
      </c>
      <c r="F343" s="1566"/>
      <c r="G343" s="1566"/>
      <c r="H343" s="1566"/>
      <c r="I343" s="1566"/>
      <c r="J343" s="1566"/>
      <c r="K343" s="1566"/>
      <c r="L343" s="1566"/>
      <c r="M343" s="1566"/>
      <c r="N343" s="1566"/>
      <c r="O343" s="1566"/>
      <c r="P343" s="1566"/>
      <c r="Q343" s="1566"/>
      <c r="R343" s="1566"/>
      <c r="S343" s="1566"/>
      <c r="T343" s="1566"/>
      <c r="U343" s="1566"/>
      <c r="V343" s="1566"/>
      <c r="W343" s="1566"/>
      <c r="X343" s="1566"/>
      <c r="Y343" s="1566"/>
      <c r="Z343" s="1566"/>
      <c r="AA343" s="1566"/>
      <c r="AB343" s="1566"/>
      <c r="AC343" s="1566"/>
      <c r="AD343" s="1566"/>
      <c r="AE343" s="1566"/>
      <c r="AF343" s="1566"/>
      <c r="AG343" s="1566"/>
      <c r="AH343" s="1566"/>
      <c r="AI343" s="1566"/>
      <c r="AJ343" s="1566"/>
      <c r="AK343" s="1566"/>
      <c r="AL343" s="1"/>
    </row>
    <row r="344" spans="1:38">
      <c r="A344" s="1"/>
      <c r="B344" s="358"/>
      <c r="C344" s="1"/>
      <c r="D344" s="1"/>
      <c r="E344" s="1566"/>
      <c r="F344" s="1566"/>
      <c r="G344" s="1566"/>
      <c r="H344" s="1566"/>
      <c r="I344" s="1566"/>
      <c r="J344" s="1566"/>
      <c r="K344" s="1566"/>
      <c r="L344" s="1566"/>
      <c r="M344" s="1566"/>
      <c r="N344" s="1566"/>
      <c r="O344" s="1566"/>
      <c r="P344" s="1566"/>
      <c r="Q344" s="1566"/>
      <c r="R344" s="1566"/>
      <c r="S344" s="1566"/>
      <c r="T344" s="1566"/>
      <c r="U344" s="1566"/>
      <c r="V344" s="1566"/>
      <c r="W344" s="1566"/>
      <c r="X344" s="1566"/>
      <c r="Y344" s="1566"/>
      <c r="Z344" s="1566"/>
      <c r="AA344" s="1566"/>
      <c r="AB344" s="1566"/>
      <c r="AC344" s="1566"/>
      <c r="AD344" s="1566"/>
      <c r="AE344" s="1566"/>
      <c r="AF344" s="1566"/>
      <c r="AG344" s="1566"/>
      <c r="AH344" s="1566"/>
      <c r="AI344" s="1566"/>
      <c r="AJ344" s="1566"/>
      <c r="AK344" s="1566"/>
      <c r="AL344" s="1"/>
    </row>
    <row r="345" spans="1:38">
      <c r="A345" s="1"/>
      <c r="B345" s="358"/>
      <c r="C345" s="1"/>
      <c r="D345" s="1"/>
      <c r="E345" s="1566"/>
      <c r="F345" s="1566"/>
      <c r="G345" s="1566"/>
      <c r="H345" s="1566"/>
      <c r="I345" s="1566"/>
      <c r="J345" s="1566"/>
      <c r="K345" s="1566"/>
      <c r="L345" s="1566"/>
      <c r="M345" s="1566"/>
      <c r="N345" s="1566"/>
      <c r="O345" s="1566"/>
      <c r="P345" s="1566"/>
      <c r="Q345" s="1566"/>
      <c r="R345" s="1566"/>
      <c r="S345" s="1566"/>
      <c r="T345" s="1566"/>
      <c r="U345" s="1566"/>
      <c r="V345" s="1566"/>
      <c r="W345" s="1566"/>
      <c r="X345" s="1566"/>
      <c r="Y345" s="1566"/>
      <c r="Z345" s="1566"/>
      <c r="AA345" s="1566"/>
      <c r="AB345" s="1566"/>
      <c r="AC345" s="1566"/>
      <c r="AD345" s="1566"/>
      <c r="AE345" s="1566"/>
      <c r="AF345" s="1566"/>
      <c r="AG345" s="1566"/>
      <c r="AH345" s="1566"/>
      <c r="AI345" s="1566"/>
      <c r="AJ345" s="1566"/>
      <c r="AK345" s="1566"/>
      <c r="AL345" s="1"/>
    </row>
    <row r="346" spans="1:38">
      <c r="A346" s="1"/>
      <c r="B346" s="358"/>
      <c r="C346" s="1"/>
      <c r="D346" s="1"/>
      <c r="E346" s="1566"/>
      <c r="F346" s="1566"/>
      <c r="G346" s="1566"/>
      <c r="H346" s="1566"/>
      <c r="I346" s="1566"/>
      <c r="J346" s="1566"/>
      <c r="K346" s="1566"/>
      <c r="L346" s="1566"/>
      <c r="M346" s="1566"/>
      <c r="N346" s="1566"/>
      <c r="O346" s="1566"/>
      <c r="P346" s="1566"/>
      <c r="Q346" s="1566"/>
      <c r="R346" s="1566"/>
      <c r="S346" s="1566"/>
      <c r="T346" s="1566"/>
      <c r="U346" s="1566"/>
      <c r="V346" s="1566"/>
      <c r="W346" s="1566"/>
      <c r="X346" s="1566"/>
      <c r="Y346" s="1566"/>
      <c r="Z346" s="1566"/>
      <c r="AA346" s="1566"/>
      <c r="AB346" s="1566"/>
      <c r="AC346" s="1566"/>
      <c r="AD346" s="1566"/>
      <c r="AE346" s="1566"/>
      <c r="AF346" s="1566"/>
      <c r="AG346" s="1566"/>
      <c r="AH346" s="1566"/>
      <c r="AI346" s="1566"/>
      <c r="AJ346" s="1566"/>
      <c r="AK346" s="1566"/>
      <c r="AL346" s="1"/>
    </row>
    <row r="347" spans="1:38">
      <c r="A347" s="1"/>
      <c r="B347" s="358"/>
      <c r="C347" s="1"/>
      <c r="D347" s="1"/>
      <c r="E347" s="1566"/>
      <c r="F347" s="1566"/>
      <c r="G347" s="1566"/>
      <c r="H347" s="1566"/>
      <c r="I347" s="1566"/>
      <c r="J347" s="1566"/>
      <c r="K347" s="1566"/>
      <c r="L347" s="1566"/>
      <c r="M347" s="1566"/>
      <c r="N347" s="1566"/>
      <c r="O347" s="1566"/>
      <c r="P347" s="1566"/>
      <c r="Q347" s="1566"/>
      <c r="R347" s="1566"/>
      <c r="S347" s="1566"/>
      <c r="T347" s="1566"/>
      <c r="U347" s="1566"/>
      <c r="V347" s="1566"/>
      <c r="W347" s="1566"/>
      <c r="X347" s="1566"/>
      <c r="Y347" s="1566"/>
      <c r="Z347" s="1566"/>
      <c r="AA347" s="1566"/>
      <c r="AB347" s="1566"/>
      <c r="AC347" s="1566"/>
      <c r="AD347" s="1566"/>
      <c r="AE347" s="1566"/>
      <c r="AF347" s="1566"/>
      <c r="AG347" s="1566"/>
      <c r="AH347" s="1566"/>
      <c r="AI347" s="1566"/>
      <c r="AJ347" s="1566"/>
      <c r="AK347" s="1566"/>
      <c r="AL347" s="1"/>
    </row>
    <row r="348" spans="1:38">
      <c r="A348" s="1"/>
      <c r="B348" s="358"/>
      <c r="C348" s="1"/>
      <c r="D348" s="1"/>
      <c r="E348" s="283" t="s">
        <v>1004</v>
      </c>
      <c r="F348" s="1557" t="s">
        <v>2058</v>
      </c>
      <c r="G348" s="1564"/>
      <c r="H348" s="1564"/>
      <c r="I348" s="1564"/>
      <c r="J348" s="1564"/>
      <c r="K348" s="1564"/>
      <c r="L348" s="1564"/>
      <c r="M348" s="1564"/>
      <c r="N348" s="1564"/>
      <c r="O348" s="1564"/>
      <c r="P348" s="1564"/>
      <c r="Q348" s="1564"/>
      <c r="R348" s="1564"/>
      <c r="S348" s="1564"/>
      <c r="T348" s="1564"/>
      <c r="U348" s="1564"/>
      <c r="V348" s="1564"/>
      <c r="W348" s="1564"/>
      <c r="X348" s="1564"/>
      <c r="Y348" s="1564"/>
      <c r="Z348" s="1564"/>
      <c r="AA348" s="1564"/>
      <c r="AB348" s="1564"/>
      <c r="AC348" s="1564"/>
      <c r="AD348" s="1564"/>
      <c r="AE348" s="1564"/>
      <c r="AF348" s="1564"/>
      <c r="AG348" s="1564"/>
      <c r="AH348" s="1564"/>
      <c r="AI348" s="1564"/>
      <c r="AJ348" s="1564"/>
      <c r="AK348" s="1564"/>
      <c r="AL348" s="1"/>
    </row>
    <row r="349" spans="1:38">
      <c r="A349" s="1"/>
      <c r="B349" s="358"/>
      <c r="C349" s="1"/>
      <c r="D349" s="1"/>
      <c r="E349" s="283"/>
      <c r="F349" s="1557"/>
      <c r="G349" s="1564"/>
      <c r="H349" s="1564"/>
      <c r="I349" s="1564"/>
      <c r="J349" s="1564"/>
      <c r="K349" s="1564"/>
      <c r="L349" s="1564"/>
      <c r="M349" s="1564"/>
      <c r="N349" s="1564"/>
      <c r="O349" s="1564"/>
      <c r="P349" s="1564"/>
      <c r="Q349" s="1564"/>
      <c r="R349" s="1564"/>
      <c r="S349" s="1564"/>
      <c r="T349" s="1564"/>
      <c r="U349" s="1564"/>
      <c r="V349" s="1564"/>
      <c r="W349" s="1564"/>
      <c r="X349" s="1564"/>
      <c r="Y349" s="1564"/>
      <c r="Z349" s="1564"/>
      <c r="AA349" s="1564"/>
      <c r="AB349" s="1564"/>
      <c r="AC349" s="1564"/>
      <c r="AD349" s="1564"/>
      <c r="AE349" s="1564"/>
      <c r="AF349" s="1564"/>
      <c r="AG349" s="1564"/>
      <c r="AH349" s="1564"/>
      <c r="AI349" s="1564"/>
      <c r="AJ349" s="1564"/>
      <c r="AK349" s="1564"/>
      <c r="AL349" s="1"/>
    </row>
    <row r="350" spans="1:38">
      <c r="A350" s="1"/>
      <c r="B350" s="358"/>
      <c r="C350" s="1"/>
      <c r="D350" s="1"/>
      <c r="E350" s="283"/>
      <c r="F350" s="1564"/>
      <c r="G350" s="1564"/>
      <c r="H350" s="1564"/>
      <c r="I350" s="1564"/>
      <c r="J350" s="1564"/>
      <c r="K350" s="1564"/>
      <c r="L350" s="1564"/>
      <c r="M350" s="1564"/>
      <c r="N350" s="1564"/>
      <c r="O350" s="1564"/>
      <c r="P350" s="1564"/>
      <c r="Q350" s="1564"/>
      <c r="R350" s="1564"/>
      <c r="S350" s="1564"/>
      <c r="T350" s="1564"/>
      <c r="U350" s="1564"/>
      <c r="V350" s="1564"/>
      <c r="W350" s="1564"/>
      <c r="X350" s="1564"/>
      <c r="Y350" s="1564"/>
      <c r="Z350" s="1564"/>
      <c r="AA350" s="1564"/>
      <c r="AB350" s="1564"/>
      <c r="AC350" s="1564"/>
      <c r="AD350" s="1564"/>
      <c r="AE350" s="1564"/>
      <c r="AF350" s="1564"/>
      <c r="AG350" s="1564"/>
      <c r="AH350" s="1564"/>
      <c r="AI350" s="1564"/>
      <c r="AJ350" s="1564"/>
      <c r="AK350" s="1564"/>
      <c r="AL350" s="1"/>
    </row>
    <row r="351" spans="1:38">
      <c r="A351" s="1"/>
      <c r="B351" s="358"/>
      <c r="C351" s="1"/>
      <c r="D351" s="1"/>
      <c r="E351" s="283"/>
      <c r="F351" s="1564"/>
      <c r="G351" s="1564"/>
      <c r="H351" s="1564"/>
      <c r="I351" s="1564"/>
      <c r="J351" s="1564"/>
      <c r="K351" s="1564"/>
      <c r="L351" s="1564"/>
      <c r="M351" s="1564"/>
      <c r="N351" s="1564"/>
      <c r="O351" s="1564"/>
      <c r="P351" s="1564"/>
      <c r="Q351" s="1564"/>
      <c r="R351" s="1564"/>
      <c r="S351" s="1564"/>
      <c r="T351" s="1564"/>
      <c r="U351" s="1564"/>
      <c r="V351" s="1564"/>
      <c r="W351" s="1564"/>
      <c r="X351" s="1564"/>
      <c r="Y351" s="1564"/>
      <c r="Z351" s="1564"/>
      <c r="AA351" s="1564"/>
      <c r="AB351" s="1564"/>
      <c r="AC351" s="1564"/>
      <c r="AD351" s="1564"/>
      <c r="AE351" s="1564"/>
      <c r="AF351" s="1564"/>
      <c r="AG351" s="1564"/>
      <c r="AH351" s="1564"/>
      <c r="AI351" s="1564"/>
      <c r="AJ351" s="1564"/>
      <c r="AK351" s="1564"/>
      <c r="AL351" s="1"/>
    </row>
    <row r="352" spans="1:38">
      <c r="A352" s="1"/>
      <c r="B352" s="358"/>
      <c r="C352" s="1"/>
      <c r="D352" s="1"/>
      <c r="E352" s="283" t="s">
        <v>1005</v>
      </c>
      <c r="F352" s="1557" t="s">
        <v>2059</v>
      </c>
      <c r="G352" s="1564"/>
      <c r="H352" s="1564"/>
      <c r="I352" s="1564"/>
      <c r="J352" s="1564"/>
      <c r="K352" s="1564"/>
      <c r="L352" s="1564"/>
      <c r="M352" s="1564"/>
      <c r="N352" s="1564"/>
      <c r="O352" s="1564"/>
      <c r="P352" s="1564"/>
      <c r="Q352" s="1564"/>
      <c r="R352" s="1564"/>
      <c r="S352" s="1564"/>
      <c r="T352" s="1564"/>
      <c r="U352" s="1564"/>
      <c r="V352" s="1564"/>
      <c r="W352" s="1564"/>
      <c r="X352" s="1564"/>
      <c r="Y352" s="1564"/>
      <c r="Z352" s="1564"/>
      <c r="AA352" s="1564"/>
      <c r="AB352" s="1564"/>
      <c r="AC352" s="1564"/>
      <c r="AD352" s="1564"/>
      <c r="AE352" s="1564"/>
      <c r="AF352" s="1564"/>
      <c r="AG352" s="1564"/>
      <c r="AH352" s="1564"/>
      <c r="AI352" s="1564"/>
      <c r="AJ352" s="1564"/>
      <c r="AK352" s="1564"/>
      <c r="AL352" s="1"/>
    </row>
    <row r="353" spans="1:38">
      <c r="A353" s="1"/>
      <c r="B353" s="358"/>
      <c r="C353" s="1"/>
      <c r="D353" s="1"/>
      <c r="E353" s="1"/>
      <c r="F353" s="1564"/>
      <c r="G353" s="1564"/>
      <c r="H353" s="1564"/>
      <c r="I353" s="1564"/>
      <c r="J353" s="1564"/>
      <c r="K353" s="1564"/>
      <c r="L353" s="1564"/>
      <c r="M353" s="1564"/>
      <c r="N353" s="1564"/>
      <c r="O353" s="1564"/>
      <c r="P353" s="1564"/>
      <c r="Q353" s="1564"/>
      <c r="R353" s="1564"/>
      <c r="S353" s="1564"/>
      <c r="T353" s="1564"/>
      <c r="U353" s="1564"/>
      <c r="V353" s="1564"/>
      <c r="W353" s="1564"/>
      <c r="X353" s="1564"/>
      <c r="Y353" s="1564"/>
      <c r="Z353" s="1564"/>
      <c r="AA353" s="1564"/>
      <c r="AB353" s="1564"/>
      <c r="AC353" s="1564"/>
      <c r="AD353" s="1564"/>
      <c r="AE353" s="1564"/>
      <c r="AF353" s="1564"/>
      <c r="AG353" s="1564"/>
      <c r="AH353" s="1564"/>
      <c r="AI353" s="1564"/>
      <c r="AJ353" s="1564"/>
      <c r="AK353" s="1564"/>
      <c r="AL353" s="1"/>
    </row>
    <row r="354" spans="1:38">
      <c r="A354" s="1"/>
      <c r="B354" s="358"/>
      <c r="C354" s="1"/>
      <c r="D354" s="1"/>
      <c r="E354" s="1"/>
      <c r="F354" s="1564"/>
      <c r="G354" s="1564"/>
      <c r="H354" s="1564"/>
      <c r="I354" s="1564"/>
      <c r="J354" s="1564"/>
      <c r="K354" s="1564"/>
      <c r="L354" s="1564"/>
      <c r="M354" s="1564"/>
      <c r="N354" s="1564"/>
      <c r="O354" s="1564"/>
      <c r="P354" s="1564"/>
      <c r="Q354" s="1564"/>
      <c r="R354" s="1564"/>
      <c r="S354" s="1564"/>
      <c r="T354" s="1564"/>
      <c r="U354" s="1564"/>
      <c r="V354" s="1564"/>
      <c r="W354" s="1564"/>
      <c r="X354" s="1564"/>
      <c r="Y354" s="1564"/>
      <c r="Z354" s="1564"/>
      <c r="AA354" s="1564"/>
      <c r="AB354" s="1564"/>
      <c r="AC354" s="1564"/>
      <c r="AD354" s="1564"/>
      <c r="AE354" s="1564"/>
      <c r="AF354" s="1564"/>
      <c r="AG354" s="1564"/>
      <c r="AH354" s="1564"/>
      <c r="AI354" s="1564"/>
      <c r="AJ354" s="1564"/>
      <c r="AK354" s="1564"/>
      <c r="AL354" s="1"/>
    </row>
    <row r="355" spans="1:38">
      <c r="A355" s="1"/>
      <c r="B355" s="358"/>
      <c r="C355" s="1"/>
      <c r="D355" s="1"/>
      <c r="E355" s="1"/>
      <c r="F355" s="1564"/>
      <c r="G355" s="1564"/>
      <c r="H355" s="1564"/>
      <c r="I355" s="1564"/>
      <c r="J355" s="1564"/>
      <c r="K355" s="1564"/>
      <c r="L355" s="1564"/>
      <c r="M355" s="1564"/>
      <c r="N355" s="1564"/>
      <c r="O355" s="1564"/>
      <c r="P355" s="1564"/>
      <c r="Q355" s="1564"/>
      <c r="R355" s="1564"/>
      <c r="S355" s="1564"/>
      <c r="T355" s="1564"/>
      <c r="U355" s="1564"/>
      <c r="V355" s="1564"/>
      <c r="W355" s="1564"/>
      <c r="X355" s="1564"/>
      <c r="Y355" s="1564"/>
      <c r="Z355" s="1564"/>
      <c r="AA355" s="1564"/>
      <c r="AB355" s="1564"/>
      <c r="AC355" s="1564"/>
      <c r="AD355" s="1564"/>
      <c r="AE355" s="1564"/>
      <c r="AF355" s="1564"/>
      <c r="AG355" s="1564"/>
      <c r="AH355" s="1564"/>
      <c r="AI355" s="1564"/>
      <c r="AJ355" s="1564"/>
      <c r="AK355" s="1564"/>
      <c r="AL355" s="1"/>
    </row>
    <row r="356" spans="1:38">
      <c r="A356" s="12"/>
      <c r="B356" s="1064" t="s">
        <v>497</v>
      </c>
      <c r="C356" s="1064" t="s">
        <v>172</v>
      </c>
      <c r="D356" s="12"/>
      <c r="E356" s="1064"/>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901</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1004</v>
      </c>
      <c r="F359" s="283" t="s">
        <v>628</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629</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1171</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1005</v>
      </c>
      <c r="F362" s="283" t="s">
        <v>1172</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1011</v>
      </c>
      <c r="F363" s="283" t="s">
        <v>630</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631</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63" customFormat="1">
      <c r="A365" s="1"/>
      <c r="B365" s="358"/>
      <c r="C365" s="1"/>
      <c r="D365" s="1"/>
      <c r="E365" s="1563" t="s">
        <v>2054</v>
      </c>
    </row>
    <row r="366" spans="1:38" s="1563" customFormat="1">
      <c r="A366" s="1"/>
      <c r="B366" s="358"/>
      <c r="C366" s="1"/>
      <c r="D366" s="1"/>
    </row>
    <row r="367" spans="1:38">
      <c r="A367" s="1"/>
      <c r="B367" s="358"/>
      <c r="C367" s="1"/>
      <c r="D367" s="1"/>
      <c r="E367" s="1"/>
      <c r="F367" s="1561" t="s">
        <v>2055</v>
      </c>
      <c r="G367" s="1562"/>
      <c r="H367" s="1562"/>
      <c r="I367" s="1562"/>
      <c r="J367" s="1562"/>
      <c r="K367" s="1562"/>
      <c r="L367" s="1562"/>
      <c r="M367" s="1562"/>
      <c r="N367" s="1562"/>
      <c r="O367" s="1562"/>
      <c r="P367" s="1562"/>
      <c r="Q367" s="1562"/>
      <c r="R367" s="1562"/>
      <c r="S367" s="1562"/>
      <c r="T367" s="1562"/>
      <c r="U367" s="1562"/>
      <c r="V367" s="1562"/>
      <c r="W367" s="1562"/>
      <c r="X367" s="1562"/>
      <c r="Y367" s="1562"/>
      <c r="Z367" s="1562"/>
      <c r="AA367" s="1562"/>
      <c r="AB367" s="1562"/>
      <c r="AC367" s="1562"/>
      <c r="AD367" s="1562"/>
      <c r="AE367" s="1562"/>
      <c r="AF367" s="1562"/>
      <c r="AG367" s="1562"/>
      <c r="AH367" s="1562"/>
      <c r="AI367" s="1562"/>
      <c r="AJ367" s="1562"/>
      <c r="AK367" s="1562"/>
      <c r="AL367" s="1562"/>
    </row>
    <row r="368" spans="1:38">
      <c r="A368" s="1"/>
      <c r="B368" s="358"/>
      <c r="C368" s="1"/>
      <c r="D368" s="1"/>
      <c r="E368" s="1"/>
      <c r="F368" s="1562"/>
      <c r="G368" s="1562"/>
      <c r="H368" s="1562"/>
      <c r="I368" s="1562"/>
      <c r="J368" s="1562"/>
      <c r="K368" s="1562"/>
      <c r="L368" s="1562"/>
      <c r="M368" s="1562"/>
      <c r="N368" s="1562"/>
      <c r="O368" s="1562"/>
      <c r="P368" s="1562"/>
      <c r="Q368" s="1562"/>
      <c r="R368" s="1562"/>
      <c r="S368" s="1562"/>
      <c r="T368" s="1562"/>
      <c r="U368" s="1562"/>
      <c r="V368" s="1562"/>
      <c r="W368" s="1562"/>
      <c r="X368" s="1562"/>
      <c r="Y368" s="1562"/>
      <c r="Z368" s="1562"/>
      <c r="AA368" s="1562"/>
      <c r="AB368" s="1562"/>
      <c r="AC368" s="1562"/>
      <c r="AD368" s="1562"/>
      <c r="AE368" s="1562"/>
      <c r="AF368" s="1562"/>
      <c r="AG368" s="1562"/>
      <c r="AH368" s="1562"/>
      <c r="AI368" s="1562"/>
      <c r="AJ368" s="1562"/>
      <c r="AK368" s="1562"/>
      <c r="AL368" s="1562"/>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611</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612</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932</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1004</v>
      </c>
      <c r="F375" s="283" t="s">
        <v>831</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7" t="s">
        <v>1794</v>
      </c>
      <c r="G376" s="288"/>
      <c r="H376" s="272"/>
      <c r="I376" s="1067"/>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1005</v>
      </c>
      <c r="F377" s="288" t="s">
        <v>832</v>
      </c>
      <c r="G377" s="288"/>
      <c r="H377" s="272"/>
      <c r="I377" s="1067"/>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833</v>
      </c>
      <c r="G378" s="288"/>
      <c r="H378" s="272"/>
      <c r="I378" s="1083"/>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1146</v>
      </c>
      <c r="G379" s="288"/>
      <c r="H379" s="272"/>
      <c r="I379" s="1083"/>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7"/>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821</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1109</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613</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1004</v>
      </c>
      <c r="F386" s="283" t="s">
        <v>834</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7" t="s">
        <v>1794</v>
      </c>
      <c r="G387" s="283"/>
      <c r="H387" s="1"/>
      <c r="I387" s="1067"/>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1005</v>
      </c>
      <c r="F388" s="288" t="s">
        <v>835</v>
      </c>
      <c r="G388" s="288"/>
      <c r="H388" s="272"/>
      <c r="I388" s="1067"/>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836</v>
      </c>
      <c r="G389" s="288"/>
      <c r="H389" s="272"/>
      <c r="I389" s="1083"/>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1147</v>
      </c>
      <c r="G390" s="288"/>
      <c r="H390" s="272"/>
      <c r="I390" s="1083"/>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2"/>
      <c r="G392" s="1062"/>
      <c r="H392" s="1062"/>
      <c r="I392" s="1062"/>
      <c r="J392" s="1062"/>
      <c r="K392" s="1062"/>
      <c r="L392" s="1062"/>
      <c r="M392" s="1062"/>
      <c r="N392" s="1062"/>
      <c r="O392" s="1062"/>
      <c r="P392" s="1062"/>
      <c r="Q392" s="1062"/>
      <c r="R392" s="1062"/>
      <c r="S392" s="1062"/>
      <c r="T392" s="1062"/>
      <c r="U392" s="1062"/>
      <c r="V392" s="1062"/>
      <c r="W392" s="1062"/>
      <c r="X392" s="1062"/>
      <c r="Y392" s="1062"/>
      <c r="Z392" s="1062"/>
      <c r="AA392" s="1062"/>
      <c r="AB392" s="1062"/>
      <c r="AC392" s="1062"/>
      <c r="AD392" s="1062"/>
      <c r="AE392" s="1062"/>
      <c r="AF392" s="1062"/>
      <c r="AG392" s="1062"/>
      <c r="AH392" s="1062"/>
      <c r="AI392" s="1062"/>
      <c r="AJ392" s="1062"/>
      <c r="AK392" s="1062"/>
      <c r="AL392" s="272"/>
    </row>
    <row r="393" spans="1:38">
      <c r="A393" s="12"/>
      <c r="B393" s="1064" t="s">
        <v>823</v>
      </c>
      <c r="C393" s="1064" t="s">
        <v>936</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936</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1004</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1005</v>
      </c>
      <c r="F397" s="283" t="s">
        <v>991</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1011</v>
      </c>
      <c r="F398" s="283" t="s">
        <v>985</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984</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1335</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1004</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1005</v>
      </c>
      <c r="F405" s="283" t="s">
        <v>1334</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3" t="s">
        <v>160</v>
      </c>
      <c r="C408" s="1064"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2192</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1" t="s">
        <v>2193</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1793</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hyperlink ref="E31" r:id="rId3"/>
    <hyperlink ref="E32" r:id="rId4"/>
    <hyperlink ref="E26" r:id="rId5"/>
    <hyperlink ref="E27:AK27" r:id="rId6" display="http://www.treasurer.ca.gov/ctcac/2019/lra/index.asp"/>
    <hyperlink ref="E26:AK26" r:id="rId7" display="https://www.treasurer.ca.gov/ctcac/2019/submitals/competitive.asp"/>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9"/>
  <sheetViews>
    <sheetView showGridLines="0" workbookViewId="0">
      <selection activeCell="AH43" sqref="AH43"/>
    </sheetView>
  </sheetViews>
  <sheetFormatPr defaultColWidth="0" defaultRowHeight="12.75"/>
  <cols>
    <col min="1" max="5" width="2.42578125" style="1508" customWidth="1"/>
    <col min="6" max="6" width="2.42578125" style="1512" customWidth="1"/>
    <col min="7" max="7" width="2.42578125" style="1508" customWidth="1"/>
    <col min="8" max="8" width="2.42578125" style="1512" customWidth="1"/>
    <col min="9" max="10" width="2.42578125" style="1508" customWidth="1"/>
    <col min="11" max="11" width="2.42578125" style="1509" customWidth="1"/>
    <col min="12" max="43" width="2.42578125" style="1508" customWidth="1"/>
    <col min="44" max="47" width="2.42578125" style="1508" hidden="1" customWidth="1"/>
    <col min="48" max="16384" width="9.140625" style="1508" hidden="1"/>
  </cols>
  <sheetData>
    <row r="1" spans="1:57" ht="15" customHeight="1">
      <c r="A1" s="2647" t="s">
        <v>2342</v>
      </c>
      <c r="B1" s="2647"/>
      <c r="C1" s="2647"/>
      <c r="D1" s="2647"/>
      <c r="E1" s="2647"/>
      <c r="F1" s="2647"/>
      <c r="G1" s="2647"/>
      <c r="H1" s="2647"/>
      <c r="I1" s="2647"/>
      <c r="J1" s="2647"/>
      <c r="K1" s="2647"/>
      <c r="L1" s="2647"/>
      <c r="M1" s="2647"/>
      <c r="N1" s="2647"/>
      <c r="O1" s="2647"/>
      <c r="P1" s="2647"/>
      <c r="Q1" s="2647"/>
      <c r="R1" s="2647"/>
      <c r="S1" s="2647"/>
      <c r="T1" s="2647"/>
      <c r="U1" s="2647"/>
      <c r="V1" s="2647"/>
      <c r="W1" s="2647"/>
      <c r="X1" s="2647"/>
      <c r="Y1" s="2647"/>
      <c r="Z1" s="2647"/>
      <c r="AA1" s="2647"/>
      <c r="AB1" s="2647"/>
      <c r="AC1" s="2647"/>
      <c r="AD1" s="2647"/>
      <c r="AE1" s="2647"/>
      <c r="AF1" s="2647"/>
      <c r="AG1" s="2647"/>
      <c r="AH1" s="2647"/>
      <c r="AI1" s="2647"/>
      <c r="AJ1" s="2647"/>
      <c r="AK1" s="2647"/>
      <c r="AL1" s="2647"/>
      <c r="AM1" s="2647"/>
      <c r="AN1" s="2647"/>
      <c r="AO1" s="2647"/>
      <c r="AP1" s="2647"/>
      <c r="AQ1" s="2647"/>
    </row>
    <row r="2" spans="1:57" ht="15" customHeight="1">
      <c r="A2" s="2647"/>
      <c r="B2" s="2647"/>
      <c r="C2" s="2647"/>
      <c r="D2" s="2647"/>
      <c r="E2" s="2647"/>
      <c r="F2" s="2647"/>
      <c r="G2" s="2647"/>
      <c r="H2" s="2647"/>
      <c r="I2" s="2647"/>
      <c r="J2" s="2647"/>
      <c r="K2" s="2647"/>
      <c r="L2" s="2647"/>
      <c r="M2" s="2647"/>
      <c r="N2" s="2647"/>
      <c r="O2" s="2647"/>
      <c r="P2" s="2647"/>
      <c r="Q2" s="2647"/>
      <c r="R2" s="2647"/>
      <c r="S2" s="2647"/>
      <c r="T2" s="2647"/>
      <c r="U2" s="2647"/>
      <c r="V2" s="2647"/>
      <c r="W2" s="2647"/>
      <c r="X2" s="2647"/>
      <c r="Y2" s="2647"/>
      <c r="Z2" s="2647"/>
      <c r="AA2" s="2647"/>
      <c r="AB2" s="2647"/>
      <c r="AC2" s="2647"/>
      <c r="AD2" s="2647"/>
      <c r="AE2" s="2647"/>
      <c r="AF2" s="2647"/>
      <c r="AG2" s="2647"/>
      <c r="AH2" s="2647"/>
      <c r="AI2" s="2647"/>
      <c r="AJ2" s="2647"/>
      <c r="AK2" s="2647"/>
      <c r="AL2" s="2647"/>
      <c r="AM2" s="2647"/>
      <c r="AN2" s="2647"/>
      <c r="AO2" s="2647"/>
      <c r="AP2" s="2647"/>
      <c r="AQ2" s="2647"/>
    </row>
    <row r="3" spans="1:57">
      <c r="A3" s="1510"/>
      <c r="B3" s="1510"/>
      <c r="E3" s="1511"/>
      <c r="I3" s="1513"/>
      <c r="K3" s="1514"/>
    </row>
    <row r="4" spans="1:57" ht="14.25" customHeight="1">
      <c r="A4" s="2646" t="s">
        <v>2343</v>
      </c>
      <c r="B4" s="2646"/>
      <c r="C4" s="2646"/>
      <c r="D4" s="2646"/>
      <c r="E4" s="2646"/>
      <c r="F4" s="2646"/>
      <c r="G4" s="2646"/>
      <c r="H4" s="2646"/>
      <c r="I4" s="2646"/>
      <c r="J4" s="2646"/>
      <c r="K4" s="2646"/>
      <c r="L4" s="2646"/>
      <c r="M4" s="2646"/>
      <c r="N4" s="2646"/>
      <c r="O4" s="2646"/>
      <c r="P4" s="2646"/>
      <c r="Q4" s="2646"/>
      <c r="R4" s="2646"/>
      <c r="S4" s="2646"/>
      <c r="T4" s="2646"/>
      <c r="U4" s="2646"/>
      <c r="V4" s="2646"/>
      <c r="W4" s="2646"/>
      <c r="X4" s="2646"/>
      <c r="Y4" s="2646"/>
      <c r="Z4" s="2646"/>
      <c r="AA4" s="2646"/>
      <c r="AB4" s="2646"/>
      <c r="AC4" s="2646"/>
      <c r="AD4" s="2646"/>
      <c r="AE4" s="2646"/>
      <c r="AF4" s="2646"/>
      <c r="AG4" s="2646"/>
      <c r="AH4" s="2646"/>
      <c r="AI4" s="2646"/>
      <c r="AJ4" s="2646"/>
      <c r="AK4" s="2646"/>
      <c r="AL4" s="2646"/>
      <c r="AM4" s="2646"/>
      <c r="AN4" s="2646"/>
      <c r="AO4" s="2646"/>
      <c r="AP4" s="2646"/>
      <c r="AQ4" s="2646"/>
    </row>
    <row r="5" spans="1:57">
      <c r="A5" s="1510"/>
      <c r="B5" s="1510"/>
      <c r="E5" s="1511"/>
      <c r="I5" s="1513"/>
      <c r="K5" s="1514"/>
    </row>
    <row r="6" spans="1:57">
      <c r="A6" s="1510"/>
      <c r="B6" s="1510"/>
      <c r="D6" s="1508" t="s">
        <v>2346</v>
      </c>
      <c r="I6" s="1513"/>
      <c r="K6" s="1514"/>
      <c r="U6" s="2645" t="s">
        <v>531</v>
      </c>
      <c r="V6" s="2645"/>
      <c r="W6" s="2645"/>
      <c r="BC6" s="1508" t="s">
        <v>2344</v>
      </c>
    </row>
    <row r="7" spans="1:57">
      <c r="A7" s="1510"/>
      <c r="B7" s="1510"/>
      <c r="D7" s="1515" t="s">
        <v>2347</v>
      </c>
      <c r="E7" s="1511"/>
      <c r="I7" s="1513"/>
      <c r="K7" s="1514"/>
      <c r="BC7" s="1508" t="s">
        <v>2345</v>
      </c>
    </row>
    <row r="8" spans="1:57">
      <c r="A8" s="1510"/>
      <c r="B8" s="1510"/>
      <c r="D8" s="1515"/>
      <c r="E8" s="1508" t="s">
        <v>2364</v>
      </c>
      <c r="BC8" s="1508" t="s">
        <v>2348</v>
      </c>
    </row>
    <row r="9" spans="1:57">
      <c r="A9" s="1510"/>
      <c r="B9" s="1510"/>
      <c r="E9" s="1511" t="s">
        <v>2363</v>
      </c>
      <c r="I9" s="1513"/>
      <c r="K9" s="1514"/>
      <c r="P9" s="2653"/>
      <c r="Q9" s="2653"/>
      <c r="R9" s="2653"/>
      <c r="S9" s="2653"/>
      <c r="T9" s="2653"/>
    </row>
    <row r="10" spans="1:57">
      <c r="A10" s="1510"/>
      <c r="B10" s="1510"/>
      <c r="E10" s="1511"/>
      <c r="I10" s="1513"/>
      <c r="K10" s="1514"/>
    </row>
    <row r="11" spans="1:57">
      <c r="A11" s="2646" t="s">
        <v>2349</v>
      </c>
      <c r="B11" s="2646"/>
      <c r="C11" s="2646"/>
      <c r="D11" s="2646"/>
      <c r="E11" s="2646"/>
      <c r="F11" s="2646"/>
      <c r="G11" s="2646"/>
      <c r="H11" s="2646"/>
      <c r="I11" s="2646"/>
      <c r="J11" s="2646"/>
      <c r="K11" s="2646"/>
      <c r="L11" s="2646"/>
      <c r="M11" s="2646"/>
      <c r="N11" s="2646"/>
      <c r="O11" s="2646"/>
      <c r="P11" s="2646"/>
      <c r="Q11" s="2646"/>
      <c r="R11" s="2646"/>
      <c r="S11" s="2646"/>
      <c r="T11" s="2646"/>
      <c r="U11" s="2646"/>
      <c r="V11" s="2646"/>
      <c r="W11" s="2646"/>
      <c r="X11" s="2646"/>
      <c r="Y11" s="2646"/>
      <c r="Z11" s="2646"/>
      <c r="AA11" s="2646"/>
      <c r="AB11" s="2646"/>
      <c r="AC11" s="2646"/>
      <c r="AD11" s="2646"/>
      <c r="AE11" s="2646"/>
      <c r="AF11" s="2646"/>
      <c r="AG11" s="2646"/>
      <c r="AH11" s="2646"/>
      <c r="AI11" s="2646"/>
      <c r="AJ11" s="2646"/>
      <c r="AK11" s="2646"/>
      <c r="AL11" s="2646"/>
      <c r="AM11" s="2646"/>
      <c r="AN11" s="2646"/>
      <c r="AO11" s="2646"/>
      <c r="AP11" s="2646"/>
      <c r="AQ11" s="2646"/>
      <c r="BC11" s="1508" t="s">
        <v>119</v>
      </c>
    </row>
    <row r="12" spans="1:57">
      <c r="A12" s="1510"/>
      <c r="B12" s="1510"/>
      <c r="E12" s="1511"/>
      <c r="I12" s="1513"/>
      <c r="K12" s="1514"/>
      <c r="BC12" s="1508" t="s">
        <v>531</v>
      </c>
    </row>
    <row r="13" spans="1:57">
      <c r="A13" s="1510"/>
      <c r="B13" s="1510"/>
      <c r="D13" s="1508" t="s">
        <v>2350</v>
      </c>
      <c r="E13" s="1511"/>
      <c r="I13" s="1513"/>
      <c r="K13" s="1514"/>
      <c r="T13" s="2645" t="s">
        <v>119</v>
      </c>
      <c r="U13" s="2645"/>
      <c r="V13" s="2645"/>
    </row>
    <row r="14" spans="1:57">
      <c r="A14" s="1510"/>
      <c r="B14" s="1510"/>
      <c r="E14" s="1511" t="s">
        <v>2357</v>
      </c>
      <c r="I14" s="1513"/>
      <c r="K14" s="1514"/>
      <c r="N14" s="2651" t="s">
        <v>2492</v>
      </c>
      <c r="O14" s="2651"/>
      <c r="P14" s="2651"/>
      <c r="Q14" s="2651"/>
      <c r="R14" s="2651"/>
      <c r="S14" s="2651"/>
      <c r="T14" s="2651"/>
      <c r="U14" s="2651"/>
      <c r="V14" s="2651"/>
      <c r="W14" s="2651"/>
      <c r="X14" s="2651"/>
      <c r="Y14" s="2651"/>
      <c r="Z14" s="2651"/>
      <c r="AA14" s="2651"/>
      <c r="AB14" s="2651"/>
      <c r="AC14" s="2651"/>
      <c r="AD14" s="2651"/>
      <c r="AE14" s="2651"/>
    </row>
    <row r="15" spans="1:57">
      <c r="A15" s="1510"/>
      <c r="B15" s="1510"/>
      <c r="E15" s="1511" t="s">
        <v>2351</v>
      </c>
      <c r="I15" s="1513"/>
      <c r="K15" s="1514"/>
      <c r="N15" s="1539">
        <v>1300000</v>
      </c>
      <c r="O15" s="1539"/>
      <c r="P15" s="1539"/>
      <c r="Q15" s="1539"/>
      <c r="R15" s="1539"/>
      <c r="S15" s="1539"/>
      <c r="T15" s="1539"/>
      <c r="U15" s="1539"/>
      <c r="V15" s="1539"/>
      <c r="W15" s="1539"/>
      <c r="X15" s="1539"/>
      <c r="Y15" s="1539"/>
      <c r="Z15" s="1539"/>
      <c r="AA15" s="1539"/>
      <c r="AB15" s="1539"/>
      <c r="AC15" s="1539"/>
      <c r="AD15" s="1539"/>
      <c r="AE15" s="1539"/>
      <c r="BC15" s="1508" t="s">
        <v>2365</v>
      </c>
      <c r="BE15" s="1508">
        <f>'Basis &amp; Credits'!AB55</f>
        <v>2500000</v>
      </c>
    </row>
    <row r="16" spans="1:57">
      <c r="A16" s="1510"/>
      <c r="B16" s="1510"/>
      <c r="BC16" s="1508" t="s">
        <v>2366</v>
      </c>
      <c r="BE16" s="1508">
        <f>'Basis &amp; Credits'!T11+'Basis &amp; Credits'!AD11</f>
        <v>24271427</v>
      </c>
    </row>
    <row r="17" spans="1:43">
      <c r="A17" s="1510"/>
      <c r="B17" s="1510"/>
      <c r="D17" s="1508" t="s">
        <v>2352</v>
      </c>
      <c r="E17" s="1511"/>
      <c r="I17" s="1513"/>
      <c r="K17" s="1514"/>
      <c r="U17" s="2652">
        <f>IF(T13="yes",(BE15/BE16)," ")</f>
        <v>0.10300177241329898</v>
      </c>
      <c r="V17" s="2652"/>
      <c r="W17" s="2652"/>
      <c r="X17" s="2652"/>
      <c r="Y17" s="2652"/>
    </row>
    <row r="18" spans="1:43">
      <c r="A18" s="1510"/>
      <c r="B18" s="1510"/>
      <c r="E18" s="1511"/>
      <c r="I18" s="1513"/>
      <c r="K18" s="1514"/>
    </row>
    <row r="19" spans="1:43">
      <c r="A19" s="2646" t="s">
        <v>2354</v>
      </c>
      <c r="B19" s="2646"/>
      <c r="C19" s="2646"/>
      <c r="D19" s="2646"/>
      <c r="E19" s="2646"/>
      <c r="F19" s="2646"/>
      <c r="G19" s="2646"/>
      <c r="H19" s="2646"/>
      <c r="I19" s="2646"/>
      <c r="J19" s="2646"/>
      <c r="K19" s="2646"/>
      <c r="L19" s="2646"/>
      <c r="M19" s="2646"/>
      <c r="N19" s="2646"/>
      <c r="O19" s="2646"/>
      <c r="P19" s="2646"/>
      <c r="Q19" s="2646"/>
      <c r="R19" s="2646"/>
      <c r="S19" s="2646"/>
      <c r="T19" s="2646"/>
      <c r="U19" s="2646"/>
      <c r="V19" s="2646"/>
      <c r="W19" s="2646"/>
      <c r="X19" s="2646"/>
      <c r="Y19" s="2646"/>
      <c r="Z19" s="2646"/>
      <c r="AA19" s="2646"/>
      <c r="AB19" s="2646"/>
      <c r="AC19" s="2646"/>
      <c r="AD19" s="2646"/>
      <c r="AE19" s="2646"/>
      <c r="AF19" s="2646"/>
      <c r="AG19" s="2646"/>
      <c r="AH19" s="2646"/>
      <c r="AI19" s="2646"/>
      <c r="AJ19" s="2646"/>
      <c r="AK19" s="2646"/>
      <c r="AL19" s="2646"/>
      <c r="AM19" s="2646"/>
      <c r="AN19" s="2646"/>
      <c r="AO19" s="2646"/>
      <c r="AP19" s="2646"/>
      <c r="AQ19" s="2646"/>
    </row>
    <row r="20" spans="1:43">
      <c r="C20" s="1510"/>
      <c r="D20" s="1510"/>
      <c r="F20" s="1508"/>
      <c r="G20" s="1511"/>
      <c r="J20" s="1512"/>
      <c r="K20" s="1513"/>
      <c r="M20" s="1514"/>
    </row>
    <row r="21" spans="1:43">
      <c r="C21" s="1510"/>
      <c r="D21" s="1510"/>
      <c r="F21" s="1508"/>
      <c r="G21" s="1511"/>
      <c r="J21" s="1512"/>
      <c r="K21" s="1513"/>
      <c r="M21" s="1514"/>
    </row>
    <row r="22" spans="1:43">
      <c r="C22" s="1516" t="s">
        <v>795</v>
      </c>
      <c r="D22" s="1516"/>
      <c r="E22" s="1508" t="s">
        <v>2355</v>
      </c>
      <c r="F22" s="1508"/>
      <c r="H22" s="1517"/>
      <c r="J22" s="1512"/>
      <c r="K22" s="1508"/>
      <c r="M22" s="1518"/>
      <c r="Q22" s="2654">
        <f>ROUND('Basis &amp; Credits'!AB55,0)</f>
        <v>2500000</v>
      </c>
      <c r="R22" s="2654"/>
      <c r="S22" s="2654"/>
      <c r="T22" s="2654"/>
      <c r="U22" s="2654"/>
      <c r="V22" s="2654"/>
      <c r="W22" s="2654"/>
      <c r="X22" s="2654"/>
      <c r="Y22" s="1538"/>
    </row>
    <row r="23" spans="1:43">
      <c r="C23" s="1510"/>
      <c r="D23" s="1510"/>
      <c r="F23" s="1508"/>
      <c r="G23" s="1519"/>
      <c r="H23" s="1520"/>
      <c r="I23" s="1521"/>
      <c r="J23" s="1522"/>
      <c r="K23" s="1519"/>
      <c r="M23" s="1509"/>
    </row>
    <row r="24" spans="1:43" s="1525" customFormat="1">
      <c r="C24" s="1523"/>
      <c r="D24" s="1523"/>
      <c r="E24" s="1524"/>
      <c r="J24" s="1522"/>
      <c r="L24" s="2657" t="s">
        <v>2332</v>
      </c>
      <c r="M24" s="2657"/>
      <c r="N24" s="2657"/>
      <c r="P24" s="2642" t="s">
        <v>2333</v>
      </c>
      <c r="Q24" s="2642"/>
      <c r="R24" s="2642"/>
      <c r="S24" s="2642"/>
      <c r="T24" s="2642"/>
      <c r="V24" s="2642" t="s">
        <v>2334</v>
      </c>
      <c r="W24" s="2642"/>
      <c r="X24" s="2642"/>
      <c r="AC24" s="1508"/>
      <c r="AD24" s="1508"/>
      <c r="AE24" s="1508"/>
      <c r="AF24" s="1508"/>
      <c r="AG24" s="1508"/>
      <c r="AH24" s="1508"/>
    </row>
    <row r="25" spans="1:43">
      <c r="C25" s="1516" t="s">
        <v>207</v>
      </c>
      <c r="D25" s="1516"/>
      <c r="E25" s="1508" t="s">
        <v>1090</v>
      </c>
      <c r="F25" s="1508"/>
      <c r="J25" s="1522"/>
      <c r="L25" s="2643" t="s">
        <v>2335</v>
      </c>
      <c r="M25" s="2643"/>
      <c r="N25" s="2643"/>
      <c r="P25" s="2643" t="s">
        <v>2336</v>
      </c>
      <c r="Q25" s="2643"/>
      <c r="R25" s="2643"/>
      <c r="S25" s="2643"/>
      <c r="T25" s="2643"/>
      <c r="V25" s="2643" t="s">
        <v>2335</v>
      </c>
      <c r="W25" s="2643"/>
      <c r="X25" s="2643"/>
    </row>
    <row r="26" spans="1:43">
      <c r="C26" s="1510"/>
      <c r="D26" s="1510"/>
      <c r="E26" s="1526" t="s">
        <v>2337</v>
      </c>
      <c r="F26" s="1526"/>
      <c r="J26" s="1527"/>
      <c r="L26" s="2658">
        <f>Application!BN627</f>
        <v>0</v>
      </c>
      <c r="M26" s="2658"/>
      <c r="N26" s="2658"/>
      <c r="P26" s="2644">
        <v>0.9</v>
      </c>
      <c r="Q26" s="2644"/>
      <c r="R26" s="2644"/>
      <c r="S26" s="2644"/>
      <c r="T26" s="2644"/>
      <c r="V26" s="2644">
        <f>L26*P26</f>
        <v>0</v>
      </c>
      <c r="W26" s="2644"/>
      <c r="X26" s="2644"/>
    </row>
    <row r="27" spans="1:43">
      <c r="C27" s="1510"/>
      <c r="D27" s="1510"/>
      <c r="E27" s="1525" t="s">
        <v>2338</v>
      </c>
      <c r="F27" s="1525"/>
      <c r="J27" s="1527"/>
      <c r="L27" s="2634">
        <f>Application!BS627</f>
        <v>8</v>
      </c>
      <c r="M27" s="2634">
        <f>Application!BS635+Application!BS644+Application!CX658</f>
        <v>0</v>
      </c>
      <c r="N27" s="2634"/>
      <c r="P27" s="2639">
        <v>1</v>
      </c>
      <c r="Q27" s="2639"/>
      <c r="R27" s="2639"/>
      <c r="S27" s="2639"/>
      <c r="T27" s="2639"/>
      <c r="V27" s="2640">
        <f t="shared" ref="V27:V29" si="0">L27*P27</f>
        <v>8</v>
      </c>
      <c r="W27" s="2640"/>
      <c r="X27" s="2640"/>
    </row>
    <row r="28" spans="1:43">
      <c r="C28" s="1510"/>
      <c r="D28" s="1510"/>
      <c r="E28" s="1525" t="s">
        <v>2339</v>
      </c>
      <c r="F28" s="1525"/>
      <c r="J28" s="1527"/>
      <c r="L28" s="2634">
        <f>Application!BX627</f>
        <v>32</v>
      </c>
      <c r="M28" s="2634">
        <f>Application!BX635+Application!BX644+Application!DC658</f>
        <v>0</v>
      </c>
      <c r="N28" s="2634"/>
      <c r="P28" s="2639">
        <v>1.25</v>
      </c>
      <c r="Q28" s="2639"/>
      <c r="R28" s="2639"/>
      <c r="S28" s="2639"/>
      <c r="T28" s="2639"/>
      <c r="V28" s="2640">
        <f t="shared" si="0"/>
        <v>40</v>
      </c>
      <c r="W28" s="2640"/>
      <c r="X28" s="2640"/>
    </row>
    <row r="29" spans="1:43">
      <c r="C29" s="1510"/>
      <c r="D29" s="1510"/>
      <c r="E29" s="1525" t="s">
        <v>2340</v>
      </c>
      <c r="F29" s="1525"/>
      <c r="J29" s="1527"/>
      <c r="L29" s="2634">
        <f>Application!CC627</f>
        <v>19</v>
      </c>
      <c r="M29" s="2634">
        <f>Application!CC635+Application!CC644+Application!DH658</f>
        <v>0</v>
      </c>
      <c r="N29" s="2634"/>
      <c r="P29" s="2639">
        <v>1.5</v>
      </c>
      <c r="Q29" s="2639"/>
      <c r="R29" s="2639"/>
      <c r="S29" s="2639"/>
      <c r="T29" s="2639"/>
      <c r="V29" s="2640">
        <f t="shared" si="0"/>
        <v>28.5</v>
      </c>
      <c r="W29" s="2640"/>
      <c r="X29" s="2640"/>
    </row>
    <row r="30" spans="1:43">
      <c r="C30" s="1510"/>
      <c r="D30" s="1510"/>
      <c r="E30" s="1525" t="s">
        <v>2341</v>
      </c>
      <c r="F30" s="1525"/>
      <c r="J30" s="1527"/>
      <c r="L30" s="2635">
        <f>Application!CH627+Application!CM627</f>
        <v>0</v>
      </c>
      <c r="M30" s="2635"/>
      <c r="N30" s="2635"/>
      <c r="P30" s="2639">
        <v>1.75</v>
      </c>
      <c r="Q30" s="2639"/>
      <c r="R30" s="2639">
        <f>1.75+0.25*0</f>
        <v>1.75</v>
      </c>
      <c r="S30" s="2639"/>
      <c r="T30" s="2639"/>
      <c r="V30" s="2641">
        <f>L30*P30</f>
        <v>0</v>
      </c>
      <c r="W30" s="2641"/>
      <c r="X30" s="2641"/>
    </row>
    <row r="31" spans="1:43">
      <c r="C31" s="1510"/>
      <c r="D31" s="1510"/>
      <c r="F31" s="1508"/>
      <c r="J31" s="1512"/>
      <c r="L31" s="2655">
        <f>SUM(L26:N30)</f>
        <v>59</v>
      </c>
      <c r="M31" s="2656"/>
      <c r="N31" s="2656"/>
      <c r="V31" s="2644">
        <f>SUM(V26:X30)</f>
        <v>76.5</v>
      </c>
      <c r="W31" s="2644"/>
      <c r="X31" s="2644"/>
      <c r="AA31" s="1511"/>
    </row>
    <row r="32" spans="1:43">
      <c r="C32" s="1510"/>
      <c r="D32" s="1510"/>
      <c r="F32" s="1508"/>
      <c r="G32" s="1511"/>
      <c r="J32" s="1512"/>
      <c r="K32" s="1528"/>
      <c r="N32" s="1512"/>
    </row>
    <row r="33" spans="1:27">
      <c r="C33" s="1516" t="s">
        <v>208</v>
      </c>
      <c r="D33" s="1516"/>
      <c r="E33" s="1529" t="s">
        <v>2356</v>
      </c>
      <c r="H33" s="1530"/>
      <c r="I33" s="1531"/>
      <c r="J33" s="1532"/>
      <c r="K33" s="1528"/>
      <c r="M33" s="1509"/>
      <c r="V33" s="2636">
        <f>IF(V31&gt;0,V31/Q22," ")</f>
        <v>3.0599999999999998E-5</v>
      </c>
      <c r="W33" s="2637"/>
      <c r="X33" s="2637"/>
      <c r="Y33" s="2637"/>
      <c r="Z33" s="2637"/>
      <c r="AA33" s="2638"/>
    </row>
    <row r="34" spans="1:27">
      <c r="F34" s="1508"/>
      <c r="J34" s="1512"/>
      <c r="K34" s="1508"/>
      <c r="M34" s="1509"/>
    </row>
    <row r="35" spans="1:27">
      <c r="E35" s="1510" t="s">
        <v>2367</v>
      </c>
      <c r="F35" s="1510"/>
      <c r="G35" s="1510"/>
      <c r="H35" s="1529"/>
      <c r="I35" s="1510"/>
      <c r="J35" s="1529"/>
      <c r="K35" s="1510"/>
      <c r="L35" s="1510"/>
      <c r="M35" s="1540"/>
      <c r="N35" s="1510"/>
      <c r="O35" s="1510"/>
      <c r="P35" s="1510"/>
      <c r="Q35" s="1510"/>
      <c r="R35" s="1510"/>
      <c r="V35" s="2648">
        <f>IF(V31&gt;0,1/V33," ")</f>
        <v>32679.738562091505</v>
      </c>
      <c r="W35" s="2649"/>
      <c r="X35" s="2649"/>
      <c r="Y35" s="2649"/>
      <c r="Z35" s="2649"/>
      <c r="AA35" s="2650"/>
    </row>
    <row r="36" spans="1:27" ht="12.75" customHeight="1">
      <c r="B36" s="1533"/>
      <c r="C36" s="1533"/>
      <c r="D36" s="1533"/>
      <c r="E36" s="1533"/>
      <c r="F36" s="1533"/>
      <c r="G36" s="1533"/>
      <c r="H36" s="1533"/>
      <c r="I36" s="1533"/>
    </row>
    <row r="37" spans="1:27">
      <c r="A37" s="1533"/>
      <c r="B37" s="1533"/>
      <c r="C37" s="1533"/>
      <c r="D37" s="1533"/>
      <c r="E37" s="1533"/>
      <c r="F37" s="1533"/>
      <c r="G37" s="1533"/>
      <c r="H37" s="1533"/>
      <c r="I37" s="1533"/>
    </row>
    <row r="38" spans="1:27">
      <c r="A38" s="1533"/>
      <c r="B38" s="1533"/>
      <c r="C38" s="1533"/>
      <c r="D38" s="1533"/>
      <c r="E38" s="1533"/>
      <c r="F38" s="1533"/>
      <c r="G38" s="1533"/>
      <c r="H38" s="1533"/>
      <c r="I38" s="1533"/>
    </row>
    <row r="39" spans="1:27">
      <c r="A39" s="1533"/>
      <c r="B39" s="1533"/>
      <c r="C39" s="1533"/>
      <c r="D39" s="1533"/>
      <c r="E39" s="1533"/>
      <c r="F39" s="1533"/>
      <c r="G39" s="1533"/>
      <c r="H39" s="1533"/>
      <c r="I39" s="1533"/>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formula1>$BC$5:$BC$8</formula1>
    </dataValidation>
    <dataValidation type="list" allowBlank="1" showInputMessage="1" showErrorMessage="1" sqref="T13:V13 U6:W6">
      <formula1>$BC$10:$BC$12</formula1>
    </dataValidation>
  </dataValidations>
  <hyperlinks>
    <hyperlink ref="D7" r:id="rId1"/>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0"/>
  <sheetViews>
    <sheetView showGridLines="0" view="pageBreakPreview" zoomScale="90" zoomScaleNormal="100" zoomScaleSheetLayoutView="90" workbookViewId="0">
      <selection activeCell="Q89" sqref="Q89:R89"/>
    </sheetView>
  </sheetViews>
  <sheetFormatPr defaultColWidth="8.85546875" defaultRowHeight="0" customHeight="1" zeroHeight="1"/>
  <cols>
    <col min="1" max="1" width="3.42578125" style="792" customWidth="1"/>
    <col min="2" max="4" width="17.42578125" style="792" customWidth="1"/>
    <col min="5" max="5" width="15.42578125" style="792" customWidth="1"/>
    <col min="6" max="6" width="2.42578125" style="792" customWidth="1"/>
    <col min="7" max="7" width="14.42578125" style="792" customWidth="1"/>
    <col min="8" max="9" width="2.42578125" style="792" customWidth="1"/>
    <col min="10" max="10" width="3.42578125" style="792" customWidth="1"/>
    <col min="11" max="14" width="2.42578125" style="792" customWidth="1"/>
    <col min="15" max="15" width="43.7109375" style="792" customWidth="1"/>
    <col min="16" max="16" width="7.42578125" style="792" customWidth="1"/>
    <col min="17" max="17" width="3.42578125" style="792" customWidth="1"/>
    <col min="18" max="19" width="10.42578125" style="792" customWidth="1"/>
    <col min="20" max="16384" width="8.85546875" style="792"/>
  </cols>
  <sheetData>
    <row r="1" spans="1:19" ht="15" customHeight="1">
      <c r="A1" s="2695" t="s">
        <v>2123</v>
      </c>
      <c r="B1" s="2695"/>
      <c r="C1" s="2695"/>
      <c r="D1" s="2695"/>
      <c r="E1" s="2695"/>
      <c r="F1" s="2695"/>
      <c r="G1" s="2695"/>
      <c r="H1" s="2695"/>
      <c r="I1" s="2695"/>
      <c r="J1" s="2695"/>
      <c r="K1" s="2695"/>
      <c r="L1" s="2695"/>
      <c r="M1" s="2695"/>
      <c r="N1" s="2695"/>
      <c r="O1" s="2695"/>
      <c r="P1" s="2695"/>
      <c r="Q1" s="2695"/>
      <c r="R1" s="2695"/>
      <c r="S1" s="2695"/>
    </row>
    <row r="2" spans="1:19" ht="15" customHeight="1">
      <c r="A2" s="2695"/>
      <c r="B2" s="2695"/>
      <c r="C2" s="2695"/>
      <c r="D2" s="2695"/>
      <c r="E2" s="2695"/>
      <c r="F2" s="2695"/>
      <c r="G2" s="2695"/>
      <c r="H2" s="2695"/>
      <c r="I2" s="2695"/>
      <c r="J2" s="2695"/>
      <c r="K2" s="2695"/>
      <c r="L2" s="2695"/>
      <c r="M2" s="2695"/>
      <c r="N2" s="2695"/>
      <c r="O2" s="2695"/>
      <c r="P2" s="2695"/>
      <c r="Q2" s="2695"/>
      <c r="R2" s="2695"/>
      <c r="S2" s="2695"/>
    </row>
    <row r="3" spans="1:19" ht="15" customHeight="1">
      <c r="A3" s="815"/>
      <c r="B3" s="815"/>
      <c r="C3" s="815"/>
      <c r="D3" s="815"/>
      <c r="E3" s="815"/>
      <c r="F3" s="815"/>
      <c r="G3" s="815"/>
      <c r="H3" s="815"/>
      <c r="I3" s="815"/>
      <c r="J3" s="815"/>
      <c r="K3" s="815"/>
      <c r="L3" s="815"/>
      <c r="M3" s="815"/>
      <c r="N3" s="815"/>
      <c r="O3" s="815"/>
      <c r="P3" s="815"/>
      <c r="Q3" s="815"/>
      <c r="R3" s="815"/>
      <c r="S3" s="816"/>
    </row>
    <row r="4" spans="1:19" ht="15" customHeight="1">
      <c r="A4" s="815"/>
      <c r="B4" s="2696" t="s">
        <v>1835</v>
      </c>
      <c r="C4" s="2696"/>
      <c r="D4" s="2696"/>
      <c r="E4" s="2696"/>
      <c r="F4" s="2696"/>
      <c r="G4" s="2696"/>
      <c r="H4" s="2696"/>
      <c r="I4" s="2696"/>
      <c r="J4" s="2696"/>
      <c r="K4" s="2696"/>
      <c r="L4" s="2696"/>
      <c r="M4" s="2696"/>
      <c r="N4" s="2696"/>
      <c r="O4" s="2696"/>
      <c r="P4" s="2696"/>
      <c r="Q4" s="2696"/>
      <c r="R4" s="2696"/>
      <c r="S4" s="816"/>
    </row>
    <row r="5" spans="1:19" ht="15" customHeight="1">
      <c r="A5" s="815"/>
      <c r="B5" s="2696"/>
      <c r="C5" s="2696"/>
      <c r="D5" s="2696"/>
      <c r="E5" s="2696"/>
      <c r="F5" s="2696"/>
      <c r="G5" s="2696"/>
      <c r="H5" s="2696"/>
      <c r="I5" s="2696"/>
      <c r="J5" s="2696"/>
      <c r="K5" s="2696"/>
      <c r="L5" s="2696"/>
      <c r="M5" s="2696"/>
      <c r="N5" s="2696"/>
      <c r="O5" s="2696"/>
      <c r="P5" s="2696"/>
      <c r="Q5" s="2696"/>
      <c r="R5" s="2696"/>
      <c r="S5" s="816"/>
    </row>
    <row r="6" spans="1:19" ht="15" customHeight="1">
      <c r="A6" s="815"/>
      <c r="B6" s="2696"/>
      <c r="C6" s="2696"/>
      <c r="D6" s="2696"/>
      <c r="E6" s="2696"/>
      <c r="F6" s="2696"/>
      <c r="G6" s="2696"/>
      <c r="H6" s="2696"/>
      <c r="I6" s="2696"/>
      <c r="J6" s="2696"/>
      <c r="K6" s="2696"/>
      <c r="L6" s="2696"/>
      <c r="M6" s="2696"/>
      <c r="N6" s="2696"/>
      <c r="O6" s="2696"/>
      <c r="P6" s="2696"/>
      <c r="Q6" s="2696"/>
      <c r="R6" s="2696"/>
      <c r="S6" s="816"/>
    </row>
    <row r="7" spans="1:19" ht="15" customHeight="1">
      <c r="A7" s="815"/>
      <c r="B7" s="1043"/>
      <c r="C7" s="1043"/>
      <c r="D7" s="1043"/>
      <c r="E7" s="1043"/>
      <c r="F7" s="1043"/>
      <c r="G7" s="1043"/>
      <c r="H7" s="1043"/>
      <c r="I7" s="1043"/>
      <c r="J7" s="1043"/>
      <c r="K7" s="1043"/>
      <c r="L7" s="1043"/>
      <c r="M7" s="1043"/>
      <c r="N7" s="1043"/>
      <c r="O7" s="1043"/>
      <c r="P7" s="1043"/>
      <c r="Q7" s="1043"/>
      <c r="R7" s="1043"/>
      <c r="S7" s="816"/>
    </row>
    <row r="8" spans="1:19" ht="15" customHeight="1">
      <c r="A8" s="815"/>
      <c r="B8" s="2696" t="s">
        <v>1911</v>
      </c>
      <c r="C8" s="2696"/>
      <c r="D8" s="2696"/>
      <c r="E8" s="2696"/>
      <c r="F8" s="2696"/>
      <c r="G8" s="2696"/>
      <c r="H8" s="2696"/>
      <c r="I8" s="2696"/>
      <c r="J8" s="2696"/>
      <c r="K8" s="2696"/>
      <c r="L8" s="2696"/>
      <c r="M8" s="2696"/>
      <c r="N8" s="2696"/>
      <c r="O8" s="2696"/>
      <c r="P8" s="2696"/>
      <c r="Q8" s="2696"/>
      <c r="R8" s="2696"/>
      <c r="S8" s="816"/>
    </row>
    <row r="9" spans="1:19" ht="15" customHeight="1">
      <c r="A9" s="815"/>
      <c r="B9" s="793"/>
      <c r="C9" s="815"/>
      <c r="D9" s="815"/>
      <c r="E9" s="815"/>
      <c r="F9" s="815"/>
      <c r="G9" s="815"/>
      <c r="H9" s="815"/>
      <c r="I9" s="815"/>
      <c r="J9" s="815"/>
      <c r="K9" s="815"/>
      <c r="L9" s="815"/>
      <c r="M9" s="815"/>
      <c r="N9" s="815"/>
      <c r="O9" s="815"/>
      <c r="P9" s="815"/>
      <c r="Q9" s="815"/>
      <c r="R9" s="815"/>
      <c r="S9" s="816"/>
    </row>
    <row r="10" spans="1:19" ht="15" customHeight="1">
      <c r="A10" s="815"/>
      <c r="B10" s="2697" t="s">
        <v>1912</v>
      </c>
      <c r="C10" s="2697"/>
      <c r="D10" s="2697"/>
      <c r="E10" s="2697"/>
      <c r="F10" s="2697"/>
      <c r="G10" s="2697"/>
      <c r="H10" s="2697"/>
      <c r="I10" s="2697"/>
      <c r="J10" s="2697"/>
      <c r="K10" s="2697"/>
      <c r="L10" s="2697"/>
      <c r="M10" s="2697"/>
      <c r="N10" s="2697"/>
      <c r="O10" s="2697"/>
      <c r="P10" s="2697"/>
      <c r="Q10" s="2697"/>
      <c r="R10" s="2697"/>
      <c r="S10" s="816"/>
    </row>
    <row r="11" spans="1:19" ht="15" customHeight="1">
      <c r="A11" s="815"/>
      <c r="B11" s="2697"/>
      <c r="C11" s="2697"/>
      <c r="D11" s="2697"/>
      <c r="E11" s="2697"/>
      <c r="F11" s="2697"/>
      <c r="G11" s="2697"/>
      <c r="H11" s="2697"/>
      <c r="I11" s="2697"/>
      <c r="J11" s="2697"/>
      <c r="K11" s="2697"/>
      <c r="L11" s="2697"/>
      <c r="M11" s="2697"/>
      <c r="N11" s="2697"/>
      <c r="O11" s="2697"/>
      <c r="P11" s="2697"/>
      <c r="Q11" s="2697"/>
      <c r="R11" s="2697"/>
      <c r="S11" s="816"/>
    </row>
    <row r="12" spans="1:19" ht="15" customHeight="1">
      <c r="A12" s="815"/>
      <c r="B12" s="1052"/>
      <c r="C12" s="1052"/>
      <c r="D12" s="1052"/>
      <c r="E12" s="1052"/>
      <c r="F12" s="1052"/>
      <c r="G12" s="1052"/>
      <c r="H12" s="1052"/>
      <c r="I12" s="1052"/>
      <c r="J12" s="1052"/>
      <c r="K12" s="1052"/>
      <c r="L12" s="1052"/>
      <c r="M12" s="1052"/>
      <c r="N12" s="1052"/>
      <c r="O12" s="1052"/>
      <c r="P12" s="1052"/>
      <c r="Q12" s="1052"/>
      <c r="R12" s="1052"/>
      <c r="S12" s="816"/>
    </row>
    <row r="13" spans="1:19" ht="15" customHeight="1">
      <c r="A13" s="815"/>
      <c r="B13" s="2697" t="s">
        <v>2224</v>
      </c>
      <c r="C13" s="2697"/>
      <c r="D13" s="2697"/>
      <c r="E13" s="2697"/>
      <c r="F13" s="2697"/>
      <c r="G13" s="2697"/>
      <c r="H13" s="2697"/>
      <c r="I13" s="2697"/>
      <c r="J13" s="2697"/>
      <c r="K13" s="2697"/>
      <c r="L13" s="2697"/>
      <c r="M13" s="2697"/>
      <c r="N13" s="2697"/>
      <c r="O13" s="2697"/>
      <c r="P13" s="2697"/>
      <c r="Q13" s="2697"/>
      <c r="R13" s="2697"/>
      <c r="S13" s="816"/>
    </row>
    <row r="14" spans="1:19" ht="15" customHeight="1">
      <c r="A14" s="815"/>
      <c r="B14" s="2697"/>
      <c r="C14" s="2697"/>
      <c r="D14" s="2697"/>
      <c r="E14" s="2697"/>
      <c r="F14" s="2697"/>
      <c r="G14" s="2697"/>
      <c r="H14" s="2697"/>
      <c r="I14" s="2697"/>
      <c r="J14" s="2697"/>
      <c r="K14" s="2697"/>
      <c r="L14" s="2697"/>
      <c r="M14" s="2697"/>
      <c r="N14" s="2697"/>
      <c r="O14" s="2697"/>
      <c r="P14" s="2697"/>
      <c r="Q14" s="2697"/>
      <c r="R14" s="2697"/>
      <c r="S14" s="816"/>
    </row>
    <row r="15" spans="1:19" ht="15" customHeight="1">
      <c r="A15" s="815"/>
      <c r="B15" s="2697"/>
      <c r="C15" s="2697"/>
      <c r="D15" s="2697"/>
      <c r="E15" s="2697"/>
      <c r="F15" s="2697"/>
      <c r="G15" s="2697"/>
      <c r="H15" s="2697"/>
      <c r="I15" s="2697"/>
      <c r="J15" s="2697"/>
      <c r="K15" s="2697"/>
      <c r="L15" s="2697"/>
      <c r="M15" s="2697"/>
      <c r="N15" s="2697"/>
      <c r="O15" s="2697"/>
      <c r="P15" s="2697"/>
      <c r="Q15" s="2697"/>
      <c r="R15" s="2697"/>
      <c r="S15" s="816"/>
    </row>
    <row r="16" spans="1:19" ht="15" customHeight="1">
      <c r="A16" s="815"/>
      <c r="B16" s="2697"/>
      <c r="C16" s="2697"/>
      <c r="D16" s="2697"/>
      <c r="E16" s="2697"/>
      <c r="F16" s="2697"/>
      <c r="G16" s="2697"/>
      <c r="H16" s="2697"/>
      <c r="I16" s="2697"/>
      <c r="J16" s="2697"/>
      <c r="K16" s="2697"/>
      <c r="L16" s="2697"/>
      <c r="M16" s="2697"/>
      <c r="N16" s="2697"/>
      <c r="O16" s="2697"/>
      <c r="P16" s="2697"/>
      <c r="Q16" s="2697"/>
      <c r="R16" s="2697"/>
      <c r="S16" s="816"/>
    </row>
    <row r="17" spans="1:19" ht="15" customHeight="1">
      <c r="A17" s="815"/>
      <c r="B17" s="2697"/>
      <c r="C17" s="2697"/>
      <c r="D17" s="2697"/>
      <c r="E17" s="2697"/>
      <c r="F17" s="2697"/>
      <c r="G17" s="2697"/>
      <c r="H17" s="2697"/>
      <c r="I17" s="2697"/>
      <c r="J17" s="2697"/>
      <c r="K17" s="2697"/>
      <c r="L17" s="2697"/>
      <c r="M17" s="2697"/>
      <c r="N17" s="2697"/>
      <c r="O17" s="2697"/>
      <c r="P17" s="2697"/>
      <c r="Q17" s="2697"/>
      <c r="R17" s="2697"/>
      <c r="S17" s="816"/>
    </row>
    <row r="18" spans="1:19" ht="15" customHeight="1">
      <c r="A18" s="815"/>
      <c r="B18" s="793"/>
      <c r="C18" s="815"/>
      <c r="D18" s="815"/>
      <c r="E18" s="815"/>
      <c r="F18" s="815"/>
      <c r="G18" s="815"/>
      <c r="H18" s="815"/>
      <c r="I18" s="815"/>
      <c r="J18" s="815"/>
      <c r="K18" s="815"/>
      <c r="L18" s="815"/>
      <c r="M18" s="815"/>
      <c r="N18" s="815"/>
      <c r="O18" s="815"/>
      <c r="P18" s="815"/>
      <c r="Q18" s="815"/>
      <c r="R18" s="815"/>
      <c r="S18" s="816"/>
    </row>
    <row r="19" spans="1:19" ht="15" customHeight="1">
      <c r="A19" s="815"/>
      <c r="B19" s="2698" t="s">
        <v>2034</v>
      </c>
      <c r="C19" s="2698"/>
      <c r="D19" s="2698"/>
      <c r="E19" s="2698"/>
      <c r="F19" s="2698"/>
      <c r="G19" s="2698"/>
      <c r="H19" s="2698"/>
      <c r="I19" s="2698"/>
      <c r="J19" s="2698"/>
      <c r="K19" s="2698"/>
      <c r="L19" s="2698"/>
      <c r="M19" s="2698"/>
      <c r="N19" s="2698"/>
      <c r="O19" s="2698"/>
      <c r="P19" s="2698"/>
      <c r="Q19" s="2698"/>
      <c r="R19" s="2698"/>
      <c r="S19" s="816"/>
    </row>
    <row r="20" spans="1:19" ht="15" customHeight="1">
      <c r="A20" s="815"/>
      <c r="B20" s="2698"/>
      <c r="C20" s="2698"/>
      <c r="D20" s="2698"/>
      <c r="E20" s="2698"/>
      <c r="F20" s="2698"/>
      <c r="G20" s="2698"/>
      <c r="H20" s="2698"/>
      <c r="I20" s="2698"/>
      <c r="J20" s="2698"/>
      <c r="K20" s="2698"/>
      <c r="L20" s="2698"/>
      <c r="M20" s="2698"/>
      <c r="N20" s="2698"/>
      <c r="O20" s="2698"/>
      <c r="P20" s="2698"/>
      <c r="Q20" s="2698"/>
      <c r="R20" s="2698"/>
      <c r="S20" s="816"/>
    </row>
    <row r="21" spans="1:19" ht="15" customHeight="1">
      <c r="A21" s="815"/>
      <c r="B21" s="2698"/>
      <c r="C21" s="2698"/>
      <c r="D21" s="2698"/>
      <c r="E21" s="2698"/>
      <c r="F21" s="2698"/>
      <c r="G21" s="2698"/>
      <c r="H21" s="2698"/>
      <c r="I21" s="2698"/>
      <c r="J21" s="2698"/>
      <c r="K21" s="2698"/>
      <c r="L21" s="2698"/>
      <c r="M21" s="2698"/>
      <c r="N21" s="2698"/>
      <c r="O21" s="2698"/>
      <c r="P21" s="2698"/>
      <c r="Q21" s="2698"/>
      <c r="R21" s="2698"/>
      <c r="S21" s="816"/>
    </row>
    <row r="22" spans="1:19" ht="15" customHeight="1">
      <c r="A22" s="815"/>
      <c r="B22" s="1051"/>
      <c r="C22" s="1051"/>
      <c r="D22" s="1051"/>
      <c r="E22" s="1051"/>
      <c r="F22" s="1051"/>
      <c r="G22" s="1051"/>
      <c r="H22" s="1051"/>
      <c r="I22" s="1051"/>
      <c r="J22" s="1051"/>
      <c r="K22" s="1051"/>
      <c r="L22" s="1051"/>
      <c r="M22" s="1051"/>
      <c r="N22" s="1051"/>
      <c r="O22" s="1051"/>
      <c r="P22" s="1051"/>
      <c r="Q22" s="1051"/>
      <c r="R22" s="1051"/>
      <c r="S22" s="816"/>
    </row>
    <row r="23" spans="1:19" ht="15" customHeight="1">
      <c r="A23" s="815"/>
      <c r="B23" s="2698" t="s">
        <v>2035</v>
      </c>
      <c r="C23" s="2698"/>
      <c r="D23" s="2698"/>
      <c r="E23" s="2698"/>
      <c r="F23" s="2698"/>
      <c r="G23" s="2698"/>
      <c r="H23" s="2698"/>
      <c r="I23" s="2698"/>
      <c r="J23" s="2698"/>
      <c r="K23" s="2698"/>
      <c r="L23" s="2698"/>
      <c r="M23" s="2698"/>
      <c r="N23" s="2698"/>
      <c r="O23" s="2698"/>
      <c r="P23" s="2698"/>
      <c r="Q23" s="2698"/>
      <c r="R23" s="2698"/>
      <c r="S23" s="816"/>
    </row>
    <row r="24" spans="1:19" ht="15" customHeight="1">
      <c r="A24" s="817"/>
      <c r="B24" s="2698"/>
      <c r="C24" s="2698"/>
      <c r="D24" s="2698"/>
      <c r="E24" s="2698"/>
      <c r="F24" s="2698"/>
      <c r="G24" s="2698"/>
      <c r="H24" s="2698"/>
      <c r="I24" s="2698"/>
      <c r="J24" s="2698"/>
      <c r="K24" s="2698"/>
      <c r="L24" s="2698"/>
      <c r="M24" s="2698"/>
      <c r="N24" s="2698"/>
      <c r="O24" s="2698"/>
      <c r="P24" s="2698"/>
      <c r="Q24" s="2698"/>
      <c r="R24" s="2698"/>
      <c r="S24" s="817"/>
    </row>
    <row r="25" spans="1:19" ht="15" customHeight="1">
      <c r="A25" s="817"/>
      <c r="B25" s="1051"/>
      <c r="C25" s="1051"/>
      <c r="D25" s="1051"/>
      <c r="E25" s="1051"/>
      <c r="F25" s="1051"/>
      <c r="G25" s="1051"/>
      <c r="H25" s="1051"/>
      <c r="I25" s="1051"/>
      <c r="J25" s="1051"/>
      <c r="K25" s="1051"/>
      <c r="L25" s="1051"/>
      <c r="M25" s="1051"/>
      <c r="N25" s="1051"/>
      <c r="O25" s="1051"/>
      <c r="P25" s="1051"/>
      <c r="Q25" s="1051"/>
      <c r="R25" s="1051"/>
      <c r="S25" s="817"/>
    </row>
    <row r="26" spans="1:19" ht="15" customHeight="1">
      <c r="A26" s="817"/>
      <c r="B26" s="2696" t="s">
        <v>1910</v>
      </c>
      <c r="C26" s="2696"/>
      <c r="D26" s="2696"/>
      <c r="E26" s="2696"/>
      <c r="F26" s="2696"/>
      <c r="G26" s="2696"/>
      <c r="H26" s="2696"/>
      <c r="I26" s="2696"/>
      <c r="J26" s="2696"/>
      <c r="K26" s="2696"/>
      <c r="L26" s="2696"/>
      <c r="M26" s="2696"/>
      <c r="N26" s="2696"/>
      <c r="O26" s="2696"/>
      <c r="P26" s="2696"/>
      <c r="Q26" s="2696"/>
      <c r="R26" s="2696"/>
      <c r="S26" s="817"/>
    </row>
    <row r="27" spans="1:19" ht="15" customHeight="1">
      <c r="A27" s="817"/>
      <c r="B27" s="1051"/>
      <c r="C27" s="1051"/>
      <c r="D27" s="1051"/>
      <c r="E27" s="1051"/>
      <c r="F27" s="1051"/>
      <c r="G27" s="1051"/>
      <c r="H27" s="1051"/>
      <c r="I27" s="1051"/>
      <c r="J27" s="1051"/>
      <c r="K27" s="1051"/>
      <c r="L27" s="1051"/>
      <c r="M27" s="1051"/>
      <c r="N27" s="1051"/>
      <c r="O27" s="1051"/>
      <c r="P27" s="1051"/>
      <c r="Q27" s="1051"/>
      <c r="R27" s="1051"/>
      <c r="S27" s="817"/>
    </row>
    <row r="28" spans="1:19" ht="15" customHeight="1">
      <c r="A28" s="817"/>
      <c r="B28" s="818" t="s">
        <v>156</v>
      </c>
      <c r="C28" s="817"/>
      <c r="D28" s="817"/>
      <c r="E28" s="817"/>
      <c r="F28" s="817"/>
      <c r="G28" s="817"/>
      <c r="H28" s="817"/>
      <c r="I28" s="817"/>
      <c r="J28" s="817"/>
      <c r="K28" s="817"/>
      <c r="L28" s="817"/>
      <c r="M28" s="817"/>
      <c r="N28" s="817"/>
      <c r="O28" s="817"/>
      <c r="P28" s="817"/>
      <c r="Q28" s="817"/>
      <c r="R28" s="817"/>
      <c r="S28" s="817"/>
    </row>
    <row r="29" spans="1:19" ht="15" customHeight="1">
      <c r="A29" s="817"/>
      <c r="B29" s="2703" t="s">
        <v>1814</v>
      </c>
      <c r="C29" s="2703"/>
      <c r="D29" s="2703"/>
      <c r="E29" s="2703"/>
      <c r="F29" s="2703"/>
      <c r="G29" s="2703"/>
      <c r="H29" s="819"/>
      <c r="I29" s="819"/>
      <c r="J29" s="819"/>
      <c r="K29" s="819"/>
      <c r="L29" s="819"/>
      <c r="M29" s="819"/>
      <c r="N29" s="819"/>
      <c r="O29" s="2701" t="s">
        <v>1823</v>
      </c>
      <c r="P29" s="817"/>
      <c r="Q29" s="817"/>
      <c r="R29" s="817"/>
      <c r="S29" s="817"/>
    </row>
    <row r="30" spans="1:19" ht="15" customHeight="1">
      <c r="A30" s="817"/>
      <c r="B30" s="2703"/>
      <c r="C30" s="2703"/>
      <c r="D30" s="2703"/>
      <c r="E30" s="2703"/>
      <c r="F30" s="2703"/>
      <c r="G30" s="2703"/>
      <c r="H30" s="819"/>
      <c r="I30" s="819"/>
      <c r="J30" s="819"/>
      <c r="K30" s="819"/>
      <c r="L30" s="819"/>
      <c r="M30" s="819"/>
      <c r="N30" s="819"/>
      <c r="O30" s="2701"/>
      <c r="P30" s="817"/>
      <c r="Q30" s="817"/>
      <c r="R30" s="817"/>
      <c r="S30" s="817"/>
    </row>
    <row r="31" spans="1:19" ht="15" customHeight="1">
      <c r="A31" s="817"/>
      <c r="B31" s="2703"/>
      <c r="C31" s="2703"/>
      <c r="D31" s="2703"/>
      <c r="E31" s="2703"/>
      <c r="F31" s="2703"/>
      <c r="G31" s="2703"/>
      <c r="H31" s="819"/>
      <c r="I31" s="819"/>
      <c r="J31" s="819"/>
      <c r="K31" s="819"/>
      <c r="L31" s="819"/>
      <c r="M31" s="819"/>
      <c r="N31" s="819"/>
      <c r="O31" s="2701"/>
      <c r="P31" s="817"/>
      <c r="Q31" s="817"/>
      <c r="R31" s="817"/>
      <c r="S31" s="817"/>
    </row>
    <row r="32" spans="1:19" ht="15" customHeight="1">
      <c r="A32" s="817"/>
      <c r="B32" s="2704"/>
      <c r="C32" s="2704"/>
      <c r="D32" s="2704"/>
      <c r="E32" s="2704"/>
      <c r="F32" s="2704"/>
      <c r="G32" s="2704"/>
      <c r="H32" s="817"/>
      <c r="I32" s="2670" t="s">
        <v>155</v>
      </c>
      <c r="J32" s="2662" t="s">
        <v>1096</v>
      </c>
      <c r="K32" s="2705">
        <v>1</v>
      </c>
      <c r="L32" s="817"/>
      <c r="M32" s="820"/>
      <c r="N32" s="817"/>
      <c r="O32" s="2702"/>
      <c r="P32" s="2662" t="s">
        <v>2222</v>
      </c>
      <c r="Q32" s="817"/>
      <c r="R32" s="817"/>
      <c r="S32" s="817"/>
    </row>
    <row r="33" spans="1:19" ht="15" customHeight="1">
      <c r="A33" s="817"/>
      <c r="B33" s="2660" t="s">
        <v>1818</v>
      </c>
      <c r="C33" s="2660"/>
      <c r="D33" s="2660"/>
      <c r="E33" s="2660"/>
      <c r="F33" s="2660"/>
      <c r="G33" s="2660"/>
      <c r="H33" s="817"/>
      <c r="I33" s="2670"/>
      <c r="J33" s="2662"/>
      <c r="K33" s="2705"/>
      <c r="L33" s="817"/>
      <c r="M33" s="821"/>
      <c r="N33" s="817"/>
      <c r="O33" s="2660" t="s">
        <v>1818</v>
      </c>
      <c r="P33" s="2662"/>
      <c r="Q33" s="817"/>
      <c r="R33" s="817"/>
      <c r="S33" s="817"/>
    </row>
    <row r="34" spans="1:19" ht="15" customHeight="1">
      <c r="A34" s="817"/>
      <c r="B34" s="2661"/>
      <c r="C34" s="2661"/>
      <c r="D34" s="2661"/>
      <c r="E34" s="2661"/>
      <c r="F34" s="2661"/>
      <c r="G34" s="2661"/>
      <c r="H34" s="817"/>
      <c r="I34" s="1049"/>
      <c r="J34" s="1048"/>
      <c r="K34" s="1050"/>
      <c r="L34" s="817"/>
      <c r="M34" s="821"/>
      <c r="N34" s="817"/>
      <c r="O34" s="2661"/>
      <c r="P34" s="1048"/>
      <c r="Q34" s="817"/>
      <c r="R34" s="817"/>
      <c r="S34" s="817"/>
    </row>
    <row r="35" spans="1:19" ht="12" customHeight="1">
      <c r="A35" s="817"/>
      <c r="B35" s="822"/>
      <c r="C35" s="822"/>
      <c r="D35" s="822"/>
      <c r="E35" s="822"/>
      <c r="F35" s="822"/>
      <c r="G35" s="822"/>
      <c r="H35" s="823"/>
      <c r="I35" s="824"/>
      <c r="J35" s="825"/>
      <c r="K35" s="826"/>
      <c r="L35" s="823"/>
      <c r="M35" s="820"/>
      <c r="N35" s="823"/>
      <c r="O35" s="822"/>
      <c r="P35" s="825"/>
      <c r="Q35" s="823"/>
      <c r="R35" s="823"/>
      <c r="S35" s="817"/>
    </row>
    <row r="36" spans="1:19" ht="15" customHeight="1">
      <c r="A36" s="817"/>
      <c r="B36" s="1042"/>
      <c r="C36" s="1042"/>
      <c r="D36" s="1042"/>
      <c r="E36" s="1042"/>
      <c r="F36" s="1042"/>
      <c r="G36" s="1042"/>
      <c r="H36" s="817"/>
      <c r="I36" s="1040"/>
      <c r="J36" s="1039"/>
      <c r="K36" s="1041"/>
      <c r="L36" s="817"/>
      <c r="M36" s="821"/>
      <c r="N36" s="817"/>
      <c r="O36" s="1042"/>
      <c r="P36" s="1039"/>
      <c r="Q36" s="817"/>
      <c r="R36" s="817"/>
      <c r="S36" s="817"/>
    </row>
    <row r="37" spans="1:19" ht="15" customHeight="1">
      <c r="A37" s="827"/>
      <c r="B37" s="2684" t="s">
        <v>1806</v>
      </c>
      <c r="C37" s="2684"/>
      <c r="D37" s="2684"/>
      <c r="E37" s="2684"/>
      <c r="F37" s="828"/>
      <c r="G37" s="828"/>
      <c r="H37" s="829"/>
      <c r="I37" s="830"/>
      <c r="J37" s="830"/>
      <c r="P37" s="817"/>
      <c r="Q37" s="831"/>
      <c r="R37" s="831"/>
      <c r="S37" s="817"/>
    </row>
    <row r="38" spans="1:19" ht="15" customHeight="1">
      <c r="A38" s="817"/>
      <c r="B38" s="2689" t="s">
        <v>1824</v>
      </c>
      <c r="C38" s="2689"/>
      <c r="D38" s="2689"/>
      <c r="E38" s="2689"/>
      <c r="F38" s="1044"/>
      <c r="G38" s="832">
        <f>D110</f>
        <v>703158.85650509375</v>
      </c>
      <c r="H38" s="833"/>
      <c r="I38" s="834"/>
      <c r="J38" s="833"/>
      <c r="L38" s="1324"/>
      <c r="M38" s="1324"/>
      <c r="N38" s="1324"/>
      <c r="O38" s="1324"/>
      <c r="P38" s="780"/>
      <c r="Q38" s="2659"/>
      <c r="R38" s="2659"/>
      <c r="S38" s="780"/>
    </row>
    <row r="39" spans="1:19" ht="15" customHeight="1">
      <c r="A39" s="596"/>
      <c r="B39" s="2690" t="s">
        <v>1419</v>
      </c>
      <c r="C39" s="2690"/>
      <c r="D39" s="2690"/>
      <c r="E39" s="2690"/>
      <c r="F39" s="1044"/>
      <c r="G39" s="1001"/>
      <c r="H39" s="833"/>
      <c r="I39" s="834"/>
      <c r="J39" s="833"/>
      <c r="L39" s="833"/>
      <c r="M39" s="831"/>
      <c r="N39" s="831"/>
      <c r="O39" s="831"/>
      <c r="P39" s="780"/>
      <c r="Q39" s="1181"/>
      <c r="R39" s="1181"/>
      <c r="S39" s="780"/>
    </row>
    <row r="40" spans="1:19" ht="15" customHeight="1">
      <c r="A40" s="596"/>
      <c r="B40" s="2690" t="s">
        <v>1420</v>
      </c>
      <c r="C40" s="2690"/>
      <c r="D40" s="2690"/>
      <c r="E40" s="2690"/>
      <c r="F40" s="1044"/>
      <c r="G40" s="1001"/>
      <c r="H40" s="833"/>
      <c r="I40" s="834"/>
      <c r="J40" s="833"/>
      <c r="K40" s="2694"/>
      <c r="L40" s="2694"/>
      <c r="M40" s="2694"/>
      <c r="N40" s="2694"/>
      <c r="O40" s="2694"/>
      <c r="P40" s="1073"/>
      <c r="Q40" s="2659"/>
      <c r="R40" s="2659"/>
      <c r="S40" s="817"/>
    </row>
    <row r="41" spans="1:19" ht="15" customHeight="1">
      <c r="A41" s="596"/>
      <c r="B41" s="2691" t="s">
        <v>1819</v>
      </c>
      <c r="C41" s="2691"/>
      <c r="D41" s="2691"/>
      <c r="E41" s="2691"/>
      <c r="F41" s="1044"/>
      <c r="G41" s="833"/>
      <c r="H41" s="833"/>
      <c r="I41" s="834"/>
      <c r="J41" s="833"/>
      <c r="K41" s="833"/>
      <c r="L41" s="833"/>
      <c r="M41" s="831"/>
      <c r="N41" s="831"/>
      <c r="O41" s="831"/>
      <c r="P41" s="780"/>
      <c r="Q41" s="835"/>
      <c r="R41" s="835"/>
      <c r="S41" s="817"/>
    </row>
    <row r="42" spans="1:19" ht="15" customHeight="1">
      <c r="A42" s="596"/>
      <c r="B42" s="1003" t="str">
        <f>Application!C632</f>
        <v>Housing Relinquished Fund Corp</v>
      </c>
      <c r="C42" s="1003"/>
      <c r="D42" s="996"/>
      <c r="E42" s="1047">
        <f>Application!AO632</f>
        <v>1800000</v>
      </c>
      <c r="F42" s="1044"/>
      <c r="G42" s="833"/>
      <c r="H42" s="833"/>
      <c r="I42" s="834"/>
      <c r="J42" s="833"/>
      <c r="K42" s="2694"/>
      <c r="L42" s="2694"/>
      <c r="M42" s="2694"/>
      <c r="N42" s="2694"/>
      <c r="O42" s="2694"/>
      <c r="P42" s="1073"/>
      <c r="Q42" s="2659"/>
      <c r="R42" s="2659"/>
      <c r="S42" s="817"/>
    </row>
    <row r="43" spans="1:19" ht="15" customHeight="1">
      <c r="A43" s="596"/>
      <c r="B43" s="1003" t="str">
        <f>Application!C633</f>
        <v>City of Fresno Loan</v>
      </c>
      <c r="C43" s="1003"/>
      <c r="D43" s="812"/>
      <c r="E43" s="1313">
        <f>Application!AO633</f>
        <v>2700000</v>
      </c>
      <c r="F43" s="1044"/>
      <c r="G43" s="833"/>
      <c r="H43" s="833"/>
      <c r="I43" s="834"/>
      <c r="J43" s="833"/>
      <c r="L43" s="833"/>
      <c r="M43" s="831"/>
      <c r="N43" s="831"/>
      <c r="O43" s="831"/>
      <c r="P43" s="780"/>
      <c r="Q43" s="835"/>
      <c r="R43" s="835"/>
      <c r="S43" s="817"/>
    </row>
    <row r="44" spans="1:19" ht="15" customHeight="1">
      <c r="A44" s="596"/>
      <c r="B44" s="1003" t="str">
        <f>Application!C635</f>
        <v>NPLH Capital</v>
      </c>
      <c r="C44" s="1003"/>
      <c r="D44" s="812"/>
      <c r="E44" s="1047">
        <f>Application!AO635</f>
        <v>1300000</v>
      </c>
      <c r="F44" s="1044"/>
      <c r="G44" s="833"/>
      <c r="H44" s="833"/>
      <c r="I44" s="834"/>
      <c r="K44" s="1330" t="s">
        <v>2104</v>
      </c>
      <c r="P44" s="1073"/>
      <c r="Q44" s="2659"/>
      <c r="R44" s="2659"/>
      <c r="S44" s="817"/>
    </row>
    <row r="45" spans="1:19" ht="15" customHeight="1">
      <c r="A45" s="596"/>
      <c r="B45" s="1003"/>
      <c r="C45" s="1003"/>
      <c r="D45" s="812"/>
      <c r="E45" s="1047"/>
      <c r="F45" s="1044"/>
      <c r="G45" s="833"/>
      <c r="H45" s="833"/>
      <c r="I45" s="834"/>
      <c r="K45" s="1331" t="s">
        <v>2099</v>
      </c>
      <c r="L45" s="1331"/>
      <c r="M45" s="833"/>
      <c r="N45" s="833"/>
      <c r="O45" s="833"/>
      <c r="P45" s="833"/>
      <c r="Q45" s="596"/>
      <c r="R45" s="596"/>
      <c r="S45" s="817"/>
    </row>
    <row r="46" spans="1:19" ht="15" customHeight="1">
      <c r="A46" s="596"/>
      <c r="B46" s="1003"/>
      <c r="C46" s="1003"/>
      <c r="D46" s="812"/>
      <c r="E46" s="1047"/>
      <c r="F46" s="1044"/>
      <c r="G46" s="833"/>
      <c r="H46" s="833"/>
      <c r="I46" s="834"/>
      <c r="J46" s="833"/>
      <c r="K46" s="2665" t="s">
        <v>2100</v>
      </c>
      <c r="L46" s="2665"/>
      <c r="M46" s="2665"/>
      <c r="N46" s="2665"/>
      <c r="O46" s="2665"/>
      <c r="P46" s="817"/>
      <c r="Q46" s="2663"/>
      <c r="R46" s="2663"/>
      <c r="S46" s="817"/>
    </row>
    <row r="47" spans="1:19" ht="15" customHeight="1">
      <c r="A47" s="596"/>
      <c r="B47" s="1003"/>
      <c r="C47" s="1003"/>
      <c r="D47" s="812"/>
      <c r="E47" s="1047"/>
      <c r="F47" s="1044"/>
      <c r="G47" s="833"/>
      <c r="H47" s="833"/>
      <c r="I47" s="834"/>
      <c r="J47" s="833"/>
      <c r="K47" s="2664" t="s">
        <v>2101</v>
      </c>
      <c r="L47" s="2664"/>
      <c r="M47" s="2664"/>
      <c r="N47" s="2664"/>
      <c r="O47" s="2664"/>
      <c r="P47" s="817"/>
      <c r="Q47" s="2700"/>
      <c r="R47" s="2700"/>
      <c r="S47" s="817"/>
    </row>
    <row r="48" spans="1:19" ht="15" customHeight="1">
      <c r="A48" s="596"/>
      <c r="B48" s="1003"/>
      <c r="C48" s="1003"/>
      <c r="D48" s="812"/>
      <c r="E48" s="1047"/>
      <c r="F48" s="1044"/>
      <c r="G48" s="833"/>
      <c r="H48" s="833"/>
      <c r="I48" s="834"/>
      <c r="J48" s="833"/>
      <c r="K48" s="2699" t="s">
        <v>2102</v>
      </c>
      <c r="L48" s="2699"/>
      <c r="M48" s="2699"/>
      <c r="N48" s="2699"/>
      <c r="O48" s="2699"/>
      <c r="P48" s="817"/>
      <c r="Q48" s="2665">
        <f>Q46+Q47</f>
        <v>0</v>
      </c>
      <c r="R48" s="2665"/>
      <c r="S48" s="817"/>
    </row>
    <row r="49" spans="1:29" ht="15" customHeight="1">
      <c r="A49" s="596"/>
      <c r="B49" s="1003"/>
      <c r="C49" s="1003"/>
      <c r="D49" s="812"/>
      <c r="E49" s="1047"/>
      <c r="F49" s="1044"/>
      <c r="G49" s="833"/>
      <c r="H49" s="833"/>
      <c r="I49" s="834"/>
      <c r="J49" s="833"/>
      <c r="K49" s="596"/>
      <c r="L49" s="596"/>
      <c r="M49" s="596"/>
      <c r="N49" s="596"/>
      <c r="O49" s="596"/>
      <c r="P49" s="596"/>
      <c r="Q49" s="596"/>
      <c r="R49" s="596"/>
      <c r="S49" s="817"/>
    </row>
    <row r="50" spans="1:29" ht="15" customHeight="1">
      <c r="A50" s="596"/>
      <c r="B50" s="999" t="s">
        <v>1913</v>
      </c>
      <c r="C50" s="999"/>
      <c r="D50" s="1002"/>
      <c r="E50" s="1000">
        <f>'Sources and Uses Budget'!B15</f>
        <v>0</v>
      </c>
      <c r="F50" s="1044"/>
      <c r="G50" s="833"/>
      <c r="H50" s="833"/>
      <c r="I50" s="834"/>
      <c r="J50" s="833"/>
      <c r="K50" s="596"/>
      <c r="L50" s="596"/>
      <c r="M50" s="596"/>
      <c r="N50" s="596"/>
      <c r="O50" s="596"/>
      <c r="P50" s="596"/>
      <c r="Q50" s="596"/>
      <c r="R50" s="596"/>
      <c r="S50" s="817"/>
    </row>
    <row r="51" spans="1:29" ht="15" customHeight="1">
      <c r="A51" s="596"/>
      <c r="B51" s="998" t="s">
        <v>1488</v>
      </c>
      <c r="C51" s="998"/>
      <c r="D51" s="1002"/>
      <c r="E51" s="1000">
        <v>125000</v>
      </c>
      <c r="F51" s="1044"/>
      <c r="G51" s="833"/>
      <c r="H51" s="833"/>
      <c r="I51" s="834"/>
      <c r="J51" s="833"/>
      <c r="K51" s="596"/>
      <c r="L51" s="596"/>
      <c r="M51" s="596"/>
      <c r="N51" s="596"/>
      <c r="O51" s="596"/>
      <c r="P51" s="596"/>
      <c r="Q51" s="596"/>
      <c r="R51" s="596"/>
      <c r="S51" s="817"/>
    </row>
    <row r="52" spans="1:29" s="816" customFormat="1" ht="15" customHeight="1">
      <c r="B52" s="2689" t="s">
        <v>1815</v>
      </c>
      <c r="C52" s="2689"/>
      <c r="D52" s="2689"/>
      <c r="E52" s="2689"/>
      <c r="F52" s="1044"/>
      <c r="G52" s="832">
        <f>SUM(E42:E49)-ABS(E50)-ABS(E51)</f>
        <v>5675000</v>
      </c>
      <c r="H52" s="833"/>
      <c r="I52" s="834"/>
      <c r="J52" s="833"/>
    </row>
    <row r="53" spans="1:29" ht="15" customHeight="1">
      <c r="A53" s="596"/>
      <c r="B53" s="817"/>
      <c r="C53" s="838"/>
      <c r="D53" s="838" t="s">
        <v>974</v>
      </c>
      <c r="E53" s="839"/>
      <c r="F53" s="839"/>
      <c r="G53" s="840">
        <f>SUM(G38:G40)+G52</f>
        <v>6378158.8565050941</v>
      </c>
      <c r="H53" s="836"/>
      <c r="I53" s="834"/>
      <c r="J53" s="833"/>
      <c r="K53" s="833"/>
      <c r="L53" s="833"/>
      <c r="M53" s="817"/>
      <c r="N53" s="817"/>
      <c r="O53" s="817"/>
      <c r="P53" s="817"/>
      <c r="Q53" s="817"/>
      <c r="R53" s="817"/>
      <c r="S53" s="817"/>
    </row>
    <row r="54" spans="1:29" ht="15" customHeight="1">
      <c r="A54" s="596"/>
      <c r="B54" s="841"/>
      <c r="C54" s="841"/>
      <c r="D54" s="841"/>
      <c r="E54" s="841"/>
      <c r="F54" s="841"/>
      <c r="G54" s="841"/>
      <c r="H54" s="823"/>
      <c r="I54" s="837"/>
      <c r="J54" s="837"/>
      <c r="K54" s="837"/>
      <c r="L54" s="837"/>
      <c r="M54" s="837"/>
      <c r="N54" s="837"/>
      <c r="O54" s="823"/>
      <c r="P54" s="823"/>
      <c r="Q54" s="823"/>
      <c r="R54" s="823"/>
      <c r="S54" s="817"/>
    </row>
    <row r="55" spans="1:29" ht="15" customHeight="1">
      <c r="A55" s="596"/>
      <c r="B55" s="1044"/>
      <c r="C55" s="1044"/>
      <c r="D55" s="1044"/>
      <c r="E55" s="1044"/>
      <c r="F55" s="1044"/>
      <c r="G55" s="1044"/>
      <c r="H55" s="1044"/>
      <c r="I55" s="1044"/>
      <c r="J55" s="1044"/>
      <c r="K55" s="1044"/>
      <c r="L55" s="1044"/>
      <c r="M55" s="1044"/>
      <c r="N55" s="1044"/>
      <c r="O55" s="1044"/>
      <c r="P55" s="1044"/>
      <c r="Q55" s="817"/>
      <c r="R55" s="817"/>
      <c r="S55" s="817"/>
      <c r="U55" s="1259" t="s">
        <v>136</v>
      </c>
      <c r="AC55" s="1259" t="s">
        <v>1078</v>
      </c>
    </row>
    <row r="56" spans="1:29" ht="15" customHeight="1">
      <c r="A56" s="596"/>
      <c r="B56" s="2692" t="s">
        <v>1398</v>
      </c>
      <c r="C56" s="2692"/>
      <c r="D56" s="1044"/>
      <c r="E56" s="1044"/>
      <c r="F56" s="1044"/>
      <c r="G56" s="1044"/>
      <c r="H56" s="1044"/>
      <c r="I56" s="1044"/>
      <c r="J56" s="1044"/>
      <c r="K56" s="1044"/>
      <c r="L56" s="1044"/>
      <c r="M56" s="1044"/>
      <c r="N56" s="1044"/>
      <c r="O56" s="1044"/>
      <c r="P56" s="1044"/>
      <c r="Q56" s="817"/>
      <c r="R56" s="817"/>
      <c r="S56" s="817"/>
      <c r="U56" s="1258" t="s">
        <v>2028</v>
      </c>
      <c r="AC56" s="1312">
        <v>0.2</v>
      </c>
    </row>
    <row r="57" spans="1:29" ht="15" customHeight="1">
      <c r="A57" s="836"/>
      <c r="B57" s="2693" t="s">
        <v>1809</v>
      </c>
      <c r="C57" s="2693"/>
      <c r="D57" s="2693"/>
      <c r="E57" s="2693"/>
      <c r="F57" s="2693"/>
      <c r="G57" s="2693"/>
      <c r="H57" s="2693"/>
      <c r="I57" s="2693"/>
      <c r="J57" s="2693"/>
      <c r="K57" s="2693"/>
      <c r="L57" s="2693"/>
      <c r="M57" s="2693"/>
      <c r="N57" s="2693"/>
      <c r="O57" s="2693"/>
      <c r="P57" s="1044"/>
      <c r="Q57" s="817"/>
      <c r="R57" s="817"/>
      <c r="S57" s="817"/>
      <c r="U57" s="1258" t="s">
        <v>2029</v>
      </c>
      <c r="AC57" s="1312">
        <v>0.1</v>
      </c>
    </row>
    <row r="58" spans="1:29" ht="15" customHeight="1">
      <c r="A58" s="817"/>
      <c r="B58" s="2684" t="s">
        <v>1808</v>
      </c>
      <c r="C58" s="2685"/>
      <c r="D58" s="2685"/>
      <c r="E58" s="2685"/>
      <c r="F58" s="843"/>
      <c r="G58" s="843"/>
      <c r="H58" s="844"/>
      <c r="I58" s="844"/>
      <c r="J58" s="2686">
        <f>('Sources and Uses Budget'!D104+Q47)/('Sources and Uses Budget'!B104+Q48)</f>
        <v>0</v>
      </c>
      <c r="K58" s="2687"/>
      <c r="L58" s="2687"/>
      <c r="M58" s="2687"/>
      <c r="N58" s="2688"/>
      <c r="O58" s="844"/>
      <c r="P58" s="844"/>
      <c r="Q58" s="817"/>
      <c r="R58" s="817"/>
      <c r="S58" s="817"/>
      <c r="U58" s="1258" t="s">
        <v>2030</v>
      </c>
      <c r="AC58" s="1312">
        <v>0.1</v>
      </c>
    </row>
    <row r="59" spans="1:29" ht="15" customHeight="1">
      <c r="A59" s="817"/>
      <c r="B59" s="2674" t="s">
        <v>2033</v>
      </c>
      <c r="C59" s="2674"/>
      <c r="D59" s="2674"/>
      <c r="E59" s="2674"/>
      <c r="F59" s="2674"/>
      <c r="G59" s="2674"/>
      <c r="H59" s="2674"/>
      <c r="I59" s="2674"/>
      <c r="J59" s="2674"/>
      <c r="K59" s="2674"/>
      <c r="L59" s="2674"/>
      <c r="M59" s="2674"/>
      <c r="N59" s="2674"/>
      <c r="O59" s="2674"/>
      <c r="P59" s="844"/>
      <c r="Q59" s="817"/>
      <c r="R59" s="817"/>
      <c r="S59" s="817"/>
      <c r="U59" s="1258" t="s">
        <v>2031</v>
      </c>
      <c r="AC59" s="1312">
        <v>0.05</v>
      </c>
    </row>
    <row r="60" spans="1:29" ht="15" customHeight="1" thickBot="1">
      <c r="A60" s="817"/>
      <c r="B60" s="2674"/>
      <c r="C60" s="2674"/>
      <c r="D60" s="2674"/>
      <c r="E60" s="2674"/>
      <c r="F60" s="2674"/>
      <c r="G60" s="2674"/>
      <c r="H60" s="2674"/>
      <c r="I60" s="2674"/>
      <c r="J60" s="2674"/>
      <c r="K60" s="2674"/>
      <c r="L60" s="2674"/>
      <c r="M60" s="2674"/>
      <c r="N60" s="2674"/>
      <c r="O60" s="2674"/>
      <c r="P60" s="844"/>
      <c r="Q60" s="817"/>
      <c r="R60" s="817"/>
      <c r="S60" s="817"/>
      <c r="U60" s="1259"/>
      <c r="AC60" s="1260"/>
    </row>
    <row r="61" spans="1:29" ht="15" customHeight="1">
      <c r="A61" s="817"/>
      <c r="B61" s="2675" t="s">
        <v>1810</v>
      </c>
      <c r="C61" s="2675"/>
      <c r="D61" s="2675"/>
      <c r="E61" s="2675"/>
      <c r="F61" s="2675"/>
      <c r="G61" s="2675"/>
      <c r="H61" s="2675"/>
      <c r="I61" s="2675"/>
      <c r="J61" s="2675"/>
      <c r="K61" s="2675"/>
      <c r="L61" s="2675"/>
      <c r="M61" s="2675"/>
      <c r="N61" s="2675"/>
      <c r="O61" s="2675"/>
      <c r="P61" s="844"/>
      <c r="Q61" s="817"/>
      <c r="R61" s="817"/>
      <c r="S61" s="817"/>
      <c r="U61" s="2706">
        <f>IF(J67="Non-rural project, Census Tract is Highest Resource (20 percentage points)",AC56,0)</f>
        <v>0.2</v>
      </c>
    </row>
    <row r="62" spans="1:29" ht="15" customHeight="1" thickBot="1">
      <c r="A62" s="817"/>
      <c r="B62" s="823"/>
      <c r="C62" s="823"/>
      <c r="D62" s="823"/>
      <c r="E62" s="823"/>
      <c r="F62" s="823"/>
      <c r="G62" s="823"/>
      <c r="H62" s="823"/>
      <c r="I62" s="823"/>
      <c r="J62" s="823"/>
      <c r="K62" s="823"/>
      <c r="L62" s="823"/>
      <c r="M62" s="823"/>
      <c r="N62" s="823"/>
      <c r="O62" s="823"/>
      <c r="P62" s="823"/>
      <c r="Q62" s="823"/>
      <c r="R62" s="823"/>
      <c r="S62" s="817"/>
      <c r="U62" s="2707"/>
    </row>
    <row r="63" spans="1:29" ht="15" customHeight="1">
      <c r="A63" s="817"/>
      <c r="B63" s="831"/>
      <c r="C63" s="831"/>
      <c r="D63" s="831"/>
      <c r="E63" s="1330"/>
      <c r="F63" s="831"/>
      <c r="G63" s="831"/>
      <c r="H63" s="831"/>
      <c r="I63" s="1268"/>
      <c r="J63" s="2680" t="s">
        <v>2223</v>
      </c>
      <c r="K63" s="2681"/>
      <c r="L63" s="2681"/>
      <c r="M63" s="2681"/>
      <c r="N63" s="2681"/>
      <c r="O63" s="2681"/>
      <c r="P63" s="2681"/>
      <c r="Q63" s="2681"/>
      <c r="R63" s="2681"/>
      <c r="S63" s="817"/>
      <c r="U63" s="2706">
        <f>IF(J67="Non-rural project, Census Tract is High Resource (10 percentage points)",AC57,0)</f>
        <v>0</v>
      </c>
    </row>
    <row r="64" spans="1:29" ht="15" customHeight="1" thickBot="1">
      <c r="A64" s="817"/>
      <c r="B64" s="2676" t="s">
        <v>1820</v>
      </c>
      <c r="C64" s="2676"/>
      <c r="D64" s="831"/>
      <c r="F64" s="831"/>
      <c r="G64" s="1332" t="s">
        <v>2103</v>
      </c>
      <c r="H64" s="831"/>
      <c r="I64" s="1269"/>
      <c r="J64" s="2682"/>
      <c r="K64" s="2683"/>
      <c r="L64" s="2683"/>
      <c r="M64" s="2683"/>
      <c r="N64" s="2683"/>
      <c r="O64" s="2683"/>
      <c r="P64" s="2683"/>
      <c r="Q64" s="2683"/>
      <c r="R64" s="2683"/>
      <c r="S64" s="817"/>
      <c r="U64" s="2707"/>
    </row>
    <row r="65" spans="1:22" ht="15" customHeight="1">
      <c r="A65" s="817"/>
      <c r="B65" s="846" t="s">
        <v>1813</v>
      </c>
      <c r="C65" s="1009" t="str">
        <f>IF(Application!M349="Yes","Yes","No")</f>
        <v>Yes</v>
      </c>
      <c r="E65" s="1333"/>
      <c r="F65" s="1333"/>
      <c r="G65" s="1334" t="s">
        <v>2105</v>
      </c>
      <c r="H65" s="831"/>
      <c r="I65" s="1269"/>
      <c r="J65" s="2682"/>
      <c r="K65" s="2683"/>
      <c r="L65" s="2683"/>
      <c r="M65" s="2683"/>
      <c r="N65" s="2683"/>
      <c r="O65" s="2683"/>
      <c r="P65" s="2683"/>
      <c r="Q65" s="2683"/>
      <c r="R65" s="2683"/>
      <c r="S65" s="817"/>
      <c r="U65" s="2706">
        <f>IF(J67="Rural project, Census Tract is Highest Resource (10 percentage points)",AC58,0)</f>
        <v>0</v>
      </c>
    </row>
    <row r="66" spans="1:22" ht="15" customHeight="1" thickBot="1">
      <c r="A66" s="817"/>
      <c r="B66" s="847" t="s">
        <v>1897</v>
      </c>
      <c r="C66" s="1010">
        <f>Application!AG430-Application!AG431</f>
        <v>60</v>
      </c>
      <c r="D66" s="1333"/>
      <c r="E66" s="847" t="s">
        <v>2106</v>
      </c>
      <c r="F66" s="1333"/>
      <c r="G66" s="1057"/>
      <c r="H66" s="848"/>
      <c r="I66" s="1270"/>
      <c r="J66" s="2682"/>
      <c r="K66" s="2683"/>
      <c r="L66" s="2683"/>
      <c r="M66" s="2683"/>
      <c r="N66" s="2683"/>
      <c r="O66" s="2683"/>
      <c r="P66" s="2683"/>
      <c r="Q66" s="2683"/>
      <c r="R66" s="2683"/>
      <c r="S66" s="817"/>
      <c r="U66" s="2707"/>
    </row>
    <row r="67" spans="1:22" ht="15" customHeight="1">
      <c r="A67" s="817"/>
      <c r="B67" s="847" t="s">
        <v>1807</v>
      </c>
      <c r="C67" s="1011">
        <f>MIN(IF(AND(C65="Yes",G67&gt;=50),(0.75+(G67/200)),1),1.5)</f>
        <v>1.05</v>
      </c>
      <c r="D67" s="848"/>
      <c r="E67" s="847" t="s">
        <v>1898</v>
      </c>
      <c r="G67" s="1010">
        <f>C66+G66</f>
        <v>60</v>
      </c>
      <c r="H67" s="848"/>
      <c r="I67" s="1270"/>
      <c r="J67" s="2679" t="s">
        <v>2028</v>
      </c>
      <c r="K67" s="2679"/>
      <c r="L67" s="2679"/>
      <c r="M67" s="2679"/>
      <c r="N67" s="2679"/>
      <c r="O67" s="2679"/>
      <c r="P67" s="2679"/>
      <c r="Q67" s="2679"/>
      <c r="R67" s="2679"/>
      <c r="S67" s="817"/>
      <c r="U67" s="2706">
        <f>IF(J67="Rural project, Census Tract is High Resource (5 percentage points)",AC59,0)</f>
        <v>0</v>
      </c>
    </row>
    <row r="68" spans="1:22" ht="15" customHeight="1" thickBot="1">
      <c r="A68" s="817"/>
      <c r="B68" s="823"/>
      <c r="C68" s="823"/>
      <c r="D68" s="823"/>
      <c r="E68" s="823"/>
      <c r="F68" s="823"/>
      <c r="G68" s="823"/>
      <c r="H68" s="823"/>
      <c r="I68" s="1271"/>
      <c r="J68" s="823"/>
      <c r="K68" s="823"/>
      <c r="L68" s="823"/>
      <c r="M68" s="823"/>
      <c r="N68" s="823"/>
      <c r="O68" s="823"/>
      <c r="P68" s="823"/>
      <c r="Q68" s="823"/>
      <c r="R68" s="823"/>
      <c r="S68" s="817"/>
      <c r="U68" s="2707"/>
    </row>
    <row r="69" spans="1:22" ht="15" customHeight="1">
      <c r="A69" s="817"/>
      <c r="B69" s="817"/>
      <c r="C69" s="817"/>
      <c r="D69" s="817"/>
      <c r="E69" s="817"/>
      <c r="F69" s="817"/>
      <c r="G69" s="817"/>
      <c r="H69" s="817"/>
      <c r="I69" s="817"/>
      <c r="J69" s="817"/>
      <c r="K69" s="817"/>
      <c r="L69" s="817"/>
      <c r="M69" s="817"/>
      <c r="N69" s="817"/>
      <c r="O69" s="817"/>
      <c r="P69" s="817"/>
      <c r="Q69" s="817"/>
      <c r="R69" s="817"/>
      <c r="S69" s="817"/>
      <c r="U69" s="2710">
        <f>SUM(U61:U68)</f>
        <v>0.2</v>
      </c>
    </row>
    <row r="70" spans="1:22" ht="15" customHeight="1" thickBot="1">
      <c r="A70" s="817"/>
      <c r="B70" s="2677" t="s">
        <v>1817</v>
      </c>
      <c r="C70" s="2677"/>
      <c r="D70" s="818"/>
      <c r="E70" s="818"/>
      <c r="F70" s="818"/>
      <c r="G70" s="818"/>
      <c r="H70" s="817"/>
      <c r="I70" s="817"/>
      <c r="J70" s="817"/>
      <c r="K70" s="817"/>
      <c r="L70" s="817"/>
      <c r="M70" s="817"/>
      <c r="N70" s="817"/>
      <c r="O70" s="817"/>
      <c r="P70" s="817"/>
      <c r="Q70" s="817"/>
      <c r="R70" s="817"/>
      <c r="S70" s="817"/>
      <c r="U70" s="2711"/>
      <c r="V70" s="637" t="s">
        <v>2032</v>
      </c>
    </row>
    <row r="71" spans="1:22" ht="15" customHeight="1">
      <c r="A71" s="817"/>
      <c r="B71" s="2678" t="s">
        <v>1821</v>
      </c>
      <c r="C71" s="2678"/>
      <c r="D71" s="2678"/>
      <c r="E71" s="818"/>
      <c r="F71" s="818"/>
      <c r="G71" s="832">
        <f>G53*(1-J58)</f>
        <v>6378158.8565050941</v>
      </c>
      <c r="H71" s="817"/>
      <c r="I71" s="817"/>
      <c r="J71" s="850"/>
      <c r="K71" s="1166" t="s">
        <v>1823</v>
      </c>
      <c r="L71" s="1166"/>
      <c r="M71" s="1166"/>
      <c r="N71" s="1166"/>
      <c r="O71" s="1166"/>
      <c r="P71" s="817"/>
      <c r="Q71" s="2665">
        <f>'Basis &amp; Credits'!T23+'Basis &amp; Credits'!Y23+'Basis &amp; Credits'!AD23+'Basis &amp; Credits'!AI23</f>
        <v>21367521</v>
      </c>
      <c r="R71" s="2665"/>
      <c r="S71" s="817"/>
    </row>
    <row r="72" spans="1:22" ht="15" customHeight="1">
      <c r="A72" s="817"/>
      <c r="B72" s="2667" t="s">
        <v>1822</v>
      </c>
      <c r="C72" s="2667"/>
      <c r="D72" s="2667"/>
      <c r="E72" s="818"/>
      <c r="F72" s="818"/>
      <c r="G72" s="832">
        <f>G71*C67</f>
        <v>6697066.7993303491</v>
      </c>
      <c r="H72" s="817"/>
      <c r="I72" s="817"/>
      <c r="J72" s="850"/>
      <c r="K72" s="1272"/>
      <c r="L72" s="1272"/>
      <c r="M72" s="1272"/>
      <c r="N72" s="1272"/>
      <c r="O72" s="1272"/>
      <c r="P72" s="817"/>
      <c r="Q72" s="2659"/>
      <c r="R72" s="2659"/>
      <c r="S72" s="817"/>
    </row>
    <row r="73" spans="1:22" ht="15" customHeight="1">
      <c r="A73" s="817"/>
      <c r="B73" s="1004"/>
      <c r="C73" s="1005"/>
      <c r="D73" s="1006"/>
      <c r="E73" s="818"/>
      <c r="F73" s="818"/>
      <c r="G73" s="833"/>
      <c r="H73" s="817"/>
      <c r="I73" s="817"/>
      <c r="J73" s="850"/>
      <c r="K73" s="780"/>
      <c r="L73" s="780"/>
      <c r="M73" s="780"/>
      <c r="N73" s="780"/>
      <c r="O73" s="780"/>
      <c r="P73" s="780"/>
      <c r="Q73" s="780"/>
      <c r="R73" s="780"/>
      <c r="S73" s="817"/>
    </row>
    <row r="74" spans="1:22" ht="15" customHeight="1" thickBot="1">
      <c r="A74" s="817"/>
      <c r="B74" s="845"/>
      <c r="C74" s="845"/>
      <c r="D74" s="845"/>
      <c r="E74" s="845"/>
      <c r="F74" s="845"/>
      <c r="G74" s="845"/>
      <c r="H74" s="817"/>
      <c r="I74" s="817"/>
      <c r="J74" s="817"/>
      <c r="K74" s="817"/>
      <c r="L74" s="817"/>
      <c r="M74" s="817"/>
      <c r="N74" s="817"/>
      <c r="O74" s="817"/>
      <c r="P74" s="817"/>
      <c r="Q74" s="817"/>
      <c r="R74" s="817"/>
      <c r="S74" s="817"/>
    </row>
    <row r="75" spans="1:22" ht="15" customHeight="1">
      <c r="A75" s="836"/>
      <c r="B75" s="2668">
        <f>$G$72</f>
        <v>6697066.7993303491</v>
      </c>
      <c r="C75" s="2669"/>
      <c r="D75" s="2669"/>
      <c r="E75" s="2669"/>
      <c r="F75" s="2669"/>
      <c r="G75" s="2669"/>
      <c r="H75" s="851"/>
      <c r="I75" s="2670" t="s">
        <v>155</v>
      </c>
      <c r="J75" s="2662" t="s">
        <v>1096</v>
      </c>
      <c r="K75" s="2670">
        <v>1</v>
      </c>
      <c r="L75" s="817"/>
      <c r="M75" s="823"/>
      <c r="N75" s="849"/>
      <c r="O75" s="1059">
        <f>$Q$71</f>
        <v>21367521</v>
      </c>
      <c r="P75" s="2662" t="s">
        <v>2222</v>
      </c>
      <c r="Q75" s="2671" t="s">
        <v>154</v>
      </c>
      <c r="R75" s="2708">
        <f>((B75/B76)+((1-(O75/O76))/2))+U69</f>
        <v>0.55326390331333442</v>
      </c>
    </row>
    <row r="76" spans="1:22" ht="15" customHeight="1" thickBot="1">
      <c r="A76" s="817"/>
      <c r="B76" s="2672">
        <f>'Sources and Uses Budget'!$C$104+$Q$46-($E$50+$E$51)*(1-$J$58)</f>
        <v>27169141</v>
      </c>
      <c r="C76" s="2673"/>
      <c r="D76" s="2673"/>
      <c r="E76" s="2673"/>
      <c r="F76" s="2673"/>
      <c r="G76" s="2672"/>
      <c r="H76" s="817"/>
      <c r="I76" s="2670"/>
      <c r="J76" s="2662"/>
      <c r="K76" s="2670"/>
      <c r="L76" s="817"/>
      <c r="M76" s="1040"/>
      <c r="N76" s="817"/>
      <c r="O76" s="1058">
        <f>B76</f>
        <v>27169141</v>
      </c>
      <c r="P76" s="2662"/>
      <c r="Q76" s="2671"/>
      <c r="R76" s="2709"/>
    </row>
    <row r="77" spans="1:22" ht="15" customHeight="1">
      <c r="A77" s="817"/>
      <c r="B77" s="823"/>
      <c r="C77" s="823"/>
      <c r="D77" s="823"/>
      <c r="E77" s="823"/>
      <c r="F77" s="823"/>
      <c r="G77" s="823"/>
      <c r="H77" s="823"/>
      <c r="I77" s="823"/>
      <c r="J77" s="823"/>
      <c r="K77" s="823"/>
      <c r="L77" s="823"/>
      <c r="M77" s="823"/>
      <c r="N77" s="823"/>
      <c r="O77" s="823"/>
      <c r="P77" s="823"/>
      <c r="Q77" s="823"/>
      <c r="S77" s="817"/>
    </row>
    <row r="78" spans="1:22" ht="15" customHeight="1">
      <c r="A78" s="817"/>
      <c r="S78" s="817"/>
    </row>
    <row r="79" spans="1:22" ht="15" customHeight="1">
      <c r="A79" s="817"/>
      <c r="B79" s="1165" t="s">
        <v>1816</v>
      </c>
      <c r="C79" s="831"/>
      <c r="D79" s="831"/>
      <c r="E79" s="831"/>
      <c r="F79" s="831"/>
      <c r="G79" s="831"/>
      <c r="H79" s="831"/>
      <c r="I79" s="831"/>
      <c r="J79" s="831"/>
      <c r="K79" s="831"/>
      <c r="L79" s="831"/>
      <c r="M79" s="831"/>
      <c r="N79" s="831"/>
      <c r="O79" s="831"/>
      <c r="P79" s="831"/>
      <c r="Q79" s="831"/>
      <c r="R79" s="831"/>
      <c r="S79" s="817"/>
    </row>
    <row r="80" spans="1:22" ht="15" customHeight="1">
      <c r="A80" s="817"/>
      <c r="C80" s="1165"/>
      <c r="D80" s="1165"/>
      <c r="E80" s="1165"/>
      <c r="F80" s="1165"/>
      <c r="G80" s="1165"/>
      <c r="H80" s="1165"/>
      <c r="I80" s="1165"/>
      <c r="J80" s="1165"/>
      <c r="K80" s="1165"/>
      <c r="L80" s="1165"/>
      <c r="M80" s="1165"/>
      <c r="N80" s="1165"/>
      <c r="O80" s="1165"/>
      <c r="P80" s="817"/>
      <c r="Q80" s="817"/>
      <c r="R80" s="817"/>
      <c r="S80" s="817"/>
    </row>
    <row r="81" spans="1:19" ht="15" customHeight="1">
      <c r="A81" s="817"/>
      <c r="B81" s="794" t="s">
        <v>2097</v>
      </c>
      <c r="C81" s="1046"/>
      <c r="D81" s="1046"/>
      <c r="E81" s="1046"/>
      <c r="F81" s="1046"/>
      <c r="G81" s="817"/>
      <c r="H81" s="1046"/>
      <c r="I81" s="834"/>
      <c r="J81" s="1046"/>
      <c r="K81" s="794" t="s">
        <v>2098</v>
      </c>
      <c r="L81" s="1046"/>
      <c r="M81" s="1046"/>
      <c r="N81" s="1046"/>
      <c r="O81" s="1046"/>
      <c r="P81" s="817"/>
      <c r="Q81" s="817"/>
      <c r="R81" s="817"/>
      <c r="S81" s="817"/>
    </row>
    <row r="82" spans="1:19" ht="15" customHeight="1">
      <c r="A82" s="817"/>
      <c r="B82" s="1289" t="s">
        <v>2038</v>
      </c>
      <c r="C82" s="1278"/>
      <c r="D82" s="1273"/>
      <c r="E82" s="1278"/>
      <c r="F82" s="1278"/>
      <c r="G82" s="1280"/>
      <c r="H82" s="817"/>
      <c r="I82" s="834"/>
      <c r="J82" s="817"/>
      <c r="L82" s="817"/>
      <c r="M82" s="817"/>
      <c r="N82" s="817"/>
      <c r="O82" s="817"/>
      <c r="P82" s="817"/>
      <c r="Q82" s="817"/>
      <c r="R82" s="817"/>
      <c r="S82" s="817"/>
    </row>
    <row r="83" spans="1:19" ht="15" customHeight="1">
      <c r="A83" s="817"/>
      <c r="B83" s="1287" t="s">
        <v>2041</v>
      </c>
      <c r="C83" s="1278"/>
      <c r="D83" s="1279"/>
      <c r="E83" s="1276"/>
      <c r="F83" s="1276"/>
      <c r="G83" s="1280"/>
      <c r="H83" s="817"/>
      <c r="I83" s="834"/>
      <c r="J83" s="817"/>
      <c r="K83" s="1261" t="s">
        <v>1899</v>
      </c>
      <c r="L83" s="817"/>
      <c r="M83" s="817"/>
      <c r="N83" s="817"/>
      <c r="O83" s="817"/>
      <c r="P83" s="817"/>
      <c r="Q83" s="817"/>
      <c r="R83" s="817"/>
      <c r="S83" s="817"/>
    </row>
    <row r="84" spans="1:19" ht="15" customHeight="1">
      <c r="A84" s="817"/>
      <c r="B84" s="1288" t="s">
        <v>2178</v>
      </c>
      <c r="C84" s="1281"/>
      <c r="D84" s="1282"/>
      <c r="E84" s="1274"/>
      <c r="F84" s="1274"/>
      <c r="G84" s="1283"/>
      <c r="H84" s="817"/>
      <c r="I84" s="834"/>
      <c r="J84" s="817"/>
      <c r="K84" s="1261" t="s">
        <v>1830</v>
      </c>
      <c r="L84" s="1162"/>
      <c r="M84" s="1162"/>
      <c r="N84" s="1162"/>
      <c r="O84" s="1162"/>
      <c r="P84" s="1162"/>
      <c r="Q84" s="2663"/>
      <c r="R84" s="2663"/>
      <c r="S84" s="817"/>
    </row>
    <row r="85" spans="1:19" ht="15" customHeight="1">
      <c r="A85" s="817"/>
      <c r="B85" s="1288" t="s">
        <v>2037</v>
      </c>
      <c r="C85" s="1284"/>
      <c r="D85" s="1285"/>
      <c r="E85" s="1277"/>
      <c r="F85" s="1277"/>
      <c r="G85" s="1286"/>
      <c r="H85" s="817"/>
      <c r="I85" s="834"/>
      <c r="J85" s="817"/>
      <c r="L85" s="1163"/>
      <c r="M85" s="1163"/>
      <c r="N85" s="1163"/>
      <c r="O85" s="1163"/>
      <c r="P85" s="1163"/>
      <c r="S85" s="817"/>
    </row>
    <row r="86" spans="1:19" ht="15" customHeight="1">
      <c r="A86" s="817"/>
      <c r="B86" s="1289" t="s">
        <v>2121</v>
      </c>
      <c r="C86" s="1281"/>
      <c r="D86" s="1282"/>
      <c r="E86" s="1274"/>
      <c r="F86" s="1274"/>
      <c r="G86" s="1275"/>
      <c r="H86" s="817"/>
      <c r="I86" s="834"/>
      <c r="J86" s="817"/>
      <c r="L86" s="1164"/>
      <c r="M86" s="1164"/>
      <c r="N86" s="1164"/>
      <c r="O86" s="1341" t="s">
        <v>1128</v>
      </c>
      <c r="P86" s="1164"/>
      <c r="Q86" s="817"/>
      <c r="R86" s="596"/>
      <c r="S86" s="817"/>
    </row>
    <row r="87" spans="1:19" ht="15" customHeight="1">
      <c r="A87" s="817"/>
      <c r="B87" s="1289" t="s">
        <v>2204</v>
      </c>
      <c r="C87" s="1284"/>
      <c r="D87" s="1273"/>
      <c r="E87" s="1278"/>
      <c r="F87" s="1278"/>
      <c r="G87" s="1346"/>
      <c r="H87" s="817"/>
      <c r="I87" s="834"/>
      <c r="J87" s="817"/>
      <c r="S87" s="817"/>
    </row>
    <row r="88" spans="1:19" ht="15" customHeight="1">
      <c r="A88" s="817"/>
      <c r="B88" s="1342"/>
      <c r="C88" s="1343"/>
      <c r="D88" s="1344"/>
      <c r="E88" s="1345" t="s">
        <v>2036</v>
      </c>
      <c r="F88" s="1276"/>
      <c r="G88" s="1276" t="s">
        <v>1097</v>
      </c>
      <c r="H88" s="817"/>
      <c r="I88" s="834"/>
      <c r="J88" s="817"/>
      <c r="K88" s="1262" t="s">
        <v>1829</v>
      </c>
      <c r="L88" s="1162"/>
      <c r="M88" s="1162"/>
      <c r="N88" s="1162"/>
      <c r="O88" s="1162"/>
      <c r="P88" s="1162"/>
      <c r="Q88" s="817"/>
      <c r="R88" s="596"/>
      <c r="S88" s="817"/>
    </row>
    <row r="89" spans="1:19" ht="15" customHeight="1">
      <c r="A89" s="817"/>
      <c r="B89" s="852" t="s">
        <v>1090</v>
      </c>
      <c r="C89" s="853" t="s">
        <v>1091</v>
      </c>
      <c r="D89" s="1290" t="s">
        <v>2039</v>
      </c>
      <c r="E89" s="1290" t="s">
        <v>2122</v>
      </c>
      <c r="F89" s="854"/>
      <c r="G89" s="854" t="s">
        <v>2040</v>
      </c>
      <c r="H89" s="817"/>
      <c r="I89" s="834"/>
      <c r="J89" s="817"/>
      <c r="K89" s="1262" t="s">
        <v>1831</v>
      </c>
      <c r="L89" s="1163"/>
      <c r="M89" s="1163"/>
      <c r="N89" s="1163"/>
      <c r="O89" s="1163"/>
      <c r="P89" s="1163"/>
      <c r="Q89" s="2663">
        <v>883000</v>
      </c>
      <c r="R89" s="2663"/>
      <c r="S89" s="817"/>
    </row>
    <row r="90" spans="1:19" ht="15" customHeight="1">
      <c r="A90" s="596"/>
      <c r="B90" s="795" t="s">
        <v>2493</v>
      </c>
      <c r="C90" s="796">
        <v>8</v>
      </c>
      <c r="D90" s="797">
        <v>522</v>
      </c>
      <c r="E90" s="798">
        <v>668</v>
      </c>
      <c r="F90" s="862"/>
      <c r="G90" s="855">
        <f>MAX(($E90-$D90)*$C90*12,0)</f>
        <v>14016</v>
      </c>
      <c r="H90" s="817"/>
      <c r="I90" s="834"/>
      <c r="J90" s="817"/>
      <c r="K90" s="1262" t="s">
        <v>1832</v>
      </c>
      <c r="L90" s="1163"/>
      <c r="M90" s="1163"/>
      <c r="N90" s="1163"/>
      <c r="O90" s="1163"/>
      <c r="P90" s="1163"/>
      <c r="Q90" s="2666">
        <v>20</v>
      </c>
      <c r="R90" s="2666"/>
      <c r="S90" s="817"/>
    </row>
    <row r="91" spans="1:19" ht="15" customHeight="1">
      <c r="A91" s="596"/>
      <c r="B91" s="795" t="s">
        <v>2494</v>
      </c>
      <c r="C91" s="796">
        <v>7</v>
      </c>
      <c r="D91" s="797">
        <v>628</v>
      </c>
      <c r="E91" s="798">
        <v>835</v>
      </c>
      <c r="F91" s="862"/>
      <c r="G91" s="855">
        <f t="shared" ref="G91:G97" si="0">MAX(($E91-$D91)*$C91*12,0)</f>
        <v>17388</v>
      </c>
      <c r="H91" s="817"/>
      <c r="I91" s="834"/>
      <c r="J91" s="817"/>
      <c r="K91" s="1262" t="s">
        <v>1836</v>
      </c>
      <c r="L91" s="1163"/>
      <c r="M91" s="1163"/>
      <c r="N91" s="1163"/>
      <c r="O91" s="1163"/>
      <c r="P91" s="1163"/>
      <c r="Q91" s="2664">
        <f>IFERROR(Q89/Q90,0)</f>
        <v>44150</v>
      </c>
      <c r="R91" s="2664"/>
      <c r="S91" s="817"/>
    </row>
    <row r="92" spans="1:19" ht="15" customHeight="1">
      <c r="A92" s="596"/>
      <c r="B92" s="795" t="s">
        <v>681</v>
      </c>
      <c r="C92" s="796"/>
      <c r="D92" s="797"/>
      <c r="E92" s="798"/>
      <c r="F92" s="862"/>
      <c r="G92" s="855">
        <f t="shared" si="0"/>
        <v>0</v>
      </c>
      <c r="H92" s="817"/>
      <c r="I92" s="834"/>
      <c r="J92" s="817"/>
      <c r="S92" s="817"/>
    </row>
    <row r="93" spans="1:19" ht="15" customHeight="1">
      <c r="A93" s="596"/>
      <c r="B93" s="795" t="s">
        <v>681</v>
      </c>
      <c r="C93" s="796"/>
      <c r="D93" s="797"/>
      <c r="E93" s="798"/>
      <c r="F93" s="862"/>
      <c r="G93" s="855">
        <f t="shared" si="0"/>
        <v>0</v>
      </c>
      <c r="H93" s="817"/>
      <c r="I93" s="834"/>
      <c r="J93" s="817"/>
      <c r="K93" s="1263" t="s">
        <v>1837</v>
      </c>
      <c r="L93" s="1161"/>
      <c r="M93" s="1161"/>
      <c r="N93" s="1161"/>
      <c r="O93" s="1161"/>
      <c r="P93" s="1161"/>
      <c r="Q93" s="2665">
        <f>MAX(Q84,Q91)</f>
        <v>44150</v>
      </c>
      <c r="R93" s="2665"/>
      <c r="S93" s="817"/>
    </row>
    <row r="94" spans="1:19" ht="15" customHeight="1">
      <c r="A94" s="596"/>
      <c r="B94" s="795" t="s">
        <v>681</v>
      </c>
      <c r="C94" s="796"/>
      <c r="D94" s="797"/>
      <c r="E94" s="798"/>
      <c r="F94" s="862"/>
      <c r="G94" s="855">
        <f t="shared" si="0"/>
        <v>0</v>
      </c>
      <c r="H94" s="817"/>
      <c r="I94" s="834"/>
      <c r="J94" s="817"/>
      <c r="K94" s="1263"/>
      <c r="L94" s="1161"/>
      <c r="M94" s="1161"/>
      <c r="N94" s="1161"/>
      <c r="O94" s="1161"/>
      <c r="P94" s="1161"/>
      <c r="Q94" s="1337"/>
      <c r="R94" s="1337"/>
      <c r="S94" s="817"/>
    </row>
    <row r="95" spans="1:19" ht="15" customHeight="1">
      <c r="A95" s="596"/>
      <c r="B95" s="795" t="s">
        <v>681</v>
      </c>
      <c r="C95" s="796"/>
      <c r="D95" s="797"/>
      <c r="E95" s="798"/>
      <c r="F95" s="862"/>
      <c r="G95" s="855">
        <f t="shared" si="0"/>
        <v>0</v>
      </c>
      <c r="H95" s="817"/>
      <c r="I95" s="834"/>
      <c r="J95" s="817"/>
      <c r="K95" s="1263"/>
      <c r="L95" s="1161"/>
      <c r="M95" s="1161"/>
      <c r="N95" s="1161"/>
      <c r="O95" s="1161"/>
      <c r="P95" s="1161"/>
      <c r="Q95" s="1337"/>
      <c r="R95" s="1337"/>
      <c r="S95" s="817"/>
    </row>
    <row r="96" spans="1:19" ht="15" customHeight="1">
      <c r="A96" s="596"/>
      <c r="B96" s="795" t="s">
        <v>681</v>
      </c>
      <c r="C96" s="796"/>
      <c r="D96" s="797"/>
      <c r="E96" s="798"/>
      <c r="F96" s="862"/>
      <c r="G96" s="855">
        <f t="shared" si="0"/>
        <v>0</v>
      </c>
      <c r="H96" s="817"/>
      <c r="I96" s="834"/>
      <c r="J96" s="817"/>
      <c r="K96" s="817"/>
      <c r="L96" s="817"/>
      <c r="M96" s="817"/>
      <c r="N96" s="817"/>
      <c r="O96" s="817"/>
      <c r="P96" s="817"/>
      <c r="Q96" s="817"/>
      <c r="R96" s="817"/>
      <c r="S96" s="817"/>
    </row>
    <row r="97" spans="1:19" ht="15" customHeight="1">
      <c r="A97" s="596"/>
      <c r="B97" s="795" t="s">
        <v>681</v>
      </c>
      <c r="C97" s="796"/>
      <c r="D97" s="797"/>
      <c r="E97" s="798"/>
      <c r="F97" s="862"/>
      <c r="G97" s="855">
        <f t="shared" si="0"/>
        <v>0</v>
      </c>
      <c r="H97" s="817"/>
      <c r="I97" s="834"/>
      <c r="J97" s="817"/>
      <c r="K97" s="817"/>
      <c r="L97" s="817"/>
      <c r="M97" s="817"/>
      <c r="N97" s="817"/>
      <c r="O97" s="817"/>
      <c r="P97" s="817"/>
      <c r="Q97" s="817"/>
      <c r="R97" s="817"/>
      <c r="S97" s="817"/>
    </row>
    <row r="98" spans="1:19" ht="15" customHeight="1">
      <c r="A98" s="596"/>
      <c r="B98" s="817"/>
      <c r="C98" s="857"/>
      <c r="D98" s="831"/>
      <c r="E98" s="1045" t="s">
        <v>1935</v>
      </c>
      <c r="F98" s="1045"/>
      <c r="G98" s="1089">
        <f>SUM(G90:G97)</f>
        <v>31404</v>
      </c>
      <c r="H98" s="817"/>
      <c r="I98" s="834"/>
      <c r="J98" s="817"/>
      <c r="S98" s="817"/>
    </row>
    <row r="99" spans="1:19" ht="15" customHeight="1">
      <c r="A99" s="817"/>
      <c r="B99" s="817"/>
      <c r="C99" s="817"/>
      <c r="D99" s="817"/>
      <c r="E99" s="817"/>
      <c r="F99" s="817"/>
      <c r="G99" s="817"/>
      <c r="H99" s="817"/>
      <c r="I99" s="834"/>
      <c r="J99" s="817"/>
      <c r="K99" s="817"/>
      <c r="L99" s="817"/>
      <c r="M99" s="817"/>
      <c r="N99" s="817"/>
      <c r="O99" s="817"/>
      <c r="P99" s="817"/>
      <c r="Q99" s="817"/>
      <c r="R99" s="817"/>
      <c r="S99" s="817"/>
    </row>
    <row r="100" spans="1:19" ht="15" customHeight="1">
      <c r="A100" s="817"/>
      <c r="B100" s="842" t="s">
        <v>1833</v>
      </c>
      <c r="C100" s="817"/>
      <c r="D100" s="1007">
        <f>G98+Q93</f>
        <v>75554</v>
      </c>
      <c r="E100" s="817"/>
      <c r="F100" s="817"/>
      <c r="G100" s="817"/>
      <c r="H100" s="817"/>
      <c r="I100" s="834"/>
      <c r="J100" s="817"/>
      <c r="K100" s="817"/>
      <c r="L100" s="817"/>
      <c r="M100" s="817"/>
      <c r="N100" s="817"/>
      <c r="O100" s="817"/>
      <c r="P100" s="817"/>
      <c r="Q100" s="817"/>
      <c r="R100" s="817"/>
      <c r="S100" s="817"/>
    </row>
    <row r="101" spans="1:19" ht="15" customHeight="1">
      <c r="A101" s="817"/>
      <c r="B101" s="842" t="s">
        <v>1092</v>
      </c>
      <c r="C101" s="817"/>
      <c r="D101" s="858">
        <v>0.05</v>
      </c>
      <c r="E101" s="817"/>
      <c r="F101" s="817"/>
      <c r="G101" s="817"/>
      <c r="H101" s="817"/>
      <c r="I101" s="834"/>
      <c r="J101" s="817"/>
      <c r="K101" s="817"/>
      <c r="L101" s="817"/>
      <c r="M101" s="817"/>
      <c r="N101" s="817"/>
      <c r="O101" s="817"/>
      <c r="P101" s="817"/>
      <c r="Q101" s="817"/>
      <c r="R101" s="817"/>
      <c r="S101" s="817"/>
    </row>
    <row r="102" spans="1:19" ht="15" customHeight="1">
      <c r="A102" s="817"/>
      <c r="B102" s="842" t="s">
        <v>1129</v>
      </c>
      <c r="C102" s="817"/>
      <c r="D102" s="1007">
        <f>D100-(D100*D101)</f>
        <v>71776.3</v>
      </c>
      <c r="E102" s="817"/>
      <c r="F102" s="817"/>
      <c r="G102" s="817"/>
      <c r="H102" s="817"/>
      <c r="I102" s="817"/>
      <c r="J102" s="817"/>
      <c r="K102" s="817"/>
      <c r="L102" s="817"/>
      <c r="M102" s="817"/>
      <c r="N102" s="817"/>
      <c r="O102" s="817"/>
      <c r="P102" s="817"/>
      <c r="Q102" s="817"/>
      <c r="R102" s="817"/>
      <c r="S102" s="817"/>
    </row>
    <row r="103" spans="1:19" ht="15" customHeight="1">
      <c r="A103" s="817"/>
      <c r="B103" s="842" t="s">
        <v>1825</v>
      </c>
      <c r="C103" s="817"/>
      <c r="D103" s="859"/>
      <c r="E103" s="817"/>
      <c r="F103" s="817"/>
      <c r="G103" s="817"/>
      <c r="H103" s="817"/>
      <c r="I103" s="817"/>
      <c r="J103" s="817"/>
      <c r="K103" s="817"/>
      <c r="L103" s="817"/>
      <c r="M103" s="817"/>
      <c r="N103" s="817"/>
      <c r="O103" s="817"/>
      <c r="P103" s="817"/>
      <c r="Q103" s="817"/>
      <c r="R103" s="817"/>
      <c r="S103" s="817"/>
    </row>
    <row r="104" spans="1:19" ht="15" customHeight="1">
      <c r="A104" s="817"/>
      <c r="B104" s="842" t="s">
        <v>1834</v>
      </c>
      <c r="C104" s="817"/>
      <c r="D104" s="1007">
        <f>D102/D108</f>
        <v>62414.173913043487</v>
      </c>
      <c r="E104" s="817"/>
      <c r="F104" s="817"/>
      <c r="G104" s="817"/>
      <c r="H104" s="817"/>
      <c r="I104" s="817"/>
      <c r="J104" s="817"/>
      <c r="K104" s="817"/>
      <c r="L104" s="817"/>
      <c r="M104" s="817"/>
      <c r="N104" s="817"/>
      <c r="O104" s="817"/>
      <c r="P104" s="817"/>
      <c r="Q104" s="817"/>
      <c r="R104" s="817"/>
      <c r="S104" s="817"/>
    </row>
    <row r="105" spans="1:19" ht="15" customHeight="1">
      <c r="A105" s="817"/>
      <c r="B105" s="817"/>
      <c r="C105" s="817"/>
      <c r="D105" s="817"/>
      <c r="E105" s="817"/>
      <c r="F105" s="817"/>
      <c r="G105" s="817"/>
      <c r="H105" s="817"/>
      <c r="I105" s="817"/>
      <c r="J105" s="817"/>
      <c r="K105" s="817"/>
      <c r="L105" s="817"/>
      <c r="M105" s="817"/>
      <c r="N105" s="817"/>
      <c r="O105" s="817"/>
      <c r="P105" s="817"/>
      <c r="Q105" s="817"/>
      <c r="R105" s="817"/>
      <c r="S105" s="817"/>
    </row>
    <row r="106" spans="1:19" ht="15" customHeight="1">
      <c r="A106" s="817"/>
      <c r="B106" s="842" t="s">
        <v>1826</v>
      </c>
      <c r="C106" s="817"/>
      <c r="D106" s="842">
        <v>15</v>
      </c>
      <c r="E106" s="817"/>
      <c r="F106" s="817"/>
      <c r="G106" s="817"/>
      <c r="H106" s="817"/>
      <c r="I106" s="817"/>
      <c r="J106" s="817"/>
      <c r="K106" s="817"/>
      <c r="L106" s="817"/>
      <c r="M106" s="817"/>
      <c r="N106" s="817"/>
      <c r="O106" s="817"/>
      <c r="P106" s="817"/>
      <c r="Q106" s="817"/>
      <c r="R106" s="817"/>
      <c r="S106" s="817"/>
    </row>
    <row r="107" spans="1:19" ht="15" customHeight="1">
      <c r="A107" s="817"/>
      <c r="B107" s="842" t="s">
        <v>1827</v>
      </c>
      <c r="C107" s="817"/>
      <c r="D107" s="1035">
        <v>0.04</v>
      </c>
      <c r="E107" s="817"/>
      <c r="F107" s="817"/>
      <c r="G107" s="817"/>
      <c r="H107" s="817"/>
      <c r="I107" s="817"/>
      <c r="J107" s="817"/>
      <c r="K107" s="817"/>
      <c r="L107" s="817"/>
      <c r="M107" s="817"/>
      <c r="N107" s="817"/>
      <c r="O107" s="817"/>
      <c r="P107" s="817"/>
      <c r="Q107" s="817"/>
      <c r="R107" s="817"/>
      <c r="S107" s="817"/>
    </row>
    <row r="108" spans="1:19" ht="15" customHeight="1">
      <c r="A108" s="817"/>
      <c r="B108" s="842" t="s">
        <v>1207</v>
      </c>
      <c r="C108" s="817"/>
      <c r="D108" s="860">
        <v>1.1499999999999999</v>
      </c>
      <c r="E108" s="817"/>
      <c r="F108" s="817"/>
      <c r="G108" s="817"/>
      <c r="H108" s="817"/>
      <c r="I108" s="817"/>
      <c r="J108" s="817"/>
      <c r="K108" s="817"/>
      <c r="L108" s="817"/>
      <c r="M108" s="817"/>
      <c r="N108" s="817"/>
      <c r="O108" s="817"/>
      <c r="P108" s="817"/>
      <c r="Q108" s="817"/>
      <c r="R108" s="817"/>
      <c r="S108" s="817"/>
    </row>
    <row r="109" spans="1:19" ht="15" customHeight="1">
      <c r="A109" s="817"/>
      <c r="B109" s="831"/>
      <c r="C109" s="831"/>
      <c r="D109" s="861"/>
      <c r="E109" s="861"/>
      <c r="F109" s="861"/>
      <c r="G109" s="817"/>
      <c r="H109" s="817"/>
      <c r="I109" s="817"/>
      <c r="J109" s="817"/>
      <c r="K109" s="817"/>
      <c r="L109" s="817"/>
      <c r="M109" s="817"/>
      <c r="N109" s="817"/>
      <c r="O109" s="817"/>
      <c r="P109" s="817"/>
      <c r="Q109" s="817"/>
      <c r="R109" s="817"/>
      <c r="S109" s="817"/>
    </row>
    <row r="110" spans="1:19" ht="15" customHeight="1">
      <c r="A110" s="817"/>
      <c r="B110" s="831" t="s">
        <v>1828</v>
      </c>
      <c r="C110" s="831"/>
      <c r="D110" s="1008">
        <f>PV(D107/12,D106*12,-D104/12, ,0)</f>
        <v>703158.85650509375</v>
      </c>
      <c r="E110" s="831"/>
      <c r="F110" s="831"/>
      <c r="G110" s="856"/>
      <c r="H110" s="817"/>
      <c r="I110" s="817"/>
      <c r="J110" s="817"/>
      <c r="K110" s="817"/>
      <c r="L110" s="817"/>
      <c r="M110" s="817"/>
      <c r="N110" s="817"/>
      <c r="O110" s="817"/>
      <c r="P110" s="817"/>
      <c r="Q110" s="817"/>
      <c r="R110" s="817"/>
      <c r="S110" s="817"/>
    </row>
  </sheetData>
  <sheetProtection algorithmName="SHA-512" hashValue="quOiytv3Vy7E4362CWuy45oVQZHKKL5prNcUtzP7ug8o2+1g3NwrnqriPc+kpKbgIaugIFvB0qVWnZ8EVixdkg==" saltValue="dQR254ZnEL4AFHxWmSJsrg=="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3"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XFD217"/>
  <sheetViews>
    <sheetView view="pageBreakPreview" topLeftCell="A22" zoomScaleNormal="100" zoomScaleSheetLayoutView="100" workbookViewId="0">
      <selection activeCell="B40" sqref="B40"/>
    </sheetView>
  </sheetViews>
  <sheetFormatPr defaultColWidth="0" defaultRowHeight="12.75" zeroHeight="1"/>
  <cols>
    <col min="1" max="1" width="3.42578125" customWidth="1"/>
    <col min="2" max="2" width="31.4257812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600" t="s">
        <v>1938</v>
      </c>
      <c r="B1" s="600"/>
      <c r="C1" s="596"/>
      <c r="D1" s="596"/>
      <c r="E1" s="596"/>
      <c r="F1" s="596"/>
      <c r="G1" s="596"/>
      <c r="H1" s="596"/>
      <c r="I1" s="596"/>
      <c r="J1" s="596"/>
      <c r="K1" s="596"/>
      <c r="L1" s="596"/>
      <c r="M1" s="596"/>
      <c r="N1" s="596"/>
      <c r="O1" s="596"/>
      <c r="P1" s="596"/>
      <c r="Q1" s="596"/>
      <c r="R1" s="596"/>
      <c r="S1" s="596"/>
      <c r="T1" s="596"/>
      <c r="U1" s="596"/>
      <c r="V1" s="596"/>
      <c r="W1" s="596"/>
      <c r="X1" s="596"/>
      <c r="Y1" s="596"/>
      <c r="Z1" s="596"/>
      <c r="AA1" s="596"/>
      <c r="AB1" s="596"/>
      <c r="AC1" s="596"/>
      <c r="AD1" s="596"/>
      <c r="AE1" s="596"/>
      <c r="AF1" s="596"/>
      <c r="AG1" s="596"/>
      <c r="AH1" s="596"/>
    </row>
    <row r="2" spans="1:34"/>
    <row r="3" spans="1:34" ht="15.75">
      <c r="A3" s="601" t="s">
        <v>1173</v>
      </c>
      <c r="B3" s="601"/>
      <c r="C3" s="629" t="s">
        <v>1174</v>
      </c>
      <c r="D3" s="602"/>
      <c r="E3" s="630" t="s">
        <v>1175</v>
      </c>
      <c r="F3" s="598"/>
      <c r="G3" s="630" t="s">
        <v>1176</v>
      </c>
      <c r="H3" s="598"/>
      <c r="I3" s="630" t="s">
        <v>1177</v>
      </c>
      <c r="J3" s="598"/>
      <c r="K3" s="630" t="s">
        <v>1178</v>
      </c>
      <c r="L3" s="598"/>
      <c r="M3" s="630" t="s">
        <v>1179</v>
      </c>
      <c r="N3" s="598"/>
      <c r="O3" s="630" t="s">
        <v>1180</v>
      </c>
      <c r="P3" s="598"/>
      <c r="Q3" s="630" t="s">
        <v>1181</v>
      </c>
      <c r="R3" s="598"/>
      <c r="S3" s="630" t="s">
        <v>1182</v>
      </c>
      <c r="T3" s="598"/>
      <c r="U3" s="630" t="s">
        <v>1183</v>
      </c>
      <c r="V3" s="598"/>
      <c r="W3" s="630" t="s">
        <v>1184</v>
      </c>
      <c r="X3" s="598"/>
      <c r="Y3" s="630" t="s">
        <v>1185</v>
      </c>
      <c r="Z3" s="598"/>
      <c r="AA3" s="630" t="s">
        <v>1186</v>
      </c>
      <c r="AB3" s="598"/>
      <c r="AC3" s="630" t="s">
        <v>1187</v>
      </c>
      <c r="AD3" s="598"/>
      <c r="AE3" s="630" t="s">
        <v>1188</v>
      </c>
      <c r="AF3" s="598"/>
      <c r="AG3" s="630" t="s">
        <v>1189</v>
      </c>
      <c r="AH3" s="602"/>
    </row>
    <row r="4" spans="1:34" ht="14.25">
      <c r="A4" s="609" t="s">
        <v>1190</v>
      </c>
      <c r="B4" s="609"/>
      <c r="C4" s="633">
        <v>1.0249999999999999</v>
      </c>
      <c r="D4" s="609"/>
      <c r="E4" s="609">
        <f>Application!Y779</f>
        <v>521316</v>
      </c>
      <c r="F4" s="609"/>
      <c r="G4" s="609">
        <f>E4*$C$4</f>
        <v>534348.89999999991</v>
      </c>
      <c r="H4" s="609"/>
      <c r="I4" s="609">
        <f>G4*$C$4</f>
        <v>547707.62249999982</v>
      </c>
      <c r="J4" s="609"/>
      <c r="K4" s="609">
        <f>I4*$C$4</f>
        <v>561400.31306249974</v>
      </c>
      <c r="L4" s="609"/>
      <c r="M4" s="609">
        <f>K4*$C$4</f>
        <v>575435.32088906213</v>
      </c>
      <c r="N4" s="609"/>
      <c r="O4" s="609">
        <f>M4*$C$4</f>
        <v>589821.20391128864</v>
      </c>
      <c r="P4" s="609"/>
      <c r="Q4" s="609">
        <f>O4*$C$4</f>
        <v>604566.73400907079</v>
      </c>
      <c r="R4" s="609"/>
      <c r="S4" s="609">
        <f>Q4*$C$4</f>
        <v>619680.9023592975</v>
      </c>
      <c r="T4" s="609"/>
      <c r="U4" s="609">
        <f>S4*$C$4</f>
        <v>635172.92491827987</v>
      </c>
      <c r="V4" s="609"/>
      <c r="W4" s="609">
        <f>U4*$C$4</f>
        <v>651052.24804123677</v>
      </c>
      <c r="X4" s="609"/>
      <c r="Y4" s="609">
        <f>W4*$C$4</f>
        <v>667328.55424226762</v>
      </c>
      <c r="Z4" s="609"/>
      <c r="AA4" s="609">
        <f>Y4*$C$4</f>
        <v>684011.7680983243</v>
      </c>
      <c r="AB4" s="609"/>
      <c r="AC4" s="609">
        <f>AA4*$C$4</f>
        <v>701112.0623007823</v>
      </c>
      <c r="AD4" s="609"/>
      <c r="AE4" s="609">
        <f>AC4*$C$4</f>
        <v>718639.86385830177</v>
      </c>
      <c r="AF4" s="609"/>
      <c r="AG4" s="609">
        <f>AE4*$C$4</f>
        <v>736605.86045475921</v>
      </c>
      <c r="AH4" s="609"/>
    </row>
    <row r="5" spans="1:34" ht="14.25">
      <c r="A5" s="599"/>
      <c r="B5" s="599" t="s">
        <v>1092</v>
      </c>
      <c r="C5" s="634">
        <f>IF(Application!$D$214="Special Needs",0.1,0.05)</f>
        <v>0.05</v>
      </c>
      <c r="D5" s="599"/>
      <c r="E5" s="611">
        <f>-E4*$C$5</f>
        <v>-26065.800000000003</v>
      </c>
      <c r="F5" s="611"/>
      <c r="G5" s="611">
        <f>-G4*$C$5</f>
        <v>-26717.444999999996</v>
      </c>
      <c r="H5" s="611"/>
      <c r="I5" s="611">
        <f>-I4*$C$5</f>
        <v>-27385.381124999993</v>
      </c>
      <c r="J5" s="611"/>
      <c r="K5" s="611">
        <f>-K4*$C$5</f>
        <v>-28070.015653124989</v>
      </c>
      <c r="L5" s="611"/>
      <c r="M5" s="611">
        <f>-M4*$C$5</f>
        <v>-28771.766044453107</v>
      </c>
      <c r="N5" s="611"/>
      <c r="O5" s="611">
        <f>-O4*$C$5</f>
        <v>-29491.060195564434</v>
      </c>
      <c r="P5" s="611"/>
      <c r="Q5" s="611">
        <f>-Q4*$C$5</f>
        <v>-30228.336700453539</v>
      </c>
      <c r="R5" s="611"/>
      <c r="S5" s="611">
        <f>-S4*$C$5</f>
        <v>-30984.045117964877</v>
      </c>
      <c r="T5" s="611"/>
      <c r="U5" s="611">
        <f>-U4*$C$5</f>
        <v>-31758.646245913995</v>
      </c>
      <c r="V5" s="611"/>
      <c r="W5" s="611">
        <f>-W4*$C$5</f>
        <v>-32552.612402061841</v>
      </c>
      <c r="X5" s="611"/>
      <c r="Y5" s="611">
        <f>-Y4*$C$5</f>
        <v>-33366.427712113385</v>
      </c>
      <c r="Z5" s="611"/>
      <c r="AA5" s="611">
        <f>-AA4*$C$5</f>
        <v>-34200.58840491622</v>
      </c>
      <c r="AB5" s="611"/>
      <c r="AC5" s="611">
        <f>-AC4*$C$5</f>
        <v>-35055.603115039114</v>
      </c>
      <c r="AD5" s="611"/>
      <c r="AE5" s="611">
        <f>-AE4*$C$5</f>
        <v>-35931.993192915092</v>
      </c>
      <c r="AF5" s="611"/>
      <c r="AG5" s="611">
        <f>-AG4*$C$5</f>
        <v>-36830.293022737962</v>
      </c>
      <c r="AH5" s="599"/>
    </row>
    <row r="6" spans="1:34" ht="14.25">
      <c r="A6" s="599" t="s">
        <v>1191</v>
      </c>
      <c r="B6" s="599"/>
      <c r="C6" s="633">
        <v>1.0249999999999999</v>
      </c>
      <c r="D6" s="599"/>
      <c r="E6" s="612">
        <f>Application!Z787</f>
        <v>76428</v>
      </c>
      <c r="F6" s="612"/>
      <c r="G6" s="612">
        <f>E6*$C$6</f>
        <v>78338.7</v>
      </c>
      <c r="H6" s="612"/>
      <c r="I6" s="612">
        <f>G6*$C$6</f>
        <v>80297.167499999996</v>
      </c>
      <c r="J6" s="612"/>
      <c r="K6" s="612">
        <f>I6*$C$6</f>
        <v>82304.596687499987</v>
      </c>
      <c r="L6" s="612"/>
      <c r="M6" s="612">
        <f>K6*$C$6</f>
        <v>84362.211604687473</v>
      </c>
      <c r="N6" s="612"/>
      <c r="O6" s="612">
        <f>M6*$C$6</f>
        <v>86471.266894804648</v>
      </c>
      <c r="P6" s="612"/>
      <c r="Q6" s="612">
        <f>O6*$C$6</f>
        <v>88633.048567174759</v>
      </c>
      <c r="R6" s="612"/>
      <c r="S6" s="612">
        <f>Q6*$C$6</f>
        <v>90848.874781354127</v>
      </c>
      <c r="T6" s="612"/>
      <c r="U6" s="612">
        <f>S6*$C$6</f>
        <v>93120.096650887965</v>
      </c>
      <c r="V6" s="612"/>
      <c r="W6" s="612">
        <f>U6*$C$6</f>
        <v>95448.099067160161</v>
      </c>
      <c r="X6" s="612"/>
      <c r="Y6" s="612">
        <f>W6*$C$6</f>
        <v>97834.301543839159</v>
      </c>
      <c r="Z6" s="612"/>
      <c r="AA6" s="612">
        <f>Y6*$C$6</f>
        <v>100280.15908243513</v>
      </c>
      <c r="AB6" s="612"/>
      <c r="AC6" s="612">
        <f>AA6*$C$6</f>
        <v>102787.163059496</v>
      </c>
      <c r="AD6" s="612"/>
      <c r="AE6" s="612">
        <f>AC6*$C$6</f>
        <v>105356.84213598339</v>
      </c>
      <c r="AF6" s="612"/>
      <c r="AG6" s="612">
        <f>AE6*$C$6</f>
        <v>107990.76318938297</v>
      </c>
      <c r="AH6" s="599"/>
    </row>
    <row r="7" spans="1:34" ht="14.25">
      <c r="A7" s="599"/>
      <c r="B7" s="599" t="s">
        <v>1092</v>
      </c>
      <c r="C7" s="634">
        <f>IF(Application!$D$214="Special Needs",0.1,0.05)</f>
        <v>0.05</v>
      </c>
      <c r="D7" s="599"/>
      <c r="E7" s="611">
        <f>-E6*$C$7</f>
        <v>-3821.4</v>
      </c>
      <c r="F7" s="611"/>
      <c r="G7" s="611">
        <f>-G6*$C$7</f>
        <v>-3916.9349999999999</v>
      </c>
      <c r="H7" s="611"/>
      <c r="I7" s="611">
        <f>-I6*$C$7</f>
        <v>-4014.8583749999998</v>
      </c>
      <c r="J7" s="611"/>
      <c r="K7" s="611">
        <f>-K6*$C$7</f>
        <v>-4115.2298343749999</v>
      </c>
      <c r="L7" s="611"/>
      <c r="M7" s="611">
        <f>-M6*$C$7</f>
        <v>-4218.1105802343736</v>
      </c>
      <c r="N7" s="611"/>
      <c r="O7" s="611">
        <f>-O6*$C$7</f>
        <v>-4323.5633447402324</v>
      </c>
      <c r="P7" s="611"/>
      <c r="Q7" s="611">
        <f>-Q6*$C$7</f>
        <v>-4431.6524283587378</v>
      </c>
      <c r="R7" s="611"/>
      <c r="S7" s="611">
        <f>-S6*$C$7</f>
        <v>-4542.4437390677067</v>
      </c>
      <c r="T7" s="611"/>
      <c r="U7" s="611">
        <f>-U6*$C$7</f>
        <v>-4656.0048325443986</v>
      </c>
      <c r="V7" s="611"/>
      <c r="W7" s="611">
        <f>-W6*$C$7</f>
        <v>-4772.4049533580082</v>
      </c>
      <c r="X7" s="611"/>
      <c r="Y7" s="611">
        <f>-Y6*$C$7</f>
        <v>-4891.7150771919578</v>
      </c>
      <c r="Z7" s="611"/>
      <c r="AA7" s="611">
        <f>-AA6*$C$7</f>
        <v>-5014.0079541217565</v>
      </c>
      <c r="AB7" s="611"/>
      <c r="AC7" s="611">
        <f>-AC6*$C$7</f>
        <v>-5139.3581529748008</v>
      </c>
      <c r="AD7" s="611"/>
      <c r="AE7" s="611">
        <f>-AE6*$C$7</f>
        <v>-5267.8421067991694</v>
      </c>
      <c r="AF7" s="611"/>
      <c r="AG7" s="611">
        <f>-AG6*$C$7</f>
        <v>-5399.5381594691489</v>
      </c>
      <c r="AH7" s="599"/>
    </row>
    <row r="8" spans="1:34" ht="14.25">
      <c r="A8" s="599" t="s">
        <v>289</v>
      </c>
      <c r="B8" s="599"/>
      <c r="C8" s="633">
        <v>1.0249999999999999</v>
      </c>
      <c r="D8" s="599"/>
      <c r="E8" s="612">
        <f>Application!Z795</f>
        <v>4160</v>
      </c>
      <c r="F8" s="612"/>
      <c r="G8" s="612">
        <f>E8*$C$8</f>
        <v>4264</v>
      </c>
      <c r="H8" s="612"/>
      <c r="I8" s="612">
        <f>G8*$C$8</f>
        <v>4370.5999999999995</v>
      </c>
      <c r="J8" s="612"/>
      <c r="K8" s="612">
        <f>I8*$C$8</f>
        <v>4479.8649999999989</v>
      </c>
      <c r="L8" s="612"/>
      <c r="M8" s="612">
        <f>K8*$C$8</f>
        <v>4591.8616249999986</v>
      </c>
      <c r="N8" s="612"/>
      <c r="O8" s="612">
        <f>M8*$C$8</f>
        <v>4706.6581656249982</v>
      </c>
      <c r="P8" s="612"/>
      <c r="Q8" s="612">
        <f>O8*$C$8</f>
        <v>4824.3246197656226</v>
      </c>
      <c r="R8" s="612"/>
      <c r="S8" s="612">
        <f>Q8*$C$8</f>
        <v>4944.9327352597629</v>
      </c>
      <c r="T8" s="612"/>
      <c r="U8" s="612">
        <f>S8*$C$8</f>
        <v>5068.5560536412568</v>
      </c>
      <c r="V8" s="612"/>
      <c r="W8" s="612">
        <f>U8*$C$8</f>
        <v>5195.2699549822873</v>
      </c>
      <c r="X8" s="612"/>
      <c r="Y8" s="612">
        <f>W8*$C$8</f>
        <v>5325.1517038568445</v>
      </c>
      <c r="Z8" s="612"/>
      <c r="AA8" s="612">
        <f>Y8*$C$8</f>
        <v>5458.2804964532652</v>
      </c>
      <c r="AB8" s="612"/>
      <c r="AC8" s="612">
        <f>AA8*$C$8</f>
        <v>5594.7375088645967</v>
      </c>
      <c r="AD8" s="612"/>
      <c r="AE8" s="612">
        <f>AC8*$C$8</f>
        <v>5734.6059465862108</v>
      </c>
      <c r="AF8" s="612"/>
      <c r="AG8" s="612">
        <f>AE8*$C$8</f>
        <v>5877.9710952508658</v>
      </c>
      <c r="AH8" s="599"/>
    </row>
    <row r="9" spans="1:34" ht="14.25">
      <c r="A9" s="599"/>
      <c r="B9" s="599" t="s">
        <v>1092</v>
      </c>
      <c r="C9" s="634">
        <f>IF(Application!$D$214="Special Needs",0.1,0.05)</f>
        <v>0.05</v>
      </c>
      <c r="D9" s="599"/>
      <c r="E9" s="631">
        <f>-E8*$C$9</f>
        <v>-208</v>
      </c>
      <c r="F9" s="611"/>
      <c r="G9" s="631">
        <f>-G8*$C$9</f>
        <v>-213.20000000000002</v>
      </c>
      <c r="H9" s="611"/>
      <c r="I9" s="631">
        <f>-I8*$C$9</f>
        <v>-218.52999999999997</v>
      </c>
      <c r="J9" s="611"/>
      <c r="K9" s="631">
        <f>-K8*$C$9</f>
        <v>-223.99324999999996</v>
      </c>
      <c r="L9" s="611"/>
      <c r="M9" s="631">
        <f>-M8*$C$9</f>
        <v>-229.59308124999995</v>
      </c>
      <c r="N9" s="611"/>
      <c r="O9" s="631">
        <f>-O8*$C$9</f>
        <v>-235.33290828124993</v>
      </c>
      <c r="P9" s="611"/>
      <c r="Q9" s="631">
        <f>-Q8*$C$9</f>
        <v>-241.21623098828115</v>
      </c>
      <c r="R9" s="611"/>
      <c r="S9" s="631">
        <f>-S8*$C$9</f>
        <v>-247.24663676298815</v>
      </c>
      <c r="T9" s="611"/>
      <c r="U9" s="631">
        <f>-U8*$C$9</f>
        <v>-253.42780268206286</v>
      </c>
      <c r="V9" s="611"/>
      <c r="W9" s="631">
        <f>-W8*$C$9</f>
        <v>-259.76349774911438</v>
      </c>
      <c r="X9" s="611"/>
      <c r="Y9" s="631">
        <f>-Y8*$C$9</f>
        <v>-266.25758519284221</v>
      </c>
      <c r="Z9" s="611"/>
      <c r="AA9" s="631">
        <f>-AA8*$C$9</f>
        <v>-272.91402482266329</v>
      </c>
      <c r="AB9" s="611"/>
      <c r="AC9" s="631">
        <f>-AC8*$C$9</f>
        <v>-279.73687544322985</v>
      </c>
      <c r="AD9" s="611"/>
      <c r="AE9" s="631">
        <f>-AE8*$C$9</f>
        <v>-286.73029732931053</v>
      </c>
      <c r="AF9" s="611"/>
      <c r="AG9" s="631">
        <f>-AG8*$C$9</f>
        <v>-293.89855476254331</v>
      </c>
      <c r="AH9" s="599"/>
    </row>
    <row r="10" spans="1:34" ht="15">
      <c r="A10" s="613" t="s">
        <v>1192</v>
      </c>
      <c r="B10" s="613"/>
      <c r="C10" s="604"/>
      <c r="D10" s="613"/>
      <c r="E10" s="613">
        <f>SUM(E4:E9)</f>
        <v>571808.79999999993</v>
      </c>
      <c r="F10" s="613"/>
      <c r="G10" s="613">
        <f>SUM(G4:G9)</f>
        <v>586104.0199999999</v>
      </c>
      <c r="H10" s="613"/>
      <c r="I10" s="613">
        <f>SUM(I4:I9)</f>
        <v>600756.62049999984</v>
      </c>
      <c r="J10" s="613"/>
      <c r="K10" s="613">
        <f>SUM(K4:K9)</f>
        <v>615775.53601249971</v>
      </c>
      <c r="L10" s="613"/>
      <c r="M10" s="613">
        <f>SUM(M4:M9)</f>
        <v>631169.92441281222</v>
      </c>
      <c r="N10" s="613"/>
      <c r="O10" s="613">
        <f>SUM(O4:O9)</f>
        <v>646949.17252313241</v>
      </c>
      <c r="P10" s="613"/>
      <c r="Q10" s="613">
        <f>SUM(Q4:Q9)</f>
        <v>663122.90183621063</v>
      </c>
      <c r="R10" s="613"/>
      <c r="S10" s="613">
        <f>SUM(S4:S9)</f>
        <v>679700.97438211576</v>
      </c>
      <c r="T10" s="613"/>
      <c r="U10" s="613">
        <f>SUM(U4:U9)</f>
        <v>696693.49874166865</v>
      </c>
      <c r="V10" s="613"/>
      <c r="W10" s="613">
        <f>SUM(W4:W9)</f>
        <v>714110.83621021034</v>
      </c>
      <c r="X10" s="613"/>
      <c r="Y10" s="613">
        <f>SUM(Y4:Y9)</f>
        <v>731963.60711546557</v>
      </c>
      <c r="Z10" s="613"/>
      <c r="AA10" s="613">
        <f>SUM(AA4:AA9)</f>
        <v>750262.69729335199</v>
      </c>
      <c r="AB10" s="613"/>
      <c r="AC10" s="613">
        <f>SUM(AC4:AC9)</f>
        <v>769019.26472568582</v>
      </c>
      <c r="AD10" s="613"/>
      <c r="AE10" s="613">
        <f>SUM(AE4:AE9)</f>
        <v>788244.74634382792</v>
      </c>
      <c r="AF10" s="613"/>
      <c r="AG10" s="613">
        <f>SUM(AG4:AG9)</f>
        <v>807950.86500242341</v>
      </c>
      <c r="AH10" s="613"/>
    </row>
    <row r="11" spans="1:34">
      <c r="A11" s="596"/>
      <c r="B11" s="596"/>
      <c r="C11" s="623"/>
      <c r="D11" s="596"/>
      <c r="E11" s="603"/>
      <c r="F11" s="603"/>
      <c r="G11" s="603"/>
      <c r="H11" s="603"/>
      <c r="I11" s="603"/>
      <c r="J11" s="603"/>
      <c r="K11" s="603"/>
      <c r="L11" s="603"/>
      <c r="M11" s="603"/>
      <c r="N11" s="603"/>
      <c r="O11" s="603"/>
      <c r="P11" s="603"/>
      <c r="Q11" s="603"/>
      <c r="R11" s="603"/>
      <c r="S11" s="603"/>
      <c r="T11" s="603"/>
      <c r="U11" s="603"/>
      <c r="V11" s="603"/>
      <c r="W11" s="603"/>
      <c r="X11" s="603"/>
      <c r="Y11" s="603"/>
      <c r="Z11" s="603"/>
      <c r="AA11" s="603"/>
      <c r="AB11" s="603"/>
      <c r="AC11" s="603"/>
      <c r="AD11" s="603"/>
      <c r="AE11" s="603"/>
      <c r="AF11" s="603"/>
      <c r="AG11" s="603"/>
      <c r="AH11" s="596"/>
    </row>
    <row r="12" spans="1:34" ht="15.75">
      <c r="A12" s="601" t="s">
        <v>1193</v>
      </c>
      <c r="B12" s="596"/>
      <c r="C12" s="623"/>
      <c r="D12" s="596"/>
      <c r="E12" s="603"/>
      <c r="F12" s="603"/>
      <c r="G12" s="603"/>
      <c r="H12" s="603"/>
      <c r="I12" s="603"/>
      <c r="J12" s="603"/>
      <c r="K12" s="603"/>
      <c r="L12" s="603"/>
      <c r="M12" s="603"/>
      <c r="N12" s="603"/>
      <c r="O12" s="603"/>
      <c r="P12" s="603"/>
      <c r="Q12" s="603"/>
      <c r="R12" s="603"/>
      <c r="S12" s="603"/>
      <c r="T12" s="603"/>
      <c r="U12" s="603"/>
      <c r="V12" s="603"/>
      <c r="W12" s="603"/>
      <c r="X12" s="603"/>
      <c r="Y12" s="603"/>
      <c r="Z12" s="603"/>
      <c r="AA12" s="603"/>
      <c r="AB12" s="603"/>
      <c r="AC12" s="603"/>
      <c r="AD12" s="603"/>
      <c r="AE12" s="603"/>
      <c r="AF12" s="603"/>
      <c r="AG12" s="603"/>
      <c r="AH12" s="596"/>
    </row>
    <row r="13" spans="1:34" ht="14.25">
      <c r="A13" s="599" t="s">
        <v>1194</v>
      </c>
      <c r="B13" s="599"/>
      <c r="C13" s="633">
        <v>1.0349999999999999</v>
      </c>
      <c r="D13" s="599"/>
      <c r="E13" s="612"/>
      <c r="F13" s="612"/>
      <c r="G13" s="612"/>
      <c r="H13" s="612"/>
      <c r="I13" s="612"/>
      <c r="J13" s="612"/>
      <c r="K13" s="612"/>
      <c r="L13" s="612"/>
      <c r="M13" s="612"/>
      <c r="N13" s="612"/>
      <c r="O13" s="612"/>
      <c r="P13" s="612"/>
      <c r="Q13" s="612"/>
      <c r="R13" s="612"/>
      <c r="S13" s="612"/>
      <c r="T13" s="612"/>
      <c r="U13" s="612"/>
      <c r="V13" s="612"/>
      <c r="W13" s="612"/>
      <c r="X13" s="612"/>
      <c r="Y13" s="612"/>
      <c r="Z13" s="612"/>
      <c r="AA13" s="612"/>
      <c r="AB13" s="612"/>
      <c r="AC13" s="612"/>
      <c r="AD13" s="612"/>
      <c r="AE13" s="612"/>
      <c r="AF13" s="612"/>
      <c r="AG13" s="612"/>
      <c r="AH13" s="599"/>
    </row>
    <row r="14" spans="1:34" ht="14.25">
      <c r="A14" s="609" t="s">
        <v>1195</v>
      </c>
      <c r="B14" s="609"/>
      <c r="C14" s="624"/>
      <c r="D14" s="609"/>
      <c r="E14" s="609">
        <f>Application!W825</f>
        <v>54500</v>
      </c>
      <c r="F14" s="609"/>
      <c r="G14" s="609">
        <f t="shared" ref="G14:G20" si="0">E14*$C$13</f>
        <v>56407.499999999993</v>
      </c>
      <c r="H14" s="609"/>
      <c r="I14" s="609">
        <f t="shared" ref="I14:I20" si="1">G14*$C$13</f>
        <v>58381.76249999999</v>
      </c>
      <c r="J14" s="609"/>
      <c r="K14" s="609">
        <f t="shared" ref="K14:K20" si="2">I14*$C$13</f>
        <v>60425.124187499983</v>
      </c>
      <c r="L14" s="609"/>
      <c r="M14" s="609">
        <f t="shared" ref="M14:M20" si="3">K14*$C$13</f>
        <v>62540.003534062475</v>
      </c>
      <c r="N14" s="609"/>
      <c r="O14" s="609">
        <f t="shared" ref="O14:O20" si="4">M14*$C$13</f>
        <v>64728.903657754658</v>
      </c>
      <c r="P14" s="609"/>
      <c r="Q14" s="609">
        <f t="shared" ref="Q14:Q20" si="5">O14*$C$13</f>
        <v>66994.415285776064</v>
      </c>
      <c r="R14" s="609"/>
      <c r="S14" s="609">
        <f t="shared" ref="S14:S20" si="6">Q14*$C$13</f>
        <v>69339.21982077822</v>
      </c>
      <c r="T14" s="609"/>
      <c r="U14" s="609">
        <f t="shared" ref="U14:U20" si="7">S14*$C$13</f>
        <v>71766.09251450545</v>
      </c>
      <c r="V14" s="609"/>
      <c r="W14" s="609">
        <f t="shared" ref="W14:W20" si="8">U14*$C$13</f>
        <v>74277.905752513136</v>
      </c>
      <c r="X14" s="609"/>
      <c r="Y14" s="609">
        <f t="shared" ref="Y14:Y20" si="9">W14*$C$13</f>
        <v>76877.632453851096</v>
      </c>
      <c r="Z14" s="609"/>
      <c r="AA14" s="609">
        <f t="shared" ref="AA14:AA20" si="10">Y14*$C$13</f>
        <v>79568.349589735881</v>
      </c>
      <c r="AB14" s="609"/>
      <c r="AC14" s="609">
        <f t="shared" ref="AC14:AC20" si="11">AA14*$C$13</f>
        <v>82353.241825376637</v>
      </c>
      <c r="AD14" s="609"/>
      <c r="AE14" s="609">
        <f t="shared" ref="AE14:AE20" si="12">AC14*$C$13</f>
        <v>85235.605289264815</v>
      </c>
      <c r="AF14" s="609"/>
      <c r="AG14" s="609">
        <f t="shared" ref="AG14:AG20" si="13">AE14*$C$13</f>
        <v>88218.85147438907</v>
      </c>
      <c r="AH14" s="609"/>
    </row>
    <row r="15" spans="1:34" ht="14.25">
      <c r="A15" s="599" t="s">
        <v>517</v>
      </c>
      <c r="B15" s="599"/>
      <c r="C15" s="623"/>
      <c r="D15" s="599"/>
      <c r="E15" s="612">
        <f>Application!W827</f>
        <v>29736</v>
      </c>
      <c r="F15" s="612"/>
      <c r="G15" s="612">
        <f t="shared" si="0"/>
        <v>30776.76</v>
      </c>
      <c r="H15" s="612"/>
      <c r="I15" s="612">
        <f t="shared" si="1"/>
        <v>31853.946599999996</v>
      </c>
      <c r="J15" s="612"/>
      <c r="K15" s="612">
        <f t="shared" si="2"/>
        <v>32968.834730999995</v>
      </c>
      <c r="L15" s="612"/>
      <c r="M15" s="612">
        <f t="shared" si="3"/>
        <v>34122.743946584989</v>
      </c>
      <c r="N15" s="612"/>
      <c r="O15" s="612">
        <f t="shared" si="4"/>
        <v>35317.039984715462</v>
      </c>
      <c r="P15" s="612"/>
      <c r="Q15" s="612">
        <f t="shared" si="5"/>
        <v>36553.1363841805</v>
      </c>
      <c r="R15" s="612"/>
      <c r="S15" s="612">
        <f t="shared" si="6"/>
        <v>37832.496157626811</v>
      </c>
      <c r="T15" s="612"/>
      <c r="U15" s="612">
        <f t="shared" si="7"/>
        <v>39156.633523143748</v>
      </c>
      <c r="V15" s="612"/>
      <c r="W15" s="612">
        <f t="shared" si="8"/>
        <v>40527.115696453773</v>
      </c>
      <c r="X15" s="612"/>
      <c r="Y15" s="612">
        <f t="shared" si="9"/>
        <v>41945.564745829652</v>
      </c>
      <c r="Z15" s="612"/>
      <c r="AA15" s="612">
        <f t="shared" si="10"/>
        <v>43413.659511933685</v>
      </c>
      <c r="AB15" s="612"/>
      <c r="AC15" s="612">
        <f t="shared" si="11"/>
        <v>44933.13759485136</v>
      </c>
      <c r="AD15" s="612"/>
      <c r="AE15" s="612">
        <f t="shared" si="12"/>
        <v>46505.797410671155</v>
      </c>
      <c r="AF15" s="612"/>
      <c r="AG15" s="612">
        <f t="shared" si="13"/>
        <v>48133.500320044644</v>
      </c>
      <c r="AH15" s="599"/>
    </row>
    <row r="16" spans="1:34" ht="14.25">
      <c r="A16" s="599" t="s">
        <v>801</v>
      </c>
      <c r="B16" s="599"/>
      <c r="C16" s="623"/>
      <c r="D16" s="599"/>
      <c r="E16" s="612">
        <f>Application!W833</f>
        <v>85000</v>
      </c>
      <c r="F16" s="612"/>
      <c r="G16" s="612">
        <f t="shared" si="0"/>
        <v>87975</v>
      </c>
      <c r="H16" s="612"/>
      <c r="I16" s="612">
        <f t="shared" si="1"/>
        <v>91054.125</v>
      </c>
      <c r="J16" s="612"/>
      <c r="K16" s="612">
        <f t="shared" si="2"/>
        <v>94241.019374999989</v>
      </c>
      <c r="L16" s="612"/>
      <c r="M16" s="612">
        <f t="shared" si="3"/>
        <v>97539.455053124984</v>
      </c>
      <c r="N16" s="612"/>
      <c r="O16" s="612">
        <f t="shared" si="4"/>
        <v>100953.33597998435</v>
      </c>
      <c r="P16" s="612"/>
      <c r="Q16" s="612">
        <f t="shared" si="5"/>
        <v>104486.70273928379</v>
      </c>
      <c r="R16" s="612"/>
      <c r="S16" s="612">
        <f t="shared" si="6"/>
        <v>108143.73733515872</v>
      </c>
      <c r="T16" s="612"/>
      <c r="U16" s="612">
        <f t="shared" si="7"/>
        <v>111928.76814188926</v>
      </c>
      <c r="V16" s="612"/>
      <c r="W16" s="612">
        <f t="shared" si="8"/>
        <v>115846.27502685538</v>
      </c>
      <c r="X16" s="612"/>
      <c r="Y16" s="612">
        <f t="shared" si="9"/>
        <v>119900.89465279531</v>
      </c>
      <c r="Z16" s="612"/>
      <c r="AA16" s="612">
        <f t="shared" si="10"/>
        <v>124097.42596564314</v>
      </c>
      <c r="AB16" s="612"/>
      <c r="AC16" s="612">
        <f t="shared" si="11"/>
        <v>128440.83587444064</v>
      </c>
      <c r="AD16" s="612"/>
      <c r="AE16" s="612">
        <f t="shared" si="12"/>
        <v>132936.26513004606</v>
      </c>
      <c r="AF16" s="612"/>
      <c r="AG16" s="612">
        <f t="shared" si="13"/>
        <v>137589.03440959766</v>
      </c>
      <c r="AH16" s="599"/>
    </row>
    <row r="17" spans="1:33" ht="14.25">
      <c r="A17" s="599" t="s">
        <v>1196</v>
      </c>
      <c r="B17" s="599"/>
      <c r="C17" s="623"/>
      <c r="D17" s="599"/>
      <c r="E17" s="612">
        <f>Application!W840</f>
        <v>86714</v>
      </c>
      <c r="F17" s="612"/>
      <c r="G17" s="612">
        <f t="shared" si="0"/>
        <v>89748.989999999991</v>
      </c>
      <c r="H17" s="612"/>
      <c r="I17" s="612">
        <f t="shared" si="1"/>
        <v>92890.204649999985</v>
      </c>
      <c r="J17" s="612"/>
      <c r="K17" s="612">
        <f t="shared" si="2"/>
        <v>96141.361812749979</v>
      </c>
      <c r="L17" s="612"/>
      <c r="M17" s="612">
        <f t="shared" si="3"/>
        <v>99506.309476196227</v>
      </c>
      <c r="N17" s="612"/>
      <c r="O17" s="612">
        <f t="shared" si="4"/>
        <v>102989.03030786308</v>
      </c>
      <c r="P17" s="612"/>
      <c r="Q17" s="612">
        <f t="shared" si="5"/>
        <v>106593.64636863828</v>
      </c>
      <c r="R17" s="612"/>
      <c r="S17" s="612">
        <f t="shared" si="6"/>
        <v>110324.42399154061</v>
      </c>
      <c r="T17" s="612"/>
      <c r="U17" s="612">
        <f t="shared" si="7"/>
        <v>114185.77883124452</v>
      </c>
      <c r="V17" s="612"/>
      <c r="W17" s="612">
        <f t="shared" si="8"/>
        <v>118182.28109033807</v>
      </c>
      <c r="X17" s="612"/>
      <c r="Y17" s="612">
        <f t="shared" si="9"/>
        <v>122318.6609284999</v>
      </c>
      <c r="Z17" s="612"/>
      <c r="AA17" s="612">
        <f t="shared" si="10"/>
        <v>126599.81406099739</v>
      </c>
      <c r="AB17" s="612"/>
      <c r="AC17" s="612">
        <f t="shared" si="11"/>
        <v>131030.8075531323</v>
      </c>
      <c r="AD17" s="612"/>
      <c r="AE17" s="612">
        <f t="shared" si="12"/>
        <v>135616.88581749192</v>
      </c>
      <c r="AF17" s="612"/>
      <c r="AG17" s="612">
        <f t="shared" si="13"/>
        <v>140363.47682110412</v>
      </c>
    </row>
    <row r="18" spans="1:33" ht="14.25">
      <c r="A18" s="599" t="s">
        <v>1035</v>
      </c>
      <c r="B18" s="599"/>
      <c r="C18" s="623"/>
      <c r="D18" s="599"/>
      <c r="E18" s="612">
        <f>Application!W841</f>
        <v>40000</v>
      </c>
      <c r="F18" s="612"/>
      <c r="G18" s="612">
        <f t="shared" si="0"/>
        <v>41400</v>
      </c>
      <c r="H18" s="612"/>
      <c r="I18" s="612">
        <f t="shared" si="1"/>
        <v>42849</v>
      </c>
      <c r="J18" s="612"/>
      <c r="K18" s="612">
        <f t="shared" si="2"/>
        <v>44348.714999999997</v>
      </c>
      <c r="L18" s="612"/>
      <c r="M18" s="612">
        <f t="shared" si="3"/>
        <v>45900.920024999992</v>
      </c>
      <c r="N18" s="612"/>
      <c r="O18" s="612">
        <f t="shared" si="4"/>
        <v>47507.452225874986</v>
      </c>
      <c r="P18" s="612"/>
      <c r="Q18" s="612">
        <f t="shared" si="5"/>
        <v>49170.213053780608</v>
      </c>
      <c r="R18" s="612"/>
      <c r="S18" s="612">
        <f t="shared" si="6"/>
        <v>50891.170510662923</v>
      </c>
      <c r="T18" s="612"/>
      <c r="U18" s="612">
        <f t="shared" si="7"/>
        <v>52672.361478536121</v>
      </c>
      <c r="V18" s="612"/>
      <c r="W18" s="612">
        <f t="shared" si="8"/>
        <v>54515.894130284883</v>
      </c>
      <c r="X18" s="612"/>
      <c r="Y18" s="612">
        <f t="shared" si="9"/>
        <v>56423.95042484485</v>
      </c>
      <c r="Z18" s="612"/>
      <c r="AA18" s="612">
        <f t="shared" si="10"/>
        <v>58398.788689714413</v>
      </c>
      <c r="AB18" s="612"/>
      <c r="AC18" s="612">
        <f t="shared" si="11"/>
        <v>60442.746293854412</v>
      </c>
      <c r="AD18" s="612"/>
      <c r="AE18" s="612">
        <f t="shared" si="12"/>
        <v>62558.242414139313</v>
      </c>
      <c r="AF18" s="612"/>
      <c r="AG18" s="612">
        <f t="shared" si="13"/>
        <v>64747.780898634184</v>
      </c>
    </row>
    <row r="19" spans="1:33" ht="14.25">
      <c r="A19" s="599" t="s">
        <v>60</v>
      </c>
      <c r="B19" s="599"/>
      <c r="C19" s="623"/>
      <c r="D19" s="599"/>
      <c r="E19" s="612">
        <f>Application!W850</f>
        <v>116500</v>
      </c>
      <c r="F19" s="612"/>
      <c r="G19" s="612">
        <f t="shared" si="0"/>
        <v>120577.49999999999</v>
      </c>
      <c r="H19" s="612"/>
      <c r="I19" s="612">
        <f t="shared" si="1"/>
        <v>124797.71249999998</v>
      </c>
      <c r="J19" s="612"/>
      <c r="K19" s="612">
        <f t="shared" si="2"/>
        <v>129165.63243749997</v>
      </c>
      <c r="L19" s="612"/>
      <c r="M19" s="612">
        <f t="shared" si="3"/>
        <v>133686.42957281246</v>
      </c>
      <c r="N19" s="612"/>
      <c r="O19" s="612">
        <f t="shared" si="4"/>
        <v>138365.45460786088</v>
      </c>
      <c r="P19" s="612"/>
      <c r="Q19" s="612">
        <f t="shared" si="5"/>
        <v>143208.24551913599</v>
      </c>
      <c r="R19" s="612"/>
      <c r="S19" s="612">
        <f t="shared" si="6"/>
        <v>148220.53411230573</v>
      </c>
      <c r="T19" s="612"/>
      <c r="U19" s="612">
        <f t="shared" si="7"/>
        <v>153408.25280623641</v>
      </c>
      <c r="V19" s="612"/>
      <c r="W19" s="612">
        <f t="shared" si="8"/>
        <v>158777.54165445469</v>
      </c>
      <c r="X19" s="612"/>
      <c r="Y19" s="612">
        <f t="shared" si="9"/>
        <v>164334.7556123606</v>
      </c>
      <c r="Z19" s="612"/>
      <c r="AA19" s="612">
        <f t="shared" si="10"/>
        <v>170086.47205879321</v>
      </c>
      <c r="AB19" s="612"/>
      <c r="AC19" s="612">
        <f t="shared" si="11"/>
        <v>176039.49858085095</v>
      </c>
      <c r="AD19" s="612"/>
      <c r="AE19" s="612">
        <f t="shared" si="12"/>
        <v>182200.88103118073</v>
      </c>
      <c r="AF19" s="612"/>
      <c r="AG19" s="612">
        <f t="shared" si="13"/>
        <v>188577.91186727205</v>
      </c>
    </row>
    <row r="20" spans="1:33" ht="14.25">
      <c r="A20" s="767" t="s">
        <v>1350</v>
      </c>
      <c r="B20" s="767"/>
      <c r="C20" s="623"/>
      <c r="D20" s="599"/>
      <c r="E20" s="622">
        <f>Application!W857</f>
        <v>0</v>
      </c>
      <c r="F20" s="612"/>
      <c r="G20" s="622">
        <f t="shared" si="0"/>
        <v>0</v>
      </c>
      <c r="H20" s="612"/>
      <c r="I20" s="622">
        <f t="shared" si="1"/>
        <v>0</v>
      </c>
      <c r="J20" s="612"/>
      <c r="K20" s="622">
        <f t="shared" si="2"/>
        <v>0</v>
      </c>
      <c r="L20" s="612"/>
      <c r="M20" s="622">
        <f t="shared" si="3"/>
        <v>0</v>
      </c>
      <c r="N20" s="612"/>
      <c r="O20" s="622">
        <f t="shared" si="4"/>
        <v>0</v>
      </c>
      <c r="P20" s="612"/>
      <c r="Q20" s="622">
        <f t="shared" si="5"/>
        <v>0</v>
      </c>
      <c r="R20" s="612"/>
      <c r="S20" s="622">
        <f t="shared" si="6"/>
        <v>0</v>
      </c>
      <c r="T20" s="612"/>
      <c r="U20" s="622">
        <f t="shared" si="7"/>
        <v>0</v>
      </c>
      <c r="V20" s="612"/>
      <c r="W20" s="622">
        <f t="shared" si="8"/>
        <v>0</v>
      </c>
      <c r="X20" s="612"/>
      <c r="Y20" s="622">
        <f t="shared" si="9"/>
        <v>0</v>
      </c>
      <c r="Z20" s="612"/>
      <c r="AA20" s="622">
        <f t="shared" si="10"/>
        <v>0</v>
      </c>
      <c r="AB20" s="612"/>
      <c r="AC20" s="622">
        <f t="shared" si="11"/>
        <v>0</v>
      </c>
      <c r="AD20" s="612"/>
      <c r="AE20" s="622">
        <f t="shared" si="12"/>
        <v>0</v>
      </c>
      <c r="AF20" s="612"/>
      <c r="AG20" s="622">
        <f t="shared" si="13"/>
        <v>0</v>
      </c>
    </row>
    <row r="21" spans="1:33" ht="15">
      <c r="A21" s="613" t="s">
        <v>1197</v>
      </c>
      <c r="B21" s="613"/>
      <c r="C21" s="623"/>
      <c r="D21" s="613"/>
      <c r="E21" s="613">
        <f>SUM(E14:E20)</f>
        <v>412450</v>
      </c>
      <c r="F21" s="613"/>
      <c r="G21" s="613">
        <f>SUM(G14:G20)</f>
        <v>426885.75</v>
      </c>
      <c r="H21" s="613"/>
      <c r="I21" s="613">
        <f>SUM(I14:I20)</f>
        <v>441826.75124999991</v>
      </c>
      <c r="J21" s="613"/>
      <c r="K21" s="613">
        <f>SUM(K14:K20)</f>
        <v>457290.68754374993</v>
      </c>
      <c r="L21" s="613"/>
      <c r="M21" s="613">
        <f>SUM(M14:M20)</f>
        <v>473295.86160778115</v>
      </c>
      <c r="N21" s="613"/>
      <c r="O21" s="613">
        <f>SUM(O14:O20)</f>
        <v>489861.21676405345</v>
      </c>
      <c r="P21" s="613"/>
      <c r="Q21" s="613">
        <f>SUM(Q14:Q20)</f>
        <v>507006.35935079528</v>
      </c>
      <c r="R21" s="613"/>
      <c r="S21" s="613">
        <f>SUM(S14:S20)</f>
        <v>524751.58192807296</v>
      </c>
      <c r="T21" s="613"/>
      <c r="U21" s="613">
        <f>SUM(U14:U20)</f>
        <v>543117.88729555544</v>
      </c>
      <c r="V21" s="613"/>
      <c r="W21" s="613">
        <f>SUM(W14:W20)</f>
        <v>562127.01335089991</v>
      </c>
      <c r="X21" s="613"/>
      <c r="Y21" s="613">
        <f>SUM(Y14:Y20)</f>
        <v>581801.45881818142</v>
      </c>
      <c r="Z21" s="613"/>
      <c r="AA21" s="613">
        <f>SUM(AA14:AA20)</f>
        <v>602164.5098768177</v>
      </c>
      <c r="AB21" s="613"/>
      <c r="AC21" s="613">
        <f>SUM(AC14:AC20)</f>
        <v>623240.26772250631</v>
      </c>
      <c r="AD21" s="613"/>
      <c r="AE21" s="613">
        <f>SUM(AE14:AE20)</f>
        <v>645053.67709279398</v>
      </c>
      <c r="AF21" s="613"/>
      <c r="AG21" s="613">
        <f>SUM(AG14:AG20)</f>
        <v>667630.55579104181</v>
      </c>
    </row>
    <row r="22" spans="1:33" s="1383" customFormat="1" ht="15">
      <c r="A22" s="613"/>
      <c r="B22" s="613"/>
      <c r="C22" s="623"/>
      <c r="D22" s="613"/>
      <c r="E22" s="613"/>
      <c r="F22" s="613"/>
      <c r="G22" s="613"/>
      <c r="H22" s="613"/>
      <c r="I22" s="613"/>
      <c r="J22" s="613"/>
      <c r="K22" s="613"/>
      <c r="L22" s="613"/>
      <c r="M22" s="613"/>
      <c r="N22" s="613"/>
      <c r="O22" s="613"/>
      <c r="P22" s="613"/>
      <c r="Q22" s="613"/>
      <c r="R22" s="613"/>
      <c r="S22" s="613"/>
      <c r="T22" s="613"/>
      <c r="U22" s="613"/>
      <c r="V22" s="613"/>
      <c r="W22" s="613"/>
      <c r="X22" s="613"/>
      <c r="Y22" s="613"/>
      <c r="Z22" s="613"/>
      <c r="AA22" s="613"/>
      <c r="AB22" s="613"/>
      <c r="AC22" s="613"/>
      <c r="AD22" s="613"/>
      <c r="AE22" s="613"/>
      <c r="AF22" s="613"/>
      <c r="AG22" s="613"/>
    </row>
    <row r="23" spans="1:33" s="1383" customFormat="1" ht="15">
      <c r="A23" s="1402" t="s">
        <v>2218</v>
      </c>
      <c r="B23" s="1402"/>
      <c r="C23" s="1403"/>
      <c r="D23" s="1402"/>
      <c r="E23" s="1404"/>
      <c r="F23" s="613"/>
      <c r="G23" s="609">
        <f>E23*$C$23</f>
        <v>0</v>
      </c>
      <c r="H23" s="609"/>
      <c r="I23" s="609">
        <f>G23*$C$23</f>
        <v>0</v>
      </c>
      <c r="J23" s="609"/>
      <c r="K23" s="609">
        <f>I23*$C$23</f>
        <v>0</v>
      </c>
      <c r="L23" s="609"/>
      <c r="M23" s="609">
        <f>K23*$C$23</f>
        <v>0</v>
      </c>
      <c r="N23" s="609"/>
      <c r="O23" s="609">
        <f>M23*$C$23</f>
        <v>0</v>
      </c>
      <c r="P23" s="609"/>
      <c r="Q23" s="609">
        <f>O23*$C$23</f>
        <v>0</v>
      </c>
      <c r="R23" s="609"/>
      <c r="S23" s="609">
        <f>Q23*$C$23</f>
        <v>0</v>
      </c>
      <c r="T23" s="609"/>
      <c r="U23" s="609">
        <f>S23*$C$23</f>
        <v>0</v>
      </c>
      <c r="V23" s="609"/>
      <c r="W23" s="609">
        <f>U23*$C$23</f>
        <v>0</v>
      </c>
      <c r="X23" s="609"/>
      <c r="Y23" s="609">
        <f>W23*$C$23</f>
        <v>0</v>
      </c>
      <c r="Z23" s="609"/>
      <c r="AA23" s="609">
        <f>Y23*$C$23</f>
        <v>0</v>
      </c>
      <c r="AB23" s="609"/>
      <c r="AC23" s="609">
        <f>AA23*$C$23</f>
        <v>0</v>
      </c>
      <c r="AD23" s="609"/>
      <c r="AE23" s="609">
        <f>AC23*$C$23</f>
        <v>0</v>
      </c>
      <c r="AF23" s="609"/>
      <c r="AG23" s="609">
        <f>AE23*$C$23</f>
        <v>0</v>
      </c>
    </row>
    <row r="24" spans="1:33" ht="14.25">
      <c r="A24" s="599"/>
      <c r="B24" s="599"/>
      <c r="C24" s="623"/>
      <c r="D24" s="599"/>
      <c r="E24" s="612"/>
      <c r="F24" s="612"/>
      <c r="G24" s="612"/>
      <c r="H24" s="612"/>
      <c r="I24" s="612"/>
      <c r="J24" s="612"/>
      <c r="K24" s="612"/>
      <c r="L24" s="612"/>
      <c r="M24" s="612"/>
      <c r="N24" s="612"/>
      <c r="O24" s="612"/>
      <c r="P24" s="612"/>
      <c r="Q24" s="612"/>
      <c r="R24" s="612"/>
      <c r="S24" s="612"/>
      <c r="T24" s="612"/>
      <c r="U24" s="612"/>
      <c r="V24" s="612"/>
      <c r="W24" s="612"/>
      <c r="X24" s="612"/>
      <c r="Y24" s="612"/>
      <c r="Z24" s="612"/>
      <c r="AA24" s="612"/>
      <c r="AB24" s="612"/>
      <c r="AC24" s="612"/>
      <c r="AD24" s="612"/>
      <c r="AE24" s="612"/>
      <c r="AF24" s="612"/>
      <c r="AG24" s="612"/>
    </row>
    <row r="25" spans="1:33" ht="14.25">
      <c r="A25" s="599" t="s">
        <v>1514</v>
      </c>
      <c r="B25" s="599"/>
      <c r="C25" s="635">
        <v>1.0349999999999999</v>
      </c>
      <c r="D25" s="599"/>
      <c r="E25" s="609">
        <f>Application!AC865</f>
        <v>0</v>
      </c>
      <c r="F25" s="609"/>
      <c r="G25" s="609">
        <f>E25*$C$25</f>
        <v>0</v>
      </c>
      <c r="H25" s="609"/>
      <c r="I25" s="609">
        <f>G25*$C$25</f>
        <v>0</v>
      </c>
      <c r="J25" s="609"/>
      <c r="K25" s="609">
        <f>I25*$C$25</f>
        <v>0</v>
      </c>
      <c r="L25" s="609"/>
      <c r="M25" s="609">
        <f>K25*$C$25</f>
        <v>0</v>
      </c>
      <c r="N25" s="609"/>
      <c r="O25" s="609">
        <f>M25*$C$25</f>
        <v>0</v>
      </c>
      <c r="P25" s="609"/>
      <c r="Q25" s="609">
        <f>O25*$C$25</f>
        <v>0</v>
      </c>
      <c r="R25" s="609"/>
      <c r="S25" s="609">
        <f>Q25*$C$25</f>
        <v>0</v>
      </c>
      <c r="T25" s="609"/>
      <c r="U25" s="609">
        <f>S25*$C$25</f>
        <v>0</v>
      </c>
      <c r="V25" s="609"/>
      <c r="W25" s="609">
        <f>U25*$C$25</f>
        <v>0</v>
      </c>
      <c r="X25" s="609"/>
      <c r="Y25" s="609">
        <f>W25*$C$25</f>
        <v>0</v>
      </c>
      <c r="Z25" s="609"/>
      <c r="AA25" s="609">
        <f>Y25*$C$25</f>
        <v>0</v>
      </c>
      <c r="AB25" s="609"/>
      <c r="AC25" s="609">
        <f>AA25*$C$25</f>
        <v>0</v>
      </c>
      <c r="AD25" s="609"/>
      <c r="AE25" s="609">
        <f>AC25*$C$25</f>
        <v>0</v>
      </c>
      <c r="AF25" s="609"/>
      <c r="AG25" s="609">
        <f>AE25*$C$25</f>
        <v>0</v>
      </c>
    </row>
    <row r="26" spans="1:33" ht="14.25">
      <c r="A26" s="599" t="s">
        <v>1198</v>
      </c>
      <c r="B26" s="599"/>
      <c r="C26" s="635">
        <v>1.0349999999999999</v>
      </c>
      <c r="D26" s="599"/>
      <c r="E26" s="612">
        <f>Application!AC866</f>
        <v>67750</v>
      </c>
      <c r="F26" s="612"/>
      <c r="G26" s="612">
        <f>E26*$C$26</f>
        <v>70121.25</v>
      </c>
      <c r="H26" s="612"/>
      <c r="I26" s="612">
        <f>G26*$C$26</f>
        <v>72575.493749999994</v>
      </c>
      <c r="J26" s="612"/>
      <c r="K26" s="612">
        <f>I26*$C$26</f>
        <v>75115.636031249989</v>
      </c>
      <c r="L26" s="612"/>
      <c r="M26" s="612">
        <f>K26*$C$26</f>
        <v>77744.683292343732</v>
      </c>
      <c r="N26" s="612"/>
      <c r="O26" s="612">
        <f>M26*$C$26</f>
        <v>80465.747207575754</v>
      </c>
      <c r="P26" s="612"/>
      <c r="Q26" s="612">
        <f>O26*$C$26</f>
        <v>83282.048359840905</v>
      </c>
      <c r="R26" s="612"/>
      <c r="S26" s="612">
        <f>Q26*$C$26</f>
        <v>86196.920052435336</v>
      </c>
      <c r="T26" s="612"/>
      <c r="U26" s="612">
        <f>S26*$C$26</f>
        <v>89213.812254270568</v>
      </c>
      <c r="V26" s="612"/>
      <c r="W26" s="612">
        <f>U26*$C$26</f>
        <v>92336.295683170028</v>
      </c>
      <c r="X26" s="612"/>
      <c r="Y26" s="612">
        <f>W26*$C$26</f>
        <v>95568.066032080969</v>
      </c>
      <c r="Z26" s="612"/>
      <c r="AA26" s="612">
        <f>Y26*$C$26</f>
        <v>98912.948343203796</v>
      </c>
      <c r="AB26" s="612"/>
      <c r="AC26" s="612">
        <f>AA26*$C$26</f>
        <v>102374.90153521592</v>
      </c>
      <c r="AD26" s="612"/>
      <c r="AE26" s="612">
        <f>AC26*$C$26</f>
        <v>105958.02308894847</v>
      </c>
      <c r="AF26" s="612"/>
      <c r="AG26" s="612">
        <f>AE26*$C$26</f>
        <v>109666.55389706165</v>
      </c>
    </row>
    <row r="27" spans="1:33" ht="14.25">
      <c r="A27" s="1402" t="s">
        <v>1199</v>
      </c>
      <c r="B27" s="599"/>
      <c r="C27" s="635"/>
      <c r="D27" s="599"/>
      <c r="E27" s="612">
        <f>Application!AC867</f>
        <v>36000</v>
      </c>
      <c r="F27" s="612"/>
      <c r="G27" s="612">
        <f>$E$27</f>
        <v>36000</v>
      </c>
      <c r="H27" s="612"/>
      <c r="I27" s="612">
        <f>$E$27</f>
        <v>36000</v>
      </c>
      <c r="J27" s="612"/>
      <c r="K27" s="612">
        <f>$E$27</f>
        <v>36000</v>
      </c>
      <c r="L27" s="612"/>
      <c r="M27" s="612">
        <f>$E$27</f>
        <v>36000</v>
      </c>
      <c r="N27" s="612"/>
      <c r="O27" s="612">
        <f>$E$27</f>
        <v>36000</v>
      </c>
      <c r="P27" s="612"/>
      <c r="Q27" s="612">
        <f>$E$27</f>
        <v>36000</v>
      </c>
      <c r="R27" s="612"/>
      <c r="S27" s="612">
        <f>$E$27</f>
        <v>36000</v>
      </c>
      <c r="T27" s="612"/>
      <c r="U27" s="612">
        <f>$E$27</f>
        <v>36000</v>
      </c>
      <c r="V27" s="612"/>
      <c r="W27" s="612">
        <f>$E$27</f>
        <v>36000</v>
      </c>
      <c r="X27" s="612"/>
      <c r="Y27" s="612">
        <f>$E$27</f>
        <v>36000</v>
      </c>
      <c r="Z27" s="612"/>
      <c r="AA27" s="612">
        <f>$E$27</f>
        <v>36000</v>
      </c>
      <c r="AB27" s="612"/>
      <c r="AC27" s="612">
        <f>$E$27</f>
        <v>36000</v>
      </c>
      <c r="AD27" s="612"/>
      <c r="AE27" s="612">
        <f>$E$27</f>
        <v>36000</v>
      </c>
      <c r="AF27" s="612"/>
      <c r="AG27" s="612">
        <f>$E$27</f>
        <v>36000</v>
      </c>
    </row>
    <row r="28" spans="1:33" s="1383" customFormat="1" ht="14.25">
      <c r="A28" s="1402" t="s">
        <v>2219</v>
      </c>
      <c r="B28" s="599"/>
      <c r="C28" s="635"/>
      <c r="D28" s="599"/>
      <c r="E28" s="612">
        <f>Application!AC868</f>
        <v>0</v>
      </c>
      <c r="F28" s="612"/>
      <c r="G28" s="612">
        <f>$E$28</f>
        <v>0</v>
      </c>
      <c r="H28" s="612"/>
      <c r="I28" s="612">
        <f>$E$28</f>
        <v>0</v>
      </c>
      <c r="J28" s="612"/>
      <c r="K28" s="612">
        <f>$E$28</f>
        <v>0</v>
      </c>
      <c r="L28" s="612"/>
      <c r="M28" s="612">
        <f>$E$28</f>
        <v>0</v>
      </c>
      <c r="N28" s="612"/>
      <c r="O28" s="612">
        <f>$E$28</f>
        <v>0</v>
      </c>
      <c r="P28" s="612"/>
      <c r="Q28" s="612">
        <f>$E$28</f>
        <v>0</v>
      </c>
      <c r="R28" s="612"/>
      <c r="S28" s="612">
        <f>$E$28</f>
        <v>0</v>
      </c>
      <c r="T28" s="612"/>
      <c r="U28" s="612">
        <f>$E$28</f>
        <v>0</v>
      </c>
      <c r="V28" s="612"/>
      <c r="W28" s="612">
        <f>$E$28</f>
        <v>0</v>
      </c>
      <c r="X28" s="612"/>
      <c r="Y28" s="612">
        <f>$E$28</f>
        <v>0</v>
      </c>
      <c r="Z28" s="612"/>
      <c r="AA28" s="612">
        <f>$E$28</f>
        <v>0</v>
      </c>
      <c r="AB28" s="612"/>
      <c r="AC28" s="612">
        <f>$E$28</f>
        <v>0</v>
      </c>
      <c r="AD28" s="612"/>
      <c r="AE28" s="612">
        <f>$E$28</f>
        <v>0</v>
      </c>
      <c r="AF28" s="612"/>
      <c r="AG28" s="612">
        <f>$E$28</f>
        <v>0</v>
      </c>
    </row>
    <row r="29" spans="1:33" ht="14.25">
      <c r="A29" s="1402" t="s">
        <v>1200</v>
      </c>
      <c r="B29" s="599"/>
      <c r="C29" s="633">
        <v>1.02</v>
      </c>
      <c r="D29" s="599"/>
      <c r="E29" s="612">
        <f>Application!AC869</f>
        <v>7500</v>
      </c>
      <c r="F29" s="612"/>
      <c r="G29" s="612">
        <f>E29*$C$29</f>
        <v>7650</v>
      </c>
      <c r="H29" s="612"/>
      <c r="I29" s="612">
        <f>G29*$C$29</f>
        <v>7803</v>
      </c>
      <c r="J29" s="612"/>
      <c r="K29" s="612">
        <f>I29*$C$29</f>
        <v>7959.06</v>
      </c>
      <c r="L29" s="612"/>
      <c r="M29" s="612">
        <f>K29*$C$29</f>
        <v>8118.2412000000004</v>
      </c>
      <c r="N29" s="612"/>
      <c r="O29" s="612">
        <f>M29*$C$29</f>
        <v>8280.6060240000006</v>
      </c>
      <c r="P29" s="612"/>
      <c r="Q29" s="612">
        <f>O29*$C$29</f>
        <v>8446.2181444800008</v>
      </c>
      <c r="R29" s="612"/>
      <c r="S29" s="612">
        <f>Q29*$C$29</f>
        <v>8615.1425073696009</v>
      </c>
      <c r="T29" s="612"/>
      <c r="U29" s="612">
        <f>S29*$C$29</f>
        <v>8787.4453575169937</v>
      </c>
      <c r="V29" s="612"/>
      <c r="W29" s="612">
        <f>U29*$C$29</f>
        <v>8963.1942646673342</v>
      </c>
      <c r="X29" s="612"/>
      <c r="Y29" s="612">
        <f>W29*$C$29</f>
        <v>9142.4581499606811</v>
      </c>
      <c r="Z29" s="612"/>
      <c r="AA29" s="612">
        <f>Y29*$C$29</f>
        <v>9325.3073129598943</v>
      </c>
      <c r="AB29" s="612"/>
      <c r="AC29" s="612">
        <f>AA29*$C$29</f>
        <v>9511.8134592190927</v>
      </c>
      <c r="AD29" s="612"/>
      <c r="AE29" s="612">
        <f>AC29*$C$29</f>
        <v>9702.0497284034755</v>
      </c>
      <c r="AF29" s="612"/>
      <c r="AG29" s="612">
        <f>AE29*$C$29</f>
        <v>9896.0907229715449</v>
      </c>
    </row>
    <row r="30" spans="1:33" s="1383" customFormat="1" ht="14.25">
      <c r="A30" s="1402" t="s">
        <v>2220</v>
      </c>
      <c r="B30" s="599"/>
      <c r="C30" s="633">
        <v>1.02</v>
      </c>
      <c r="D30" s="599"/>
      <c r="E30" s="612">
        <f>Application!AC870</f>
        <v>0</v>
      </c>
      <c r="F30" s="612"/>
      <c r="G30" s="612">
        <f>E30*$C$30</f>
        <v>0</v>
      </c>
      <c r="H30" s="612"/>
      <c r="I30" s="612">
        <f>G30*$C$30</f>
        <v>0</v>
      </c>
      <c r="J30" s="612"/>
      <c r="K30" s="612">
        <f>I30*$C$30</f>
        <v>0</v>
      </c>
      <c r="L30" s="612"/>
      <c r="M30" s="612">
        <f>K30*$C$30</f>
        <v>0</v>
      </c>
      <c r="N30" s="612"/>
      <c r="O30" s="612">
        <f>M30*$C$30</f>
        <v>0</v>
      </c>
      <c r="P30" s="612"/>
      <c r="Q30" s="612">
        <f>O30*$C$30</f>
        <v>0</v>
      </c>
      <c r="R30" s="612"/>
      <c r="S30" s="612">
        <f>Q30*$C$30</f>
        <v>0</v>
      </c>
      <c r="T30" s="612"/>
      <c r="U30" s="612">
        <f>S30*$C$30</f>
        <v>0</v>
      </c>
      <c r="V30" s="612"/>
      <c r="W30" s="612">
        <f>U30*$C$30</f>
        <v>0</v>
      </c>
      <c r="X30" s="612"/>
      <c r="Y30" s="612">
        <f>W30*$C$30</f>
        <v>0</v>
      </c>
      <c r="Z30" s="612"/>
      <c r="AA30" s="612">
        <f>Y30*$C$30</f>
        <v>0</v>
      </c>
      <c r="AB30" s="612"/>
      <c r="AC30" s="612">
        <f>AA30*$C$30</f>
        <v>0</v>
      </c>
      <c r="AD30" s="612"/>
      <c r="AE30" s="612">
        <f>AC30*$C$30</f>
        <v>0</v>
      </c>
      <c r="AF30" s="612"/>
      <c r="AG30" s="612">
        <f>AE30*$C$30</f>
        <v>0</v>
      </c>
    </row>
    <row r="31" spans="1:33" ht="14.25">
      <c r="A31" s="616" t="str">
        <f>Application!E871</f>
        <v>Other (Specify):</v>
      </c>
      <c r="B31" s="616"/>
      <c r="C31" s="773">
        <v>1.0349999999999999</v>
      </c>
      <c r="D31" s="599"/>
      <c r="E31" s="612">
        <f>Application!AC871</f>
        <v>0</v>
      </c>
      <c r="F31" s="612"/>
      <c r="G31" s="612">
        <f>E31*$C$31</f>
        <v>0</v>
      </c>
      <c r="H31" s="612"/>
      <c r="I31" s="612">
        <f>G31*$C$31</f>
        <v>0</v>
      </c>
      <c r="J31" s="612"/>
      <c r="K31" s="612">
        <f>I31*$C$31</f>
        <v>0</v>
      </c>
      <c r="L31" s="612"/>
      <c r="M31" s="612">
        <f>K31*$C$31</f>
        <v>0</v>
      </c>
      <c r="N31" s="612"/>
      <c r="O31" s="612">
        <f>M31*$C$31</f>
        <v>0</v>
      </c>
      <c r="P31" s="612"/>
      <c r="Q31" s="612">
        <f>O31*$C$31</f>
        <v>0</v>
      </c>
      <c r="R31" s="612"/>
      <c r="S31" s="612">
        <f>Q31*$C$31</f>
        <v>0</v>
      </c>
      <c r="T31" s="612"/>
      <c r="U31" s="612">
        <f>S31*$C$31</f>
        <v>0</v>
      </c>
      <c r="V31" s="612"/>
      <c r="W31" s="612">
        <f>U31*$C$31</f>
        <v>0</v>
      </c>
      <c r="X31" s="612"/>
      <c r="Y31" s="612">
        <f>W31*$C$31</f>
        <v>0</v>
      </c>
      <c r="Z31" s="612"/>
      <c r="AA31" s="612">
        <f>Y31*$C$31</f>
        <v>0</v>
      </c>
      <c r="AB31" s="612"/>
      <c r="AC31" s="612">
        <f>AA31*$C$31</f>
        <v>0</v>
      </c>
      <c r="AD31" s="612"/>
      <c r="AE31" s="612">
        <f>AC31*$C$31</f>
        <v>0</v>
      </c>
      <c r="AF31" s="612"/>
      <c r="AG31" s="612">
        <f>AE31*$C$31</f>
        <v>0</v>
      </c>
    </row>
    <row r="32" spans="1:33" ht="14.25">
      <c r="A32" s="616" t="str">
        <f>Application!E872</f>
        <v>Other (Specify):</v>
      </c>
      <c r="B32" s="616"/>
      <c r="C32" s="773">
        <v>1.0349999999999999</v>
      </c>
      <c r="D32" s="599"/>
      <c r="E32" s="612">
        <f>Application!AC872</f>
        <v>0</v>
      </c>
      <c r="F32" s="612"/>
      <c r="G32" s="612">
        <f>E32*$C$32</f>
        <v>0</v>
      </c>
      <c r="H32" s="612"/>
      <c r="I32" s="612">
        <f>G32*$C$32</f>
        <v>0</v>
      </c>
      <c r="J32" s="612"/>
      <c r="K32" s="612">
        <f>I32*$C$32</f>
        <v>0</v>
      </c>
      <c r="L32" s="612"/>
      <c r="M32" s="612">
        <f>K32*$C$32</f>
        <v>0</v>
      </c>
      <c r="N32" s="612"/>
      <c r="O32" s="612">
        <f>M32*$C$32</f>
        <v>0</v>
      </c>
      <c r="P32" s="612"/>
      <c r="Q32" s="612">
        <f>O32*$C$32</f>
        <v>0</v>
      </c>
      <c r="R32" s="612"/>
      <c r="S32" s="612">
        <f>Q32*$C$32</f>
        <v>0</v>
      </c>
      <c r="T32" s="612"/>
      <c r="U32" s="612">
        <f>S32*$C$32</f>
        <v>0</v>
      </c>
      <c r="V32" s="612"/>
      <c r="W32" s="612">
        <f>U32*$C$32</f>
        <v>0</v>
      </c>
      <c r="X32" s="612"/>
      <c r="Y32" s="612">
        <f>W32*$C$32</f>
        <v>0</v>
      </c>
      <c r="Z32" s="612"/>
      <c r="AA32" s="612">
        <f>Y32*$C$32</f>
        <v>0</v>
      </c>
      <c r="AB32" s="612"/>
      <c r="AC32" s="612">
        <f>AA32*$C$32</f>
        <v>0</v>
      </c>
      <c r="AD32" s="612"/>
      <c r="AE32" s="612">
        <f>AC32*$C$32</f>
        <v>0</v>
      </c>
      <c r="AF32" s="612"/>
      <c r="AG32" s="612">
        <f>AE32*$C$32</f>
        <v>0</v>
      </c>
    </row>
    <row r="33" spans="1:16384" ht="14.25">
      <c r="A33" s="599"/>
      <c r="B33" s="599"/>
      <c r="C33" s="610"/>
      <c r="D33" s="599"/>
      <c r="E33" s="612"/>
      <c r="F33" s="612"/>
      <c r="G33" s="612"/>
      <c r="H33" s="612"/>
      <c r="I33" s="612"/>
      <c r="J33" s="612"/>
      <c r="K33" s="612"/>
      <c r="L33" s="612"/>
      <c r="M33" s="612"/>
      <c r="N33" s="612"/>
      <c r="O33" s="612"/>
      <c r="P33" s="612"/>
      <c r="Q33" s="612"/>
      <c r="R33" s="612"/>
      <c r="S33" s="612"/>
      <c r="T33" s="612"/>
      <c r="U33" s="612"/>
      <c r="V33" s="612"/>
      <c r="W33" s="612"/>
      <c r="X33" s="612"/>
      <c r="Y33" s="612"/>
      <c r="Z33" s="612"/>
      <c r="AA33" s="612"/>
      <c r="AB33" s="612"/>
      <c r="AC33" s="612"/>
      <c r="AD33" s="612"/>
      <c r="AE33" s="612"/>
      <c r="AF33" s="612"/>
      <c r="AG33" s="612"/>
    </row>
    <row r="34" spans="1:16384" ht="15">
      <c r="A34" s="613" t="s">
        <v>165</v>
      </c>
      <c r="B34" s="613"/>
      <c r="C34" s="614"/>
      <c r="D34" s="613"/>
      <c r="E34" s="613">
        <f>SUM(E21:E32)</f>
        <v>523700</v>
      </c>
      <c r="F34" s="613"/>
      <c r="G34" s="613">
        <f>SUM(G21:G32)</f>
        <v>540657</v>
      </c>
      <c r="H34" s="613"/>
      <c r="I34" s="613">
        <f>SUM(I21:I32)</f>
        <v>558205.24499999988</v>
      </c>
      <c r="J34" s="613"/>
      <c r="K34" s="613">
        <f>SUM(K21:K32)</f>
        <v>576365.38357499999</v>
      </c>
      <c r="L34" s="613"/>
      <c r="M34" s="613">
        <f>SUM(M21:M32)</f>
        <v>595158.78610012494</v>
      </c>
      <c r="N34" s="613"/>
      <c r="O34" s="613">
        <f>SUM(O21:O32)</f>
        <v>614607.56999562914</v>
      </c>
      <c r="P34" s="613"/>
      <c r="Q34" s="613">
        <f>SUM(Q21:Q32)</f>
        <v>634734.62585511617</v>
      </c>
      <c r="R34" s="613"/>
      <c r="S34" s="613">
        <f>SUM(S21:S32)</f>
        <v>655563.64448787796</v>
      </c>
      <c r="T34" s="613"/>
      <c r="U34" s="613">
        <f>SUM(U21:U32)</f>
        <v>677119.14490734297</v>
      </c>
      <c r="V34" s="613"/>
      <c r="W34" s="613">
        <f>SUM(W21:W32)</f>
        <v>699426.50329873734</v>
      </c>
      <c r="X34" s="613"/>
      <c r="Y34" s="613">
        <f>SUM(Y21:Y32)</f>
        <v>722511.98300022306</v>
      </c>
      <c r="Z34" s="613"/>
      <c r="AA34" s="613">
        <f>SUM(AA21:AA32)</f>
        <v>746402.76553298137</v>
      </c>
      <c r="AB34" s="613"/>
      <c r="AC34" s="613">
        <f>SUM(AC21:AC32)</f>
        <v>771126.98271694127</v>
      </c>
      <c r="AD34" s="613"/>
      <c r="AE34" s="613">
        <f>SUM(AE21:AE32)</f>
        <v>796713.74991014588</v>
      </c>
      <c r="AF34" s="613"/>
      <c r="AG34" s="613">
        <f>SUM(AG21:AG32)</f>
        <v>823193.20041107503</v>
      </c>
    </row>
    <row r="35" spans="1:16384" ht="14.25">
      <c r="A35" s="599"/>
      <c r="B35" s="599"/>
      <c r="C35" s="610"/>
      <c r="D35" s="599"/>
      <c r="E35" s="612"/>
      <c r="F35" s="612"/>
      <c r="G35" s="612"/>
      <c r="H35" s="612"/>
      <c r="I35" s="612"/>
      <c r="J35" s="612"/>
      <c r="K35" s="612"/>
      <c r="L35" s="612"/>
      <c r="M35" s="612"/>
      <c r="N35" s="612"/>
      <c r="O35" s="612"/>
      <c r="P35" s="612"/>
      <c r="Q35" s="612"/>
      <c r="R35" s="612"/>
      <c r="S35" s="612"/>
      <c r="T35" s="612"/>
      <c r="U35" s="612"/>
      <c r="V35" s="612"/>
      <c r="W35" s="612"/>
      <c r="X35" s="612"/>
      <c r="Y35" s="612"/>
      <c r="Z35" s="612"/>
      <c r="AA35" s="612"/>
      <c r="AB35" s="612"/>
      <c r="AC35" s="612"/>
      <c r="AD35" s="612"/>
      <c r="AE35" s="612"/>
      <c r="AF35" s="612"/>
      <c r="AG35" s="612"/>
    </row>
    <row r="36" spans="1:16384" ht="15">
      <c r="A36" s="613" t="s">
        <v>1201</v>
      </c>
      <c r="B36" s="613"/>
      <c r="C36" s="614"/>
      <c r="D36" s="613"/>
      <c r="E36" s="613">
        <f>E10-E34</f>
        <v>48108.79999999993</v>
      </c>
      <c r="F36" s="613"/>
      <c r="G36" s="613">
        <f>G10-G34</f>
        <v>45447.019999999902</v>
      </c>
      <c r="H36" s="613"/>
      <c r="I36" s="613">
        <f>I10-I34</f>
        <v>42551.375499999966</v>
      </c>
      <c r="J36" s="613"/>
      <c r="K36" s="613">
        <f>K10-K34</f>
        <v>39410.152437499724</v>
      </c>
      <c r="L36" s="613"/>
      <c r="M36" s="613">
        <f>M10-M34</f>
        <v>36011.138312687282</v>
      </c>
      <c r="N36" s="613"/>
      <c r="O36" s="613">
        <f>O10-O34</f>
        <v>32341.602527503273</v>
      </c>
      <c r="P36" s="613"/>
      <c r="Q36" s="613">
        <f>Q10-Q34</f>
        <v>28388.275981094455</v>
      </c>
      <c r="R36" s="613"/>
      <c r="S36" s="613">
        <f>S10-S34</f>
        <v>24137.329894237802</v>
      </c>
      <c r="T36" s="613"/>
      <c r="U36" s="613">
        <f>U10-U34</f>
        <v>19574.353834325681</v>
      </c>
      <c r="V36" s="613"/>
      <c r="W36" s="613">
        <f>W10-W34</f>
        <v>14684.332911473</v>
      </c>
      <c r="X36" s="613"/>
      <c r="Y36" s="613">
        <f>Y10-Y34</f>
        <v>9451.6241152425064</v>
      </c>
      <c r="Z36" s="613"/>
      <c r="AA36" s="613">
        <f>AA10-AA34</f>
        <v>3859.9317603706149</v>
      </c>
      <c r="AB36" s="613"/>
      <c r="AC36" s="613">
        <f>AC10-AC34</f>
        <v>-2107.7179912554566</v>
      </c>
      <c r="AD36" s="613"/>
      <c r="AE36" s="613">
        <f>AE10-AE34</f>
        <v>-8469.0035663179588</v>
      </c>
      <c r="AF36" s="613"/>
      <c r="AG36" s="613">
        <f>AG10-AG34</f>
        <v>-15242.335408651619</v>
      </c>
    </row>
    <row r="37" spans="1:16384" s="1552" customFormat="1" ht="14.25">
      <c r="A37" s="1549" t="s">
        <v>2495</v>
      </c>
      <c r="B37" s="1549"/>
      <c r="C37" s="1550"/>
      <c r="D37" s="1549"/>
      <c r="E37" s="1551">
        <v>44150</v>
      </c>
      <c r="F37" s="1551"/>
      <c r="G37" s="1551">
        <v>44150</v>
      </c>
      <c r="H37" s="1551"/>
      <c r="I37" s="1551">
        <v>44150</v>
      </c>
      <c r="J37" s="1551"/>
      <c r="K37" s="1551">
        <v>44150</v>
      </c>
      <c r="L37" s="1551"/>
      <c r="M37" s="1551">
        <v>44150</v>
      </c>
      <c r="N37" s="1551"/>
      <c r="O37" s="1551">
        <v>44150</v>
      </c>
      <c r="P37" s="1551"/>
      <c r="Q37" s="1551">
        <v>44150</v>
      </c>
      <c r="R37" s="1551"/>
      <c r="S37" s="1551">
        <v>44150</v>
      </c>
      <c r="T37" s="1551"/>
      <c r="U37" s="1551">
        <v>44150</v>
      </c>
      <c r="V37" s="1551"/>
      <c r="W37" s="1551">
        <v>44150</v>
      </c>
      <c r="X37" s="1551"/>
      <c r="Y37" s="1551">
        <v>44150</v>
      </c>
      <c r="Z37" s="1551"/>
      <c r="AA37" s="1551">
        <v>44150</v>
      </c>
      <c r="AB37" s="1551"/>
      <c r="AC37" s="1551">
        <v>44150</v>
      </c>
      <c r="AD37" s="1551"/>
      <c r="AE37" s="1551">
        <v>44150</v>
      </c>
      <c r="AF37" s="1551"/>
      <c r="AG37" s="1551">
        <v>44150</v>
      </c>
      <c r="AH37" s="1551"/>
      <c r="AI37" s="1551">
        <v>44150</v>
      </c>
      <c r="AJ37" s="1551"/>
      <c r="AK37" s="1551">
        <v>44150</v>
      </c>
      <c r="AL37" s="1551"/>
      <c r="AM37" s="1551">
        <v>44150</v>
      </c>
      <c r="AN37" s="1551">
        <v>44150</v>
      </c>
      <c r="AO37" s="1551"/>
      <c r="AP37" s="1551">
        <v>44150</v>
      </c>
      <c r="AQ37" s="1551"/>
      <c r="AR37" s="1551">
        <v>44150</v>
      </c>
      <c r="AS37" s="1551"/>
      <c r="AT37" s="1551">
        <v>44150</v>
      </c>
      <c r="AU37" s="1551">
        <v>44150</v>
      </c>
      <c r="AV37" s="1551"/>
      <c r="AW37" s="1551">
        <v>44150</v>
      </c>
      <c r="AX37" s="1551"/>
      <c r="AY37" s="1551">
        <v>44150</v>
      </c>
      <c r="AZ37" s="1551"/>
      <c r="BA37" s="1551">
        <v>44150</v>
      </c>
      <c r="BB37" s="1551">
        <v>44150</v>
      </c>
      <c r="BC37" s="1551"/>
      <c r="BD37" s="1551">
        <v>44150</v>
      </c>
      <c r="BE37" s="1551"/>
      <c r="BF37" s="1551">
        <v>44150</v>
      </c>
      <c r="BG37" s="1551"/>
      <c r="BH37" s="1551">
        <v>44150</v>
      </c>
      <c r="BI37" s="1551">
        <v>44150</v>
      </c>
      <c r="BJ37" s="1551"/>
      <c r="BK37" s="1551">
        <v>44150</v>
      </c>
      <c r="BL37" s="1551"/>
      <c r="BM37" s="1551">
        <v>44150</v>
      </c>
      <c r="BN37" s="1551"/>
      <c r="BO37" s="1551">
        <v>44150</v>
      </c>
      <c r="BP37" s="1551">
        <v>44150</v>
      </c>
      <c r="BQ37" s="1551"/>
      <c r="BR37" s="1551">
        <v>44150</v>
      </c>
      <c r="BS37" s="1551"/>
      <c r="BT37" s="1551">
        <v>44150</v>
      </c>
      <c r="BU37" s="1551"/>
      <c r="BV37" s="1551">
        <v>44150</v>
      </c>
      <c r="BW37" s="1551">
        <v>44150</v>
      </c>
      <c r="BX37" s="1551"/>
      <c r="BY37" s="1551">
        <v>44150</v>
      </c>
      <c r="BZ37" s="1551"/>
      <c r="CA37" s="1551">
        <v>44150</v>
      </c>
      <c r="CB37" s="1551"/>
      <c r="CC37" s="1551">
        <v>44150</v>
      </c>
      <c r="CD37" s="1551">
        <v>44150</v>
      </c>
      <c r="CE37" s="1551"/>
      <c r="CF37" s="1551">
        <v>44150</v>
      </c>
      <c r="CG37" s="1551"/>
      <c r="CH37" s="1551">
        <v>44150</v>
      </c>
      <c r="CI37" s="1551"/>
      <c r="CJ37" s="1551">
        <v>44150</v>
      </c>
      <c r="CK37" s="1551">
        <v>44150</v>
      </c>
      <c r="CL37" s="1551"/>
      <c r="CM37" s="1551">
        <v>44150</v>
      </c>
      <c r="CN37" s="1551"/>
      <c r="CO37" s="1551">
        <v>44150</v>
      </c>
      <c r="CP37" s="1551"/>
      <c r="CQ37" s="1551">
        <v>44150</v>
      </c>
      <c r="CR37" s="1551">
        <v>44150</v>
      </c>
      <c r="CS37" s="1551"/>
      <c r="CT37" s="1551">
        <v>44150</v>
      </c>
      <c r="CU37" s="1551"/>
      <c r="CV37" s="1551">
        <v>44150</v>
      </c>
      <c r="CW37" s="1551"/>
      <c r="CX37" s="1551">
        <v>44150</v>
      </c>
      <c r="CY37" s="1551">
        <v>44150</v>
      </c>
      <c r="CZ37" s="1551"/>
      <c r="DA37" s="1551">
        <v>44150</v>
      </c>
      <c r="DB37" s="1551"/>
      <c r="DC37" s="1551">
        <v>44150</v>
      </c>
      <c r="DD37" s="1551"/>
      <c r="DE37" s="1551">
        <v>44150</v>
      </c>
      <c r="DF37" s="1551">
        <v>44150</v>
      </c>
      <c r="DG37" s="1551"/>
      <c r="DH37" s="1551">
        <v>44150</v>
      </c>
      <c r="DI37" s="1551"/>
      <c r="DJ37" s="1551">
        <v>44150</v>
      </c>
      <c r="DK37" s="1551"/>
      <c r="DL37" s="1551">
        <v>44150</v>
      </c>
      <c r="DM37" s="1551">
        <v>44150</v>
      </c>
      <c r="DN37" s="1551"/>
      <c r="DO37" s="1551">
        <v>44150</v>
      </c>
      <c r="DP37" s="1551"/>
      <c r="DQ37" s="1551">
        <v>44150</v>
      </c>
      <c r="DR37" s="1551"/>
      <c r="DS37" s="1551">
        <v>44150</v>
      </c>
      <c r="DT37" s="1551">
        <v>44150</v>
      </c>
      <c r="DU37" s="1551"/>
      <c r="DV37" s="1551">
        <v>44150</v>
      </c>
      <c r="DW37" s="1551"/>
      <c r="DX37" s="1551">
        <v>44150</v>
      </c>
      <c r="DY37" s="1551"/>
      <c r="DZ37" s="1551">
        <v>44150</v>
      </c>
      <c r="EA37" s="1551">
        <v>44150</v>
      </c>
      <c r="EB37" s="1551"/>
      <c r="EC37" s="1551">
        <v>44150</v>
      </c>
      <c r="ED37" s="1551"/>
      <c r="EE37" s="1551">
        <v>44150</v>
      </c>
      <c r="EF37" s="1551"/>
      <c r="EG37" s="1551">
        <v>44150</v>
      </c>
      <c r="EH37" s="1551">
        <v>44150</v>
      </c>
      <c r="EI37" s="1551"/>
      <c r="EJ37" s="1551">
        <v>44150</v>
      </c>
      <c r="EK37" s="1551"/>
      <c r="EL37" s="1551">
        <v>44150</v>
      </c>
      <c r="EM37" s="1551"/>
      <c r="EN37" s="1551">
        <v>44150</v>
      </c>
      <c r="EO37" s="1551">
        <v>44150</v>
      </c>
      <c r="EP37" s="1551"/>
      <c r="EQ37" s="1551">
        <v>44150</v>
      </c>
      <c r="ER37" s="1551"/>
      <c r="ES37" s="1551">
        <v>44150</v>
      </c>
      <c r="ET37" s="1551"/>
      <c r="EU37" s="1551">
        <v>44150</v>
      </c>
      <c r="EV37" s="1551">
        <v>44150</v>
      </c>
      <c r="EW37" s="1551"/>
      <c r="EX37" s="1551">
        <v>44150</v>
      </c>
      <c r="EY37" s="1551"/>
      <c r="EZ37" s="1551">
        <v>44150</v>
      </c>
      <c r="FA37" s="1551"/>
      <c r="FB37" s="1551">
        <v>44150</v>
      </c>
      <c r="FC37" s="1551">
        <v>44150</v>
      </c>
      <c r="FD37" s="1551"/>
      <c r="FE37" s="1551">
        <v>44150</v>
      </c>
      <c r="FF37" s="1551"/>
      <c r="FG37" s="1551">
        <v>44150</v>
      </c>
      <c r="FH37" s="1551"/>
      <c r="FI37" s="1551">
        <v>44150</v>
      </c>
      <c r="FJ37" s="1551">
        <v>44150</v>
      </c>
      <c r="FK37" s="1551"/>
      <c r="FL37" s="1551">
        <v>44150</v>
      </c>
      <c r="FM37" s="1551"/>
      <c r="FN37" s="1551">
        <v>44150</v>
      </c>
      <c r="FO37" s="1551"/>
      <c r="FP37" s="1551">
        <v>44150</v>
      </c>
      <c r="FQ37" s="1551">
        <v>44150</v>
      </c>
      <c r="FR37" s="1551"/>
      <c r="FS37" s="1551">
        <v>44150</v>
      </c>
      <c r="FT37" s="1551"/>
      <c r="FU37" s="1551">
        <v>44150</v>
      </c>
      <c r="FV37" s="1551"/>
      <c r="FW37" s="1551">
        <v>44150</v>
      </c>
      <c r="FX37" s="1551">
        <v>44150</v>
      </c>
      <c r="FY37" s="1551"/>
      <c r="FZ37" s="1551">
        <v>44150</v>
      </c>
      <c r="GA37" s="1551"/>
      <c r="GB37" s="1551">
        <v>44150</v>
      </c>
      <c r="GC37" s="1551"/>
      <c r="GD37" s="1551">
        <v>44150</v>
      </c>
      <c r="GE37" s="1551">
        <v>44150</v>
      </c>
      <c r="GF37" s="1551"/>
      <c r="GG37" s="1551">
        <v>44150</v>
      </c>
      <c r="GH37" s="1551"/>
      <c r="GI37" s="1551">
        <v>44150</v>
      </c>
      <c r="GJ37" s="1551"/>
      <c r="GK37" s="1551">
        <v>44150</v>
      </c>
      <c r="GL37" s="1551">
        <v>44150</v>
      </c>
      <c r="GM37" s="1551"/>
      <c r="GN37" s="1551">
        <v>44150</v>
      </c>
      <c r="GO37" s="1551"/>
      <c r="GP37" s="1551">
        <v>44150</v>
      </c>
      <c r="GQ37" s="1551"/>
      <c r="GR37" s="1551">
        <v>44150</v>
      </c>
      <c r="GS37" s="1551">
        <v>44150</v>
      </c>
      <c r="GT37" s="1551"/>
      <c r="GU37" s="1551">
        <v>44150</v>
      </c>
      <c r="GV37" s="1551"/>
      <c r="GW37" s="1551">
        <v>44150</v>
      </c>
      <c r="GX37" s="1551"/>
      <c r="GY37" s="1551">
        <v>44150</v>
      </c>
      <c r="GZ37" s="1551">
        <v>44150</v>
      </c>
      <c r="HA37" s="1551"/>
      <c r="HB37" s="1551">
        <v>44150</v>
      </c>
      <c r="HC37" s="1551"/>
      <c r="HD37" s="1551">
        <v>44150</v>
      </c>
      <c r="HE37" s="1551"/>
      <c r="HF37" s="1551">
        <v>44150</v>
      </c>
      <c r="HG37" s="1551">
        <v>44150</v>
      </c>
      <c r="HH37" s="1551"/>
      <c r="HI37" s="1551">
        <v>44150</v>
      </c>
      <c r="HJ37" s="1551"/>
      <c r="HK37" s="1551">
        <v>44150</v>
      </c>
      <c r="HL37" s="1551"/>
      <c r="HM37" s="1551">
        <v>44150</v>
      </c>
      <c r="HN37" s="1551">
        <v>44150</v>
      </c>
      <c r="HO37" s="1551"/>
      <c r="HP37" s="1551">
        <v>44150</v>
      </c>
      <c r="HQ37" s="1551"/>
      <c r="HR37" s="1551">
        <v>44150</v>
      </c>
      <c r="HS37" s="1551"/>
      <c r="HT37" s="1551">
        <v>44150</v>
      </c>
      <c r="HU37" s="1551">
        <v>44150</v>
      </c>
      <c r="HV37" s="1551"/>
      <c r="HW37" s="1551">
        <v>44150</v>
      </c>
      <c r="HX37" s="1551"/>
      <c r="HY37" s="1551">
        <v>44150</v>
      </c>
      <c r="HZ37" s="1551"/>
      <c r="IA37" s="1551">
        <v>44150</v>
      </c>
      <c r="IB37" s="1551">
        <v>44150</v>
      </c>
      <c r="IC37" s="1551"/>
      <c r="ID37" s="1551">
        <v>44150</v>
      </c>
      <c r="IE37" s="1551"/>
      <c r="IF37" s="1551">
        <v>44150</v>
      </c>
      <c r="IG37" s="1551"/>
      <c r="IH37" s="1551">
        <v>44150</v>
      </c>
      <c r="II37" s="1551">
        <v>44150</v>
      </c>
      <c r="IJ37" s="1551"/>
      <c r="IK37" s="1551">
        <v>44150</v>
      </c>
      <c r="IL37" s="1551"/>
      <c r="IM37" s="1551">
        <v>44150</v>
      </c>
      <c r="IN37" s="1551"/>
      <c r="IO37" s="1551">
        <v>44150</v>
      </c>
      <c r="IP37" s="1551">
        <v>44150</v>
      </c>
      <c r="IQ37" s="1551"/>
      <c r="IR37" s="1551">
        <v>44150</v>
      </c>
      <c r="IS37" s="1551"/>
      <c r="IT37" s="1551">
        <v>44150</v>
      </c>
      <c r="IU37" s="1551"/>
      <c r="IV37" s="1551">
        <v>44150</v>
      </c>
      <c r="IW37" s="1551">
        <v>44150</v>
      </c>
      <c r="IX37" s="1551"/>
      <c r="IY37" s="1551">
        <v>44150</v>
      </c>
      <c r="IZ37" s="1551"/>
      <c r="JA37" s="1551">
        <v>44150</v>
      </c>
      <c r="JB37" s="1551"/>
      <c r="JC37" s="1551">
        <v>44150</v>
      </c>
      <c r="JD37" s="1551">
        <v>44150</v>
      </c>
      <c r="JE37" s="1551"/>
      <c r="JF37" s="1551">
        <v>44150</v>
      </c>
      <c r="JG37" s="1551"/>
      <c r="JH37" s="1551">
        <v>44150</v>
      </c>
      <c r="JI37" s="1551"/>
      <c r="JJ37" s="1551">
        <v>44150</v>
      </c>
      <c r="JK37" s="1551">
        <v>44150</v>
      </c>
      <c r="JL37" s="1551"/>
      <c r="JM37" s="1551">
        <v>44150</v>
      </c>
      <c r="JN37" s="1551"/>
      <c r="JO37" s="1551">
        <v>44150</v>
      </c>
      <c r="JP37" s="1551"/>
      <c r="JQ37" s="1551">
        <v>44150</v>
      </c>
      <c r="JR37" s="1551">
        <v>44150</v>
      </c>
      <c r="JS37" s="1551"/>
      <c r="JT37" s="1551">
        <v>44150</v>
      </c>
      <c r="JU37" s="1551"/>
      <c r="JV37" s="1551">
        <v>44150</v>
      </c>
      <c r="JW37" s="1551"/>
      <c r="JX37" s="1551">
        <v>44150</v>
      </c>
      <c r="JY37" s="1551">
        <v>44150</v>
      </c>
      <c r="JZ37" s="1551"/>
      <c r="KA37" s="1551">
        <v>44150</v>
      </c>
      <c r="KB37" s="1551"/>
      <c r="KC37" s="1551">
        <v>44150</v>
      </c>
      <c r="KD37" s="1551"/>
      <c r="KE37" s="1551">
        <v>44150</v>
      </c>
      <c r="KF37" s="1551">
        <v>44150</v>
      </c>
      <c r="KG37" s="1551"/>
      <c r="KH37" s="1551">
        <v>44150</v>
      </c>
      <c r="KI37" s="1551"/>
      <c r="KJ37" s="1551">
        <v>44150</v>
      </c>
      <c r="KK37" s="1551"/>
      <c r="KL37" s="1551">
        <v>44150</v>
      </c>
      <c r="KM37" s="1551">
        <v>44150</v>
      </c>
      <c r="KN37" s="1551"/>
      <c r="KO37" s="1551">
        <v>44150</v>
      </c>
      <c r="KP37" s="1551"/>
      <c r="KQ37" s="1551">
        <v>44150</v>
      </c>
      <c r="KR37" s="1551"/>
      <c r="KS37" s="1551">
        <v>44150</v>
      </c>
      <c r="KT37" s="1551">
        <v>44150</v>
      </c>
      <c r="KU37" s="1551"/>
      <c r="KV37" s="1551">
        <v>44150</v>
      </c>
      <c r="KW37" s="1551"/>
      <c r="KX37" s="1551">
        <v>44150</v>
      </c>
      <c r="KY37" s="1551"/>
      <c r="KZ37" s="1551">
        <v>44150</v>
      </c>
      <c r="LA37" s="1551">
        <v>44150</v>
      </c>
      <c r="LB37" s="1551"/>
      <c r="LC37" s="1551">
        <v>44150</v>
      </c>
      <c r="LD37" s="1551"/>
      <c r="LE37" s="1551">
        <v>44150</v>
      </c>
      <c r="LF37" s="1551"/>
      <c r="LG37" s="1551">
        <v>44150</v>
      </c>
      <c r="LH37" s="1551">
        <v>44150</v>
      </c>
      <c r="LI37" s="1551"/>
      <c r="LJ37" s="1551">
        <v>44150</v>
      </c>
      <c r="LK37" s="1551"/>
      <c r="LL37" s="1551">
        <v>44150</v>
      </c>
      <c r="LM37" s="1551"/>
      <c r="LN37" s="1551">
        <v>44150</v>
      </c>
      <c r="LO37" s="1551">
        <v>44150</v>
      </c>
      <c r="LP37" s="1551"/>
      <c r="LQ37" s="1551">
        <v>44150</v>
      </c>
      <c r="LR37" s="1551"/>
      <c r="LS37" s="1551">
        <v>44150</v>
      </c>
      <c r="LT37" s="1551"/>
      <c r="LU37" s="1551">
        <v>44150</v>
      </c>
      <c r="LV37" s="1551">
        <v>44150</v>
      </c>
      <c r="LW37" s="1551"/>
      <c r="LX37" s="1551">
        <v>44150</v>
      </c>
      <c r="LY37" s="1551"/>
      <c r="LZ37" s="1551">
        <v>44150</v>
      </c>
      <c r="MA37" s="1551"/>
      <c r="MB37" s="1551">
        <v>44150</v>
      </c>
      <c r="MC37" s="1551">
        <v>44150</v>
      </c>
      <c r="MD37" s="1551"/>
      <c r="ME37" s="1551">
        <v>44150</v>
      </c>
      <c r="MF37" s="1551"/>
      <c r="MG37" s="1551">
        <v>44150</v>
      </c>
      <c r="MH37" s="1551"/>
      <c r="MI37" s="1551">
        <v>44150</v>
      </c>
      <c r="MJ37" s="1551">
        <v>44150</v>
      </c>
      <c r="MK37" s="1551"/>
      <c r="ML37" s="1551">
        <v>44150</v>
      </c>
      <c r="MM37" s="1551"/>
      <c r="MN37" s="1551">
        <v>44150</v>
      </c>
      <c r="MO37" s="1551"/>
      <c r="MP37" s="1551">
        <v>44150</v>
      </c>
      <c r="MQ37" s="1551">
        <v>44150</v>
      </c>
      <c r="MR37" s="1551"/>
      <c r="MS37" s="1551">
        <v>44150</v>
      </c>
      <c r="MT37" s="1551"/>
      <c r="MU37" s="1551">
        <v>44150</v>
      </c>
      <c r="MV37" s="1551"/>
      <c r="MW37" s="1551">
        <v>44150</v>
      </c>
      <c r="MX37" s="1551">
        <v>44150</v>
      </c>
      <c r="MY37" s="1551"/>
      <c r="MZ37" s="1551">
        <v>44150</v>
      </c>
      <c r="NA37" s="1551"/>
      <c r="NB37" s="1551">
        <v>44150</v>
      </c>
      <c r="NC37" s="1551"/>
      <c r="ND37" s="1551">
        <v>44150</v>
      </c>
      <c r="NE37" s="1551">
        <v>44150</v>
      </c>
      <c r="NF37" s="1551"/>
      <c r="NG37" s="1551">
        <v>44150</v>
      </c>
      <c r="NH37" s="1551"/>
      <c r="NI37" s="1551">
        <v>44150</v>
      </c>
      <c r="NJ37" s="1551"/>
      <c r="NK37" s="1551">
        <v>44150</v>
      </c>
      <c r="NL37" s="1551">
        <v>44150</v>
      </c>
      <c r="NM37" s="1551"/>
      <c r="NN37" s="1551">
        <v>44150</v>
      </c>
      <c r="NO37" s="1551"/>
      <c r="NP37" s="1551">
        <v>44150</v>
      </c>
      <c r="NQ37" s="1551"/>
      <c r="NR37" s="1551">
        <v>44150</v>
      </c>
      <c r="NS37" s="1551">
        <v>44150</v>
      </c>
      <c r="NT37" s="1551"/>
      <c r="NU37" s="1551">
        <v>44150</v>
      </c>
      <c r="NV37" s="1551"/>
      <c r="NW37" s="1551">
        <v>44150</v>
      </c>
      <c r="NX37" s="1551"/>
      <c r="NY37" s="1551">
        <v>44150</v>
      </c>
      <c r="NZ37" s="1551">
        <v>44150</v>
      </c>
      <c r="OA37" s="1551"/>
      <c r="OB37" s="1551">
        <v>44150</v>
      </c>
      <c r="OC37" s="1551"/>
      <c r="OD37" s="1551">
        <v>44150</v>
      </c>
      <c r="OE37" s="1551"/>
      <c r="OF37" s="1551">
        <v>44150</v>
      </c>
      <c r="OG37" s="1551">
        <v>44150</v>
      </c>
      <c r="OH37" s="1551"/>
      <c r="OI37" s="1551">
        <v>44150</v>
      </c>
      <c r="OJ37" s="1551"/>
      <c r="OK37" s="1551">
        <v>44150</v>
      </c>
      <c r="OL37" s="1551"/>
      <c r="OM37" s="1551">
        <v>44150</v>
      </c>
      <c r="ON37" s="1551">
        <v>44150</v>
      </c>
      <c r="OO37" s="1551"/>
      <c r="OP37" s="1551">
        <v>44150</v>
      </c>
      <c r="OQ37" s="1551"/>
      <c r="OR37" s="1551">
        <v>44150</v>
      </c>
      <c r="OS37" s="1551"/>
      <c r="OT37" s="1551">
        <v>44150</v>
      </c>
      <c r="OU37" s="1551">
        <v>44150</v>
      </c>
      <c r="OV37" s="1551"/>
      <c r="OW37" s="1551">
        <v>44150</v>
      </c>
      <c r="OX37" s="1551"/>
      <c r="OY37" s="1551">
        <v>44150</v>
      </c>
      <c r="OZ37" s="1551"/>
      <c r="PA37" s="1551">
        <v>44150</v>
      </c>
      <c r="PB37" s="1551">
        <v>44150</v>
      </c>
      <c r="PC37" s="1551"/>
      <c r="PD37" s="1551">
        <v>44150</v>
      </c>
      <c r="PE37" s="1551"/>
      <c r="PF37" s="1551">
        <v>44150</v>
      </c>
      <c r="PG37" s="1551"/>
      <c r="PH37" s="1551">
        <v>44150</v>
      </c>
      <c r="PI37" s="1551">
        <v>44150</v>
      </c>
      <c r="PJ37" s="1551"/>
      <c r="PK37" s="1551">
        <v>44150</v>
      </c>
      <c r="PL37" s="1551"/>
      <c r="PM37" s="1551">
        <v>44150</v>
      </c>
      <c r="PN37" s="1551"/>
      <c r="PO37" s="1551">
        <v>44150</v>
      </c>
      <c r="PP37" s="1551">
        <v>44150</v>
      </c>
      <c r="PQ37" s="1551"/>
      <c r="PR37" s="1551">
        <v>44150</v>
      </c>
      <c r="PS37" s="1551"/>
      <c r="PT37" s="1551">
        <v>44150</v>
      </c>
      <c r="PU37" s="1551"/>
      <c r="PV37" s="1551">
        <v>44150</v>
      </c>
      <c r="PW37" s="1551">
        <v>44150</v>
      </c>
      <c r="PX37" s="1551"/>
      <c r="PY37" s="1551">
        <v>44150</v>
      </c>
      <c r="PZ37" s="1551"/>
      <c r="QA37" s="1551">
        <v>44150</v>
      </c>
      <c r="QB37" s="1551"/>
      <c r="QC37" s="1551">
        <v>44150</v>
      </c>
      <c r="QD37" s="1551">
        <v>44150</v>
      </c>
      <c r="QE37" s="1551"/>
      <c r="QF37" s="1551">
        <v>44150</v>
      </c>
      <c r="QG37" s="1551"/>
      <c r="QH37" s="1551">
        <v>44150</v>
      </c>
      <c r="QI37" s="1551"/>
      <c r="QJ37" s="1551">
        <v>44150</v>
      </c>
      <c r="QK37" s="1551">
        <v>44150</v>
      </c>
      <c r="QL37" s="1551"/>
      <c r="QM37" s="1551">
        <v>44150</v>
      </c>
      <c r="QN37" s="1551"/>
      <c r="QO37" s="1551">
        <v>44150</v>
      </c>
      <c r="QP37" s="1551"/>
      <c r="QQ37" s="1551">
        <v>44150</v>
      </c>
      <c r="QR37" s="1551">
        <v>44150</v>
      </c>
      <c r="QS37" s="1551"/>
      <c r="QT37" s="1551">
        <v>44150</v>
      </c>
      <c r="QU37" s="1551"/>
      <c r="QV37" s="1551">
        <v>44150</v>
      </c>
      <c r="QW37" s="1551"/>
      <c r="QX37" s="1551">
        <v>44150</v>
      </c>
      <c r="QY37" s="1551">
        <v>44150</v>
      </c>
      <c r="QZ37" s="1551"/>
      <c r="RA37" s="1551">
        <v>44150</v>
      </c>
      <c r="RB37" s="1551"/>
      <c r="RC37" s="1551">
        <v>44150</v>
      </c>
      <c r="RD37" s="1551"/>
      <c r="RE37" s="1551">
        <v>44150</v>
      </c>
      <c r="RF37" s="1551">
        <v>44150</v>
      </c>
      <c r="RG37" s="1551"/>
      <c r="RH37" s="1551">
        <v>44150</v>
      </c>
      <c r="RI37" s="1551"/>
      <c r="RJ37" s="1551">
        <v>44150</v>
      </c>
      <c r="RK37" s="1551"/>
      <c r="RL37" s="1551">
        <v>44150</v>
      </c>
      <c r="RM37" s="1551">
        <v>44150</v>
      </c>
      <c r="RN37" s="1551"/>
      <c r="RO37" s="1551">
        <v>44150</v>
      </c>
      <c r="RP37" s="1551"/>
      <c r="RQ37" s="1551">
        <v>44150</v>
      </c>
      <c r="RR37" s="1551"/>
      <c r="RS37" s="1551">
        <v>44150</v>
      </c>
      <c r="RT37" s="1551">
        <v>44150</v>
      </c>
      <c r="RU37" s="1551"/>
      <c r="RV37" s="1551">
        <v>44150</v>
      </c>
      <c r="RW37" s="1551"/>
      <c r="RX37" s="1551">
        <v>44150</v>
      </c>
      <c r="RY37" s="1551"/>
      <c r="RZ37" s="1551">
        <v>44150</v>
      </c>
      <c r="SA37" s="1551">
        <v>44150</v>
      </c>
      <c r="SB37" s="1551"/>
      <c r="SC37" s="1551">
        <v>44150</v>
      </c>
      <c r="SD37" s="1551"/>
      <c r="SE37" s="1551">
        <v>44150</v>
      </c>
      <c r="SF37" s="1551"/>
      <c r="SG37" s="1551">
        <v>44150</v>
      </c>
      <c r="SH37" s="1551">
        <v>44150</v>
      </c>
      <c r="SI37" s="1551"/>
      <c r="SJ37" s="1551">
        <v>44150</v>
      </c>
      <c r="SK37" s="1551"/>
      <c r="SL37" s="1551">
        <v>44150</v>
      </c>
      <c r="SM37" s="1551"/>
      <c r="SN37" s="1551">
        <v>44150</v>
      </c>
      <c r="SO37" s="1551">
        <v>44150</v>
      </c>
      <c r="SP37" s="1551"/>
      <c r="SQ37" s="1551">
        <v>44150</v>
      </c>
      <c r="SR37" s="1551"/>
      <c r="SS37" s="1551">
        <v>44150</v>
      </c>
      <c r="ST37" s="1551"/>
      <c r="SU37" s="1551">
        <v>44150</v>
      </c>
      <c r="SV37" s="1551">
        <v>44150</v>
      </c>
      <c r="SW37" s="1551"/>
      <c r="SX37" s="1551">
        <v>44150</v>
      </c>
      <c r="SY37" s="1551"/>
      <c r="SZ37" s="1551">
        <v>44150</v>
      </c>
      <c r="TA37" s="1551"/>
      <c r="TB37" s="1551">
        <v>44150</v>
      </c>
      <c r="TC37" s="1551">
        <v>44150</v>
      </c>
      <c r="TD37" s="1551"/>
      <c r="TE37" s="1551">
        <v>44150</v>
      </c>
      <c r="TF37" s="1551"/>
      <c r="TG37" s="1551">
        <v>44150</v>
      </c>
      <c r="TH37" s="1551"/>
      <c r="TI37" s="1551">
        <v>44150</v>
      </c>
      <c r="TJ37" s="1551">
        <v>44150</v>
      </c>
      <c r="TK37" s="1551"/>
      <c r="TL37" s="1551">
        <v>44150</v>
      </c>
      <c r="TM37" s="1551"/>
      <c r="TN37" s="1551">
        <v>44150</v>
      </c>
      <c r="TO37" s="1551"/>
      <c r="TP37" s="1551">
        <v>44150</v>
      </c>
      <c r="TQ37" s="1551">
        <v>44150</v>
      </c>
      <c r="TR37" s="1551"/>
      <c r="TS37" s="1551">
        <v>44150</v>
      </c>
      <c r="TT37" s="1551"/>
      <c r="TU37" s="1551">
        <v>44150</v>
      </c>
      <c r="TV37" s="1551"/>
      <c r="TW37" s="1551">
        <v>44150</v>
      </c>
      <c r="TX37" s="1551">
        <v>44150</v>
      </c>
      <c r="TY37" s="1551"/>
      <c r="TZ37" s="1551">
        <v>44150</v>
      </c>
      <c r="UA37" s="1551"/>
      <c r="UB37" s="1551">
        <v>44150</v>
      </c>
      <c r="UC37" s="1551"/>
      <c r="UD37" s="1551">
        <v>44150</v>
      </c>
      <c r="UE37" s="1551">
        <v>44150</v>
      </c>
      <c r="UF37" s="1551"/>
      <c r="UG37" s="1551">
        <v>44150</v>
      </c>
      <c r="UH37" s="1551"/>
      <c r="UI37" s="1551">
        <v>44150</v>
      </c>
      <c r="UJ37" s="1551"/>
      <c r="UK37" s="1551">
        <v>44150</v>
      </c>
      <c r="UL37" s="1551">
        <v>44150</v>
      </c>
      <c r="UM37" s="1551"/>
      <c r="UN37" s="1551">
        <v>44150</v>
      </c>
      <c r="UO37" s="1551"/>
      <c r="UP37" s="1551">
        <v>44150</v>
      </c>
      <c r="UQ37" s="1551"/>
      <c r="UR37" s="1551">
        <v>44150</v>
      </c>
      <c r="US37" s="1551">
        <v>44150</v>
      </c>
      <c r="UT37" s="1551"/>
      <c r="UU37" s="1551">
        <v>44150</v>
      </c>
      <c r="UV37" s="1551"/>
      <c r="UW37" s="1551">
        <v>44150</v>
      </c>
      <c r="UX37" s="1551"/>
      <c r="UY37" s="1551">
        <v>44150</v>
      </c>
      <c r="UZ37" s="1551">
        <v>44150</v>
      </c>
      <c r="VA37" s="1551"/>
      <c r="VB37" s="1551">
        <v>44150</v>
      </c>
      <c r="VC37" s="1551"/>
      <c r="VD37" s="1551">
        <v>44150</v>
      </c>
      <c r="VE37" s="1551"/>
      <c r="VF37" s="1551">
        <v>44150</v>
      </c>
      <c r="VG37" s="1551">
        <v>44150</v>
      </c>
      <c r="VH37" s="1551"/>
      <c r="VI37" s="1551">
        <v>44150</v>
      </c>
      <c r="VJ37" s="1551"/>
      <c r="VK37" s="1551">
        <v>44150</v>
      </c>
      <c r="VL37" s="1551"/>
      <c r="VM37" s="1551">
        <v>44150</v>
      </c>
      <c r="VN37" s="1551">
        <v>44150</v>
      </c>
      <c r="VO37" s="1551"/>
      <c r="VP37" s="1551">
        <v>44150</v>
      </c>
      <c r="VQ37" s="1551"/>
      <c r="VR37" s="1551">
        <v>44150</v>
      </c>
      <c r="VS37" s="1551"/>
      <c r="VT37" s="1551">
        <v>44150</v>
      </c>
      <c r="VU37" s="1551">
        <v>44150</v>
      </c>
      <c r="VV37" s="1551"/>
      <c r="VW37" s="1551">
        <v>44150</v>
      </c>
      <c r="VX37" s="1551"/>
      <c r="VY37" s="1551">
        <v>44150</v>
      </c>
      <c r="VZ37" s="1551"/>
      <c r="WA37" s="1551">
        <v>44150</v>
      </c>
      <c r="WB37" s="1551">
        <v>44150</v>
      </c>
      <c r="WC37" s="1551"/>
      <c r="WD37" s="1551">
        <v>44150</v>
      </c>
      <c r="WE37" s="1551"/>
      <c r="WF37" s="1551">
        <v>44150</v>
      </c>
      <c r="WG37" s="1551"/>
      <c r="WH37" s="1551">
        <v>44150</v>
      </c>
      <c r="WI37" s="1551">
        <v>44150</v>
      </c>
      <c r="WJ37" s="1551"/>
      <c r="WK37" s="1551">
        <v>44150</v>
      </c>
      <c r="WL37" s="1551"/>
      <c r="WM37" s="1551">
        <v>44150</v>
      </c>
      <c r="WN37" s="1551"/>
      <c r="WO37" s="1551">
        <v>44150</v>
      </c>
      <c r="WP37" s="1551">
        <v>44150</v>
      </c>
      <c r="WQ37" s="1551"/>
      <c r="WR37" s="1551">
        <v>44150</v>
      </c>
      <c r="WS37" s="1551"/>
      <c r="WT37" s="1551">
        <v>44150</v>
      </c>
      <c r="WU37" s="1551"/>
      <c r="WV37" s="1551">
        <v>44150</v>
      </c>
      <c r="WW37" s="1551">
        <v>44150</v>
      </c>
      <c r="WX37" s="1551"/>
      <c r="WY37" s="1551">
        <v>44150</v>
      </c>
      <c r="WZ37" s="1551"/>
      <c r="XA37" s="1551">
        <v>44150</v>
      </c>
      <c r="XB37" s="1551"/>
      <c r="XC37" s="1551">
        <v>44150</v>
      </c>
      <c r="XD37" s="1551">
        <v>44150</v>
      </c>
      <c r="XE37" s="1551"/>
      <c r="XF37" s="1551">
        <v>44150</v>
      </c>
      <c r="XG37" s="1551"/>
      <c r="XH37" s="1551">
        <v>44150</v>
      </c>
      <c r="XI37" s="1551"/>
      <c r="XJ37" s="1551">
        <v>44150</v>
      </c>
      <c r="XK37" s="1551">
        <v>44150</v>
      </c>
      <c r="XL37" s="1551"/>
      <c r="XM37" s="1551">
        <v>44150</v>
      </c>
      <c r="XN37" s="1551"/>
      <c r="XO37" s="1551">
        <v>44150</v>
      </c>
      <c r="XP37" s="1551"/>
      <c r="XQ37" s="1551">
        <v>44150</v>
      </c>
      <c r="XR37" s="1551">
        <v>44150</v>
      </c>
      <c r="XS37" s="1551"/>
      <c r="XT37" s="1551">
        <v>44150</v>
      </c>
      <c r="XU37" s="1551"/>
      <c r="XV37" s="1551">
        <v>44150</v>
      </c>
      <c r="XW37" s="1551"/>
      <c r="XX37" s="1551">
        <v>44150</v>
      </c>
      <c r="XY37" s="1551">
        <v>44150</v>
      </c>
      <c r="XZ37" s="1551"/>
      <c r="YA37" s="1551">
        <v>44150</v>
      </c>
      <c r="YB37" s="1551"/>
      <c r="YC37" s="1551">
        <v>44150</v>
      </c>
      <c r="YD37" s="1551"/>
      <c r="YE37" s="1551">
        <v>44150</v>
      </c>
      <c r="YF37" s="1551">
        <v>44150</v>
      </c>
      <c r="YG37" s="1551"/>
      <c r="YH37" s="1551">
        <v>44150</v>
      </c>
      <c r="YI37" s="1551"/>
      <c r="YJ37" s="1551">
        <v>44150</v>
      </c>
      <c r="YK37" s="1551"/>
      <c r="YL37" s="1551">
        <v>44150</v>
      </c>
      <c r="YM37" s="1551">
        <v>44150</v>
      </c>
      <c r="YN37" s="1551"/>
      <c r="YO37" s="1551">
        <v>44150</v>
      </c>
      <c r="YP37" s="1551"/>
      <c r="YQ37" s="1551">
        <v>44150</v>
      </c>
      <c r="YR37" s="1551"/>
      <c r="YS37" s="1551">
        <v>44150</v>
      </c>
      <c r="YT37" s="1551">
        <v>44150</v>
      </c>
      <c r="YU37" s="1551"/>
      <c r="YV37" s="1551">
        <v>44150</v>
      </c>
      <c r="YW37" s="1551"/>
      <c r="YX37" s="1551">
        <v>44150</v>
      </c>
      <c r="YY37" s="1551"/>
      <c r="YZ37" s="1551">
        <v>44150</v>
      </c>
      <c r="ZA37" s="1551">
        <v>44150</v>
      </c>
      <c r="ZB37" s="1551"/>
      <c r="ZC37" s="1551">
        <v>44150</v>
      </c>
      <c r="ZD37" s="1551"/>
      <c r="ZE37" s="1551">
        <v>44150</v>
      </c>
      <c r="ZF37" s="1551"/>
      <c r="ZG37" s="1551">
        <v>44150</v>
      </c>
      <c r="ZH37" s="1551">
        <v>44150</v>
      </c>
      <c r="ZI37" s="1551"/>
      <c r="ZJ37" s="1551">
        <v>44150</v>
      </c>
      <c r="ZK37" s="1551"/>
      <c r="ZL37" s="1551">
        <v>44150</v>
      </c>
      <c r="ZM37" s="1551"/>
      <c r="ZN37" s="1551">
        <v>44150</v>
      </c>
      <c r="ZO37" s="1551">
        <v>44150</v>
      </c>
      <c r="ZP37" s="1551"/>
      <c r="ZQ37" s="1551">
        <v>44150</v>
      </c>
      <c r="ZR37" s="1551"/>
      <c r="ZS37" s="1551">
        <v>44150</v>
      </c>
      <c r="ZT37" s="1551"/>
      <c r="ZU37" s="1551">
        <v>44150</v>
      </c>
      <c r="ZV37" s="1551">
        <v>44150</v>
      </c>
      <c r="ZW37" s="1551"/>
      <c r="ZX37" s="1551">
        <v>44150</v>
      </c>
      <c r="ZY37" s="1551"/>
      <c r="ZZ37" s="1551">
        <v>44150</v>
      </c>
      <c r="AAA37" s="1551"/>
      <c r="AAB37" s="1551">
        <v>44150</v>
      </c>
      <c r="AAC37" s="1551">
        <v>44150</v>
      </c>
      <c r="AAD37" s="1551"/>
      <c r="AAE37" s="1551">
        <v>44150</v>
      </c>
      <c r="AAF37" s="1551"/>
      <c r="AAG37" s="1551">
        <v>44150</v>
      </c>
      <c r="AAH37" s="1551"/>
      <c r="AAI37" s="1551">
        <v>44150</v>
      </c>
      <c r="AAJ37" s="1551">
        <v>44150</v>
      </c>
      <c r="AAK37" s="1551"/>
      <c r="AAL37" s="1551">
        <v>44150</v>
      </c>
      <c r="AAM37" s="1551"/>
      <c r="AAN37" s="1551">
        <v>44150</v>
      </c>
      <c r="AAO37" s="1551"/>
      <c r="AAP37" s="1551">
        <v>44150</v>
      </c>
      <c r="AAQ37" s="1551">
        <v>44150</v>
      </c>
      <c r="AAR37" s="1551"/>
      <c r="AAS37" s="1551">
        <v>44150</v>
      </c>
      <c r="AAT37" s="1551"/>
      <c r="AAU37" s="1551">
        <v>44150</v>
      </c>
      <c r="AAV37" s="1551"/>
      <c r="AAW37" s="1551">
        <v>44150</v>
      </c>
      <c r="AAX37" s="1551">
        <v>44150</v>
      </c>
      <c r="AAY37" s="1551"/>
      <c r="AAZ37" s="1551">
        <v>44150</v>
      </c>
      <c r="ABA37" s="1551"/>
      <c r="ABB37" s="1551">
        <v>44150</v>
      </c>
      <c r="ABC37" s="1551"/>
      <c r="ABD37" s="1551">
        <v>44150</v>
      </c>
      <c r="ABE37" s="1551">
        <v>44150</v>
      </c>
      <c r="ABF37" s="1551"/>
      <c r="ABG37" s="1551">
        <v>44150</v>
      </c>
      <c r="ABH37" s="1551"/>
      <c r="ABI37" s="1551">
        <v>44150</v>
      </c>
      <c r="ABJ37" s="1551"/>
      <c r="ABK37" s="1551">
        <v>44150</v>
      </c>
      <c r="ABL37" s="1551">
        <v>44150</v>
      </c>
      <c r="ABM37" s="1551"/>
      <c r="ABN37" s="1551">
        <v>44150</v>
      </c>
      <c r="ABO37" s="1551"/>
      <c r="ABP37" s="1551">
        <v>44150</v>
      </c>
      <c r="ABQ37" s="1551"/>
      <c r="ABR37" s="1551">
        <v>44150</v>
      </c>
      <c r="ABS37" s="1551">
        <v>44150</v>
      </c>
      <c r="ABT37" s="1551"/>
      <c r="ABU37" s="1551">
        <v>44150</v>
      </c>
      <c r="ABV37" s="1551"/>
      <c r="ABW37" s="1551">
        <v>44150</v>
      </c>
      <c r="ABX37" s="1551"/>
      <c r="ABY37" s="1551">
        <v>44150</v>
      </c>
      <c r="ABZ37" s="1551">
        <v>44150</v>
      </c>
      <c r="ACA37" s="1551"/>
      <c r="ACB37" s="1551">
        <v>44150</v>
      </c>
      <c r="ACC37" s="1551"/>
      <c r="ACD37" s="1551">
        <v>44150</v>
      </c>
      <c r="ACE37" s="1551"/>
      <c r="ACF37" s="1551">
        <v>44150</v>
      </c>
      <c r="ACG37" s="1551">
        <v>44150</v>
      </c>
      <c r="ACH37" s="1551"/>
      <c r="ACI37" s="1551">
        <v>44150</v>
      </c>
      <c r="ACJ37" s="1551"/>
      <c r="ACK37" s="1551">
        <v>44150</v>
      </c>
      <c r="ACL37" s="1551"/>
      <c r="ACM37" s="1551">
        <v>44150</v>
      </c>
      <c r="ACN37" s="1551">
        <v>44150</v>
      </c>
      <c r="ACO37" s="1551"/>
      <c r="ACP37" s="1551">
        <v>44150</v>
      </c>
      <c r="ACQ37" s="1551"/>
      <c r="ACR37" s="1551">
        <v>44150</v>
      </c>
      <c r="ACS37" s="1551"/>
      <c r="ACT37" s="1551">
        <v>44150</v>
      </c>
      <c r="ACU37" s="1551">
        <v>44150</v>
      </c>
      <c r="ACV37" s="1551"/>
      <c r="ACW37" s="1551">
        <v>44150</v>
      </c>
      <c r="ACX37" s="1551"/>
      <c r="ACY37" s="1551">
        <v>44150</v>
      </c>
      <c r="ACZ37" s="1551"/>
      <c r="ADA37" s="1551">
        <v>44150</v>
      </c>
      <c r="ADB37" s="1551">
        <v>44150</v>
      </c>
      <c r="ADC37" s="1551"/>
      <c r="ADD37" s="1551">
        <v>44150</v>
      </c>
      <c r="ADE37" s="1551"/>
      <c r="ADF37" s="1551">
        <v>44150</v>
      </c>
      <c r="ADG37" s="1551"/>
      <c r="ADH37" s="1551">
        <v>44150</v>
      </c>
      <c r="ADI37" s="1551">
        <v>44150</v>
      </c>
      <c r="ADJ37" s="1551"/>
      <c r="ADK37" s="1551">
        <v>44150</v>
      </c>
      <c r="ADL37" s="1551"/>
      <c r="ADM37" s="1551">
        <v>44150</v>
      </c>
      <c r="ADN37" s="1551"/>
      <c r="ADO37" s="1551">
        <v>44150</v>
      </c>
      <c r="ADP37" s="1551">
        <v>44150</v>
      </c>
      <c r="ADQ37" s="1551"/>
      <c r="ADR37" s="1551">
        <v>44150</v>
      </c>
      <c r="ADS37" s="1551"/>
      <c r="ADT37" s="1551">
        <v>44150</v>
      </c>
      <c r="ADU37" s="1551"/>
      <c r="ADV37" s="1551">
        <v>44150</v>
      </c>
      <c r="ADW37" s="1551">
        <v>44150</v>
      </c>
      <c r="ADX37" s="1551"/>
      <c r="ADY37" s="1551">
        <v>44150</v>
      </c>
      <c r="ADZ37" s="1551"/>
      <c r="AEA37" s="1551">
        <v>44150</v>
      </c>
      <c r="AEB37" s="1551"/>
      <c r="AEC37" s="1551">
        <v>44150</v>
      </c>
      <c r="AED37" s="1551">
        <v>44150</v>
      </c>
      <c r="AEE37" s="1551"/>
      <c r="AEF37" s="1551">
        <v>44150</v>
      </c>
      <c r="AEG37" s="1551"/>
      <c r="AEH37" s="1551">
        <v>44150</v>
      </c>
      <c r="AEI37" s="1551"/>
      <c r="AEJ37" s="1551">
        <v>44150</v>
      </c>
      <c r="AEK37" s="1551">
        <v>44150</v>
      </c>
      <c r="AEL37" s="1551"/>
      <c r="AEM37" s="1551">
        <v>44150</v>
      </c>
      <c r="AEN37" s="1551"/>
      <c r="AEO37" s="1551">
        <v>44150</v>
      </c>
      <c r="AEP37" s="1551"/>
      <c r="AEQ37" s="1551">
        <v>44150</v>
      </c>
      <c r="AER37" s="1551">
        <v>44150</v>
      </c>
      <c r="AES37" s="1551"/>
      <c r="AET37" s="1551">
        <v>44150</v>
      </c>
      <c r="AEU37" s="1551"/>
      <c r="AEV37" s="1551">
        <v>44150</v>
      </c>
      <c r="AEW37" s="1551"/>
      <c r="AEX37" s="1551">
        <v>44150</v>
      </c>
      <c r="AEY37" s="1551">
        <v>44150</v>
      </c>
      <c r="AEZ37" s="1551"/>
      <c r="AFA37" s="1551">
        <v>44150</v>
      </c>
      <c r="AFB37" s="1551"/>
      <c r="AFC37" s="1551">
        <v>44150</v>
      </c>
      <c r="AFD37" s="1551"/>
      <c r="AFE37" s="1551">
        <v>44150</v>
      </c>
      <c r="AFF37" s="1551">
        <v>44150</v>
      </c>
      <c r="AFG37" s="1551"/>
      <c r="AFH37" s="1551">
        <v>44150</v>
      </c>
      <c r="AFI37" s="1551"/>
      <c r="AFJ37" s="1551">
        <v>44150</v>
      </c>
      <c r="AFK37" s="1551"/>
      <c r="AFL37" s="1551">
        <v>44150</v>
      </c>
      <c r="AFM37" s="1551">
        <v>44150</v>
      </c>
      <c r="AFN37" s="1551"/>
      <c r="AFO37" s="1551">
        <v>44150</v>
      </c>
      <c r="AFP37" s="1551"/>
      <c r="AFQ37" s="1551">
        <v>44150</v>
      </c>
      <c r="AFR37" s="1551"/>
      <c r="AFS37" s="1551">
        <v>44150</v>
      </c>
      <c r="AFT37" s="1551">
        <v>44150</v>
      </c>
      <c r="AFU37" s="1551"/>
      <c r="AFV37" s="1551">
        <v>44150</v>
      </c>
      <c r="AFW37" s="1551"/>
      <c r="AFX37" s="1551">
        <v>44150</v>
      </c>
      <c r="AFY37" s="1551"/>
      <c r="AFZ37" s="1551">
        <v>44150</v>
      </c>
      <c r="AGA37" s="1551">
        <v>44150</v>
      </c>
      <c r="AGB37" s="1551"/>
      <c r="AGC37" s="1551">
        <v>44150</v>
      </c>
      <c r="AGD37" s="1551"/>
      <c r="AGE37" s="1551">
        <v>44150</v>
      </c>
      <c r="AGF37" s="1551"/>
      <c r="AGG37" s="1551">
        <v>44150</v>
      </c>
      <c r="AGH37" s="1551">
        <v>44150</v>
      </c>
      <c r="AGI37" s="1551"/>
      <c r="AGJ37" s="1551">
        <v>44150</v>
      </c>
      <c r="AGK37" s="1551"/>
      <c r="AGL37" s="1551">
        <v>44150</v>
      </c>
      <c r="AGM37" s="1551"/>
      <c r="AGN37" s="1551">
        <v>44150</v>
      </c>
      <c r="AGO37" s="1551">
        <v>44150</v>
      </c>
      <c r="AGP37" s="1551"/>
      <c r="AGQ37" s="1551">
        <v>44150</v>
      </c>
      <c r="AGR37" s="1551"/>
      <c r="AGS37" s="1551">
        <v>44150</v>
      </c>
      <c r="AGT37" s="1551"/>
      <c r="AGU37" s="1551">
        <v>44150</v>
      </c>
      <c r="AGV37" s="1551">
        <v>44150</v>
      </c>
      <c r="AGW37" s="1551"/>
      <c r="AGX37" s="1551">
        <v>44150</v>
      </c>
      <c r="AGY37" s="1551"/>
      <c r="AGZ37" s="1551">
        <v>44150</v>
      </c>
      <c r="AHA37" s="1551"/>
      <c r="AHB37" s="1551">
        <v>44150</v>
      </c>
      <c r="AHC37" s="1551">
        <v>44150</v>
      </c>
      <c r="AHD37" s="1551"/>
      <c r="AHE37" s="1551">
        <v>44150</v>
      </c>
      <c r="AHF37" s="1551"/>
      <c r="AHG37" s="1551">
        <v>44150</v>
      </c>
      <c r="AHH37" s="1551"/>
      <c r="AHI37" s="1551">
        <v>44150</v>
      </c>
      <c r="AHJ37" s="1551">
        <v>44150</v>
      </c>
      <c r="AHK37" s="1551"/>
      <c r="AHL37" s="1551">
        <v>44150</v>
      </c>
      <c r="AHM37" s="1551"/>
      <c r="AHN37" s="1551">
        <v>44150</v>
      </c>
      <c r="AHO37" s="1551"/>
      <c r="AHP37" s="1551">
        <v>44150</v>
      </c>
      <c r="AHQ37" s="1551">
        <v>44150</v>
      </c>
      <c r="AHR37" s="1551"/>
      <c r="AHS37" s="1551">
        <v>44150</v>
      </c>
      <c r="AHT37" s="1551"/>
      <c r="AHU37" s="1551">
        <v>44150</v>
      </c>
      <c r="AHV37" s="1551"/>
      <c r="AHW37" s="1551">
        <v>44150</v>
      </c>
      <c r="AHX37" s="1551">
        <v>44150</v>
      </c>
      <c r="AHY37" s="1551"/>
      <c r="AHZ37" s="1551">
        <v>44150</v>
      </c>
      <c r="AIA37" s="1551"/>
      <c r="AIB37" s="1551">
        <v>44150</v>
      </c>
      <c r="AIC37" s="1551"/>
      <c r="AID37" s="1551">
        <v>44150</v>
      </c>
      <c r="AIE37" s="1551">
        <v>44150</v>
      </c>
      <c r="AIF37" s="1551"/>
      <c r="AIG37" s="1551">
        <v>44150</v>
      </c>
      <c r="AIH37" s="1551"/>
      <c r="AII37" s="1551">
        <v>44150</v>
      </c>
      <c r="AIJ37" s="1551"/>
      <c r="AIK37" s="1551">
        <v>44150</v>
      </c>
      <c r="AIL37" s="1551">
        <v>44150</v>
      </c>
      <c r="AIM37" s="1551"/>
      <c r="AIN37" s="1551">
        <v>44150</v>
      </c>
      <c r="AIO37" s="1551"/>
      <c r="AIP37" s="1551">
        <v>44150</v>
      </c>
      <c r="AIQ37" s="1551"/>
      <c r="AIR37" s="1551">
        <v>44150</v>
      </c>
      <c r="AIS37" s="1551">
        <v>44150</v>
      </c>
      <c r="AIT37" s="1551"/>
      <c r="AIU37" s="1551">
        <v>44150</v>
      </c>
      <c r="AIV37" s="1551"/>
      <c r="AIW37" s="1551">
        <v>44150</v>
      </c>
      <c r="AIX37" s="1551"/>
      <c r="AIY37" s="1551">
        <v>44150</v>
      </c>
      <c r="AIZ37" s="1551">
        <v>44150</v>
      </c>
      <c r="AJA37" s="1551"/>
      <c r="AJB37" s="1551">
        <v>44150</v>
      </c>
      <c r="AJC37" s="1551"/>
      <c r="AJD37" s="1551">
        <v>44150</v>
      </c>
      <c r="AJE37" s="1551"/>
      <c r="AJF37" s="1551">
        <v>44150</v>
      </c>
      <c r="AJG37" s="1551">
        <v>44150</v>
      </c>
      <c r="AJH37" s="1551"/>
      <c r="AJI37" s="1551">
        <v>44150</v>
      </c>
      <c r="AJJ37" s="1551"/>
      <c r="AJK37" s="1551">
        <v>44150</v>
      </c>
      <c r="AJL37" s="1551"/>
      <c r="AJM37" s="1551">
        <v>44150</v>
      </c>
      <c r="AJN37" s="1551">
        <v>44150</v>
      </c>
      <c r="AJO37" s="1551"/>
      <c r="AJP37" s="1551">
        <v>44150</v>
      </c>
      <c r="AJQ37" s="1551"/>
      <c r="AJR37" s="1551">
        <v>44150</v>
      </c>
      <c r="AJS37" s="1551"/>
      <c r="AJT37" s="1551">
        <v>44150</v>
      </c>
      <c r="AJU37" s="1551">
        <v>44150</v>
      </c>
      <c r="AJV37" s="1551"/>
      <c r="AJW37" s="1551">
        <v>44150</v>
      </c>
      <c r="AJX37" s="1551"/>
      <c r="AJY37" s="1551">
        <v>44150</v>
      </c>
      <c r="AJZ37" s="1551"/>
      <c r="AKA37" s="1551">
        <v>44150</v>
      </c>
      <c r="AKB37" s="1551">
        <v>44150</v>
      </c>
      <c r="AKC37" s="1551"/>
      <c r="AKD37" s="1551">
        <v>44150</v>
      </c>
      <c r="AKE37" s="1551"/>
      <c r="AKF37" s="1551">
        <v>44150</v>
      </c>
      <c r="AKG37" s="1551"/>
      <c r="AKH37" s="1551">
        <v>44150</v>
      </c>
      <c r="AKI37" s="1551">
        <v>44150</v>
      </c>
      <c r="AKJ37" s="1551"/>
      <c r="AKK37" s="1551">
        <v>44150</v>
      </c>
      <c r="AKL37" s="1551"/>
      <c r="AKM37" s="1551">
        <v>44150</v>
      </c>
      <c r="AKN37" s="1551"/>
      <c r="AKO37" s="1551">
        <v>44150</v>
      </c>
      <c r="AKP37" s="1551">
        <v>44150</v>
      </c>
      <c r="AKQ37" s="1551"/>
      <c r="AKR37" s="1551">
        <v>44150</v>
      </c>
      <c r="AKS37" s="1551"/>
      <c r="AKT37" s="1551">
        <v>44150</v>
      </c>
      <c r="AKU37" s="1551"/>
      <c r="AKV37" s="1551">
        <v>44150</v>
      </c>
      <c r="AKW37" s="1551">
        <v>44150</v>
      </c>
      <c r="AKX37" s="1551"/>
      <c r="AKY37" s="1551">
        <v>44150</v>
      </c>
      <c r="AKZ37" s="1551"/>
      <c r="ALA37" s="1551">
        <v>44150</v>
      </c>
      <c r="ALB37" s="1551"/>
      <c r="ALC37" s="1551">
        <v>44150</v>
      </c>
      <c r="ALD37" s="1551">
        <v>44150</v>
      </c>
      <c r="ALE37" s="1551"/>
      <c r="ALF37" s="1551">
        <v>44150</v>
      </c>
      <c r="ALG37" s="1551"/>
      <c r="ALH37" s="1551">
        <v>44150</v>
      </c>
      <c r="ALI37" s="1551"/>
      <c r="ALJ37" s="1551">
        <v>44150</v>
      </c>
      <c r="ALK37" s="1551">
        <v>44150</v>
      </c>
      <c r="ALL37" s="1551"/>
      <c r="ALM37" s="1551">
        <v>44150</v>
      </c>
      <c r="ALN37" s="1551"/>
      <c r="ALO37" s="1551">
        <v>44150</v>
      </c>
      <c r="ALP37" s="1551"/>
      <c r="ALQ37" s="1551">
        <v>44150</v>
      </c>
      <c r="ALR37" s="1551">
        <v>44150</v>
      </c>
      <c r="ALS37" s="1551"/>
      <c r="ALT37" s="1551">
        <v>44150</v>
      </c>
      <c r="ALU37" s="1551"/>
      <c r="ALV37" s="1551">
        <v>44150</v>
      </c>
      <c r="ALW37" s="1551"/>
      <c r="ALX37" s="1551">
        <v>44150</v>
      </c>
      <c r="ALY37" s="1551">
        <v>44150</v>
      </c>
      <c r="ALZ37" s="1551"/>
      <c r="AMA37" s="1551">
        <v>44150</v>
      </c>
      <c r="AMB37" s="1551"/>
      <c r="AMC37" s="1551">
        <v>44150</v>
      </c>
      <c r="AMD37" s="1551"/>
      <c r="AME37" s="1551">
        <v>44150</v>
      </c>
      <c r="AMF37" s="1551">
        <v>44150</v>
      </c>
      <c r="AMG37" s="1551"/>
      <c r="AMH37" s="1551">
        <v>44150</v>
      </c>
      <c r="AMI37" s="1551"/>
      <c r="AMJ37" s="1551">
        <v>44150</v>
      </c>
      <c r="AMK37" s="1551"/>
      <c r="AML37" s="1551">
        <v>44150</v>
      </c>
      <c r="AMM37" s="1551">
        <v>44150</v>
      </c>
      <c r="AMN37" s="1551"/>
      <c r="AMO37" s="1551">
        <v>44150</v>
      </c>
      <c r="AMP37" s="1551"/>
      <c r="AMQ37" s="1551">
        <v>44150</v>
      </c>
      <c r="AMR37" s="1551"/>
      <c r="AMS37" s="1551">
        <v>44150</v>
      </c>
      <c r="AMT37" s="1551">
        <v>44150</v>
      </c>
      <c r="AMU37" s="1551"/>
      <c r="AMV37" s="1551">
        <v>44150</v>
      </c>
      <c r="AMW37" s="1551"/>
      <c r="AMX37" s="1551">
        <v>44150</v>
      </c>
      <c r="AMY37" s="1551"/>
      <c r="AMZ37" s="1551">
        <v>44150</v>
      </c>
      <c r="ANA37" s="1551">
        <v>44150</v>
      </c>
      <c r="ANB37" s="1551"/>
      <c r="ANC37" s="1551">
        <v>44150</v>
      </c>
      <c r="AND37" s="1551"/>
      <c r="ANE37" s="1551">
        <v>44150</v>
      </c>
      <c r="ANF37" s="1551"/>
      <c r="ANG37" s="1551">
        <v>44150</v>
      </c>
      <c r="ANH37" s="1551">
        <v>44150</v>
      </c>
      <c r="ANI37" s="1551"/>
      <c r="ANJ37" s="1551">
        <v>44150</v>
      </c>
      <c r="ANK37" s="1551"/>
      <c r="ANL37" s="1551">
        <v>44150</v>
      </c>
      <c r="ANM37" s="1551"/>
      <c r="ANN37" s="1551">
        <v>44150</v>
      </c>
      <c r="ANO37" s="1551">
        <v>44150</v>
      </c>
      <c r="ANP37" s="1551"/>
      <c r="ANQ37" s="1551">
        <v>44150</v>
      </c>
      <c r="ANR37" s="1551"/>
      <c r="ANS37" s="1551">
        <v>44150</v>
      </c>
      <c r="ANT37" s="1551"/>
      <c r="ANU37" s="1551">
        <v>44150</v>
      </c>
      <c r="ANV37" s="1551">
        <v>44150</v>
      </c>
      <c r="ANW37" s="1551"/>
      <c r="ANX37" s="1551">
        <v>44150</v>
      </c>
      <c r="ANY37" s="1551"/>
      <c r="ANZ37" s="1551">
        <v>44150</v>
      </c>
      <c r="AOA37" s="1551"/>
      <c r="AOB37" s="1551">
        <v>44150</v>
      </c>
      <c r="AOC37" s="1551">
        <v>44150</v>
      </c>
      <c r="AOD37" s="1551"/>
      <c r="AOE37" s="1551">
        <v>44150</v>
      </c>
      <c r="AOF37" s="1551"/>
      <c r="AOG37" s="1551">
        <v>44150</v>
      </c>
      <c r="AOH37" s="1551"/>
      <c r="AOI37" s="1551">
        <v>44150</v>
      </c>
      <c r="AOJ37" s="1551">
        <v>44150</v>
      </c>
      <c r="AOK37" s="1551"/>
      <c r="AOL37" s="1551">
        <v>44150</v>
      </c>
      <c r="AOM37" s="1551"/>
      <c r="AON37" s="1551">
        <v>44150</v>
      </c>
      <c r="AOO37" s="1551"/>
      <c r="AOP37" s="1551">
        <v>44150</v>
      </c>
      <c r="AOQ37" s="1551">
        <v>44150</v>
      </c>
      <c r="AOR37" s="1551"/>
      <c r="AOS37" s="1551">
        <v>44150</v>
      </c>
      <c r="AOT37" s="1551"/>
      <c r="AOU37" s="1551">
        <v>44150</v>
      </c>
      <c r="AOV37" s="1551"/>
      <c r="AOW37" s="1551">
        <v>44150</v>
      </c>
      <c r="AOX37" s="1551">
        <v>44150</v>
      </c>
      <c r="AOY37" s="1551"/>
      <c r="AOZ37" s="1551">
        <v>44150</v>
      </c>
      <c r="APA37" s="1551"/>
      <c r="APB37" s="1551">
        <v>44150</v>
      </c>
      <c r="APC37" s="1551"/>
      <c r="APD37" s="1551">
        <v>44150</v>
      </c>
      <c r="APE37" s="1551">
        <v>44150</v>
      </c>
      <c r="APF37" s="1551"/>
      <c r="APG37" s="1551">
        <v>44150</v>
      </c>
      <c r="APH37" s="1551"/>
      <c r="API37" s="1551">
        <v>44150</v>
      </c>
      <c r="APJ37" s="1551"/>
      <c r="APK37" s="1551">
        <v>44150</v>
      </c>
      <c r="APL37" s="1551">
        <v>44150</v>
      </c>
      <c r="APM37" s="1551"/>
      <c r="APN37" s="1551">
        <v>44150</v>
      </c>
      <c r="APO37" s="1551"/>
      <c r="APP37" s="1551">
        <v>44150</v>
      </c>
      <c r="APQ37" s="1551"/>
      <c r="APR37" s="1551">
        <v>44150</v>
      </c>
      <c r="APS37" s="1551">
        <v>44150</v>
      </c>
      <c r="APT37" s="1551"/>
      <c r="APU37" s="1551">
        <v>44150</v>
      </c>
      <c r="APV37" s="1551"/>
      <c r="APW37" s="1551">
        <v>44150</v>
      </c>
      <c r="APX37" s="1551"/>
      <c r="APY37" s="1551">
        <v>44150</v>
      </c>
      <c r="APZ37" s="1551">
        <v>44150</v>
      </c>
      <c r="AQA37" s="1551"/>
      <c r="AQB37" s="1551">
        <v>44150</v>
      </c>
      <c r="AQC37" s="1551"/>
      <c r="AQD37" s="1551">
        <v>44150</v>
      </c>
      <c r="AQE37" s="1551"/>
      <c r="AQF37" s="1551">
        <v>44150</v>
      </c>
      <c r="AQG37" s="1551">
        <v>44150</v>
      </c>
      <c r="AQH37" s="1551"/>
      <c r="AQI37" s="1551">
        <v>44150</v>
      </c>
      <c r="AQJ37" s="1551"/>
      <c r="AQK37" s="1551">
        <v>44150</v>
      </c>
      <c r="AQL37" s="1551"/>
      <c r="AQM37" s="1551">
        <v>44150</v>
      </c>
      <c r="AQN37" s="1551">
        <v>44150</v>
      </c>
      <c r="AQO37" s="1551"/>
      <c r="AQP37" s="1551">
        <v>44150</v>
      </c>
      <c r="AQQ37" s="1551"/>
      <c r="AQR37" s="1551">
        <v>44150</v>
      </c>
      <c r="AQS37" s="1551"/>
      <c r="AQT37" s="1551">
        <v>44150</v>
      </c>
      <c r="AQU37" s="1551">
        <v>44150</v>
      </c>
      <c r="AQV37" s="1551"/>
      <c r="AQW37" s="1551">
        <v>44150</v>
      </c>
      <c r="AQX37" s="1551"/>
      <c r="AQY37" s="1551">
        <v>44150</v>
      </c>
      <c r="AQZ37" s="1551"/>
      <c r="ARA37" s="1551">
        <v>44150</v>
      </c>
      <c r="ARB37" s="1551">
        <v>44150</v>
      </c>
      <c r="ARC37" s="1551"/>
      <c r="ARD37" s="1551">
        <v>44150</v>
      </c>
      <c r="ARE37" s="1551"/>
      <c r="ARF37" s="1551">
        <v>44150</v>
      </c>
      <c r="ARG37" s="1551"/>
      <c r="ARH37" s="1551">
        <v>44150</v>
      </c>
      <c r="ARI37" s="1551">
        <v>44150</v>
      </c>
      <c r="ARJ37" s="1551"/>
      <c r="ARK37" s="1551">
        <v>44150</v>
      </c>
      <c r="ARL37" s="1551"/>
      <c r="ARM37" s="1551">
        <v>44150</v>
      </c>
      <c r="ARN37" s="1551"/>
      <c r="ARO37" s="1551">
        <v>44150</v>
      </c>
      <c r="ARP37" s="1551">
        <v>44150</v>
      </c>
      <c r="ARQ37" s="1551"/>
      <c r="ARR37" s="1551">
        <v>44150</v>
      </c>
      <c r="ARS37" s="1551"/>
      <c r="ART37" s="1551">
        <v>44150</v>
      </c>
      <c r="ARU37" s="1551"/>
      <c r="ARV37" s="1551">
        <v>44150</v>
      </c>
      <c r="ARW37" s="1551">
        <v>44150</v>
      </c>
      <c r="ARX37" s="1551"/>
      <c r="ARY37" s="1551">
        <v>44150</v>
      </c>
      <c r="ARZ37" s="1551"/>
      <c r="ASA37" s="1551">
        <v>44150</v>
      </c>
      <c r="ASB37" s="1551"/>
      <c r="ASC37" s="1551">
        <v>44150</v>
      </c>
      <c r="ASD37" s="1551">
        <v>44150</v>
      </c>
      <c r="ASE37" s="1551"/>
      <c r="ASF37" s="1551">
        <v>44150</v>
      </c>
      <c r="ASG37" s="1551"/>
      <c r="ASH37" s="1551">
        <v>44150</v>
      </c>
      <c r="ASI37" s="1551"/>
      <c r="ASJ37" s="1551">
        <v>44150</v>
      </c>
      <c r="ASK37" s="1551">
        <v>44150</v>
      </c>
      <c r="ASL37" s="1551"/>
      <c r="ASM37" s="1551">
        <v>44150</v>
      </c>
      <c r="ASN37" s="1551"/>
      <c r="ASO37" s="1551">
        <v>44150</v>
      </c>
      <c r="ASP37" s="1551"/>
      <c r="ASQ37" s="1551">
        <v>44150</v>
      </c>
      <c r="ASR37" s="1551">
        <v>44150</v>
      </c>
      <c r="ASS37" s="1551"/>
      <c r="AST37" s="1551">
        <v>44150</v>
      </c>
      <c r="ASU37" s="1551"/>
      <c r="ASV37" s="1551">
        <v>44150</v>
      </c>
      <c r="ASW37" s="1551"/>
      <c r="ASX37" s="1551">
        <v>44150</v>
      </c>
      <c r="ASY37" s="1551">
        <v>44150</v>
      </c>
      <c r="ASZ37" s="1551"/>
      <c r="ATA37" s="1551">
        <v>44150</v>
      </c>
      <c r="ATB37" s="1551"/>
      <c r="ATC37" s="1551">
        <v>44150</v>
      </c>
      <c r="ATD37" s="1551"/>
      <c r="ATE37" s="1551">
        <v>44150</v>
      </c>
      <c r="ATF37" s="1551">
        <v>44150</v>
      </c>
      <c r="ATG37" s="1551"/>
      <c r="ATH37" s="1551">
        <v>44150</v>
      </c>
      <c r="ATI37" s="1551"/>
      <c r="ATJ37" s="1551">
        <v>44150</v>
      </c>
      <c r="ATK37" s="1551"/>
      <c r="ATL37" s="1551">
        <v>44150</v>
      </c>
      <c r="ATM37" s="1551">
        <v>44150</v>
      </c>
      <c r="ATN37" s="1551"/>
      <c r="ATO37" s="1551">
        <v>44150</v>
      </c>
      <c r="ATP37" s="1551"/>
      <c r="ATQ37" s="1551">
        <v>44150</v>
      </c>
      <c r="ATR37" s="1551"/>
      <c r="ATS37" s="1551">
        <v>44150</v>
      </c>
      <c r="ATT37" s="1551">
        <v>44150</v>
      </c>
      <c r="ATU37" s="1551"/>
      <c r="ATV37" s="1551">
        <v>44150</v>
      </c>
      <c r="ATW37" s="1551"/>
      <c r="ATX37" s="1551">
        <v>44150</v>
      </c>
      <c r="ATY37" s="1551"/>
      <c r="ATZ37" s="1551">
        <v>44150</v>
      </c>
      <c r="AUA37" s="1551">
        <v>44150</v>
      </c>
      <c r="AUB37" s="1551"/>
      <c r="AUC37" s="1551">
        <v>44150</v>
      </c>
      <c r="AUD37" s="1551"/>
      <c r="AUE37" s="1551">
        <v>44150</v>
      </c>
      <c r="AUF37" s="1551"/>
      <c r="AUG37" s="1551">
        <v>44150</v>
      </c>
      <c r="AUH37" s="1551">
        <v>44150</v>
      </c>
      <c r="AUI37" s="1551"/>
      <c r="AUJ37" s="1551">
        <v>44150</v>
      </c>
      <c r="AUK37" s="1551"/>
      <c r="AUL37" s="1551">
        <v>44150</v>
      </c>
      <c r="AUM37" s="1551"/>
      <c r="AUN37" s="1551">
        <v>44150</v>
      </c>
      <c r="AUO37" s="1551">
        <v>44150</v>
      </c>
      <c r="AUP37" s="1551"/>
      <c r="AUQ37" s="1551">
        <v>44150</v>
      </c>
      <c r="AUR37" s="1551"/>
      <c r="AUS37" s="1551">
        <v>44150</v>
      </c>
      <c r="AUT37" s="1551"/>
      <c r="AUU37" s="1551">
        <v>44150</v>
      </c>
      <c r="AUV37" s="1551">
        <v>44150</v>
      </c>
      <c r="AUW37" s="1551"/>
      <c r="AUX37" s="1551">
        <v>44150</v>
      </c>
      <c r="AUY37" s="1551"/>
      <c r="AUZ37" s="1551">
        <v>44150</v>
      </c>
      <c r="AVA37" s="1551"/>
      <c r="AVB37" s="1551">
        <v>44150</v>
      </c>
      <c r="AVC37" s="1551">
        <v>44150</v>
      </c>
      <c r="AVD37" s="1551"/>
      <c r="AVE37" s="1551">
        <v>44150</v>
      </c>
      <c r="AVF37" s="1551"/>
      <c r="AVG37" s="1551">
        <v>44150</v>
      </c>
      <c r="AVH37" s="1551"/>
      <c r="AVI37" s="1551">
        <v>44150</v>
      </c>
      <c r="AVJ37" s="1551">
        <v>44150</v>
      </c>
      <c r="AVK37" s="1551"/>
      <c r="AVL37" s="1551">
        <v>44150</v>
      </c>
      <c r="AVM37" s="1551"/>
      <c r="AVN37" s="1551">
        <v>44150</v>
      </c>
      <c r="AVO37" s="1551"/>
      <c r="AVP37" s="1551">
        <v>44150</v>
      </c>
      <c r="AVQ37" s="1551">
        <v>44150</v>
      </c>
      <c r="AVR37" s="1551"/>
      <c r="AVS37" s="1551">
        <v>44150</v>
      </c>
      <c r="AVT37" s="1551"/>
      <c r="AVU37" s="1551">
        <v>44150</v>
      </c>
      <c r="AVV37" s="1551"/>
      <c r="AVW37" s="1551">
        <v>44150</v>
      </c>
      <c r="AVX37" s="1551">
        <v>44150</v>
      </c>
      <c r="AVY37" s="1551"/>
      <c r="AVZ37" s="1551">
        <v>44150</v>
      </c>
      <c r="AWA37" s="1551"/>
      <c r="AWB37" s="1551">
        <v>44150</v>
      </c>
      <c r="AWC37" s="1551"/>
      <c r="AWD37" s="1551">
        <v>44150</v>
      </c>
      <c r="AWE37" s="1551">
        <v>44150</v>
      </c>
      <c r="AWF37" s="1551"/>
      <c r="AWG37" s="1551">
        <v>44150</v>
      </c>
      <c r="AWH37" s="1551"/>
      <c r="AWI37" s="1551">
        <v>44150</v>
      </c>
      <c r="AWJ37" s="1551"/>
      <c r="AWK37" s="1551">
        <v>44150</v>
      </c>
      <c r="AWL37" s="1551">
        <v>44150</v>
      </c>
      <c r="AWM37" s="1551"/>
      <c r="AWN37" s="1551">
        <v>44150</v>
      </c>
      <c r="AWO37" s="1551"/>
      <c r="AWP37" s="1551">
        <v>44150</v>
      </c>
      <c r="AWQ37" s="1551"/>
      <c r="AWR37" s="1551">
        <v>44150</v>
      </c>
      <c r="AWS37" s="1551">
        <v>44150</v>
      </c>
      <c r="AWT37" s="1551"/>
      <c r="AWU37" s="1551">
        <v>44150</v>
      </c>
      <c r="AWV37" s="1551"/>
      <c r="AWW37" s="1551">
        <v>44150</v>
      </c>
      <c r="AWX37" s="1551"/>
      <c r="AWY37" s="1551">
        <v>44150</v>
      </c>
      <c r="AWZ37" s="1551">
        <v>44150</v>
      </c>
      <c r="AXA37" s="1551"/>
      <c r="AXB37" s="1551">
        <v>44150</v>
      </c>
      <c r="AXC37" s="1551"/>
      <c r="AXD37" s="1551">
        <v>44150</v>
      </c>
      <c r="AXE37" s="1551"/>
      <c r="AXF37" s="1551">
        <v>44150</v>
      </c>
      <c r="AXG37" s="1551">
        <v>44150</v>
      </c>
      <c r="AXH37" s="1551"/>
      <c r="AXI37" s="1551">
        <v>44150</v>
      </c>
      <c r="AXJ37" s="1551"/>
      <c r="AXK37" s="1551">
        <v>44150</v>
      </c>
      <c r="AXL37" s="1551"/>
      <c r="AXM37" s="1551">
        <v>44150</v>
      </c>
      <c r="AXN37" s="1551">
        <v>44150</v>
      </c>
      <c r="AXO37" s="1551"/>
      <c r="AXP37" s="1551">
        <v>44150</v>
      </c>
      <c r="AXQ37" s="1551"/>
      <c r="AXR37" s="1551">
        <v>44150</v>
      </c>
      <c r="AXS37" s="1551"/>
      <c r="AXT37" s="1551">
        <v>44150</v>
      </c>
      <c r="AXU37" s="1551">
        <v>44150</v>
      </c>
      <c r="AXV37" s="1551"/>
      <c r="AXW37" s="1551">
        <v>44150</v>
      </c>
      <c r="AXX37" s="1551"/>
      <c r="AXY37" s="1551">
        <v>44150</v>
      </c>
      <c r="AXZ37" s="1551"/>
      <c r="AYA37" s="1551">
        <v>44150</v>
      </c>
      <c r="AYB37" s="1551">
        <v>44150</v>
      </c>
      <c r="AYC37" s="1551"/>
      <c r="AYD37" s="1551">
        <v>44150</v>
      </c>
      <c r="AYE37" s="1551"/>
      <c r="AYF37" s="1551">
        <v>44150</v>
      </c>
      <c r="AYG37" s="1551"/>
      <c r="AYH37" s="1551">
        <v>44150</v>
      </c>
      <c r="AYI37" s="1551">
        <v>44150</v>
      </c>
      <c r="AYJ37" s="1551"/>
      <c r="AYK37" s="1551">
        <v>44150</v>
      </c>
      <c r="AYL37" s="1551"/>
      <c r="AYM37" s="1551">
        <v>44150</v>
      </c>
      <c r="AYN37" s="1551"/>
      <c r="AYO37" s="1551">
        <v>44150</v>
      </c>
      <c r="AYP37" s="1551">
        <v>44150</v>
      </c>
      <c r="AYQ37" s="1551"/>
      <c r="AYR37" s="1551">
        <v>44150</v>
      </c>
      <c r="AYS37" s="1551"/>
      <c r="AYT37" s="1551">
        <v>44150</v>
      </c>
      <c r="AYU37" s="1551"/>
      <c r="AYV37" s="1551">
        <v>44150</v>
      </c>
      <c r="AYW37" s="1551">
        <v>44150</v>
      </c>
      <c r="AYX37" s="1551"/>
      <c r="AYY37" s="1551">
        <v>44150</v>
      </c>
      <c r="AYZ37" s="1551"/>
      <c r="AZA37" s="1551">
        <v>44150</v>
      </c>
      <c r="AZB37" s="1551"/>
      <c r="AZC37" s="1551">
        <v>44150</v>
      </c>
      <c r="AZD37" s="1551">
        <v>44150</v>
      </c>
      <c r="AZE37" s="1551"/>
      <c r="AZF37" s="1551">
        <v>44150</v>
      </c>
      <c r="AZG37" s="1551"/>
      <c r="AZH37" s="1551">
        <v>44150</v>
      </c>
      <c r="AZI37" s="1551"/>
      <c r="AZJ37" s="1551">
        <v>44150</v>
      </c>
      <c r="AZK37" s="1551">
        <v>44150</v>
      </c>
      <c r="AZL37" s="1551"/>
      <c r="AZM37" s="1551">
        <v>44150</v>
      </c>
      <c r="AZN37" s="1551"/>
      <c r="AZO37" s="1551">
        <v>44150</v>
      </c>
      <c r="AZP37" s="1551"/>
      <c r="AZQ37" s="1551">
        <v>44150</v>
      </c>
      <c r="AZR37" s="1551">
        <v>44150</v>
      </c>
      <c r="AZS37" s="1551"/>
      <c r="AZT37" s="1551">
        <v>44150</v>
      </c>
      <c r="AZU37" s="1551"/>
      <c r="AZV37" s="1551">
        <v>44150</v>
      </c>
      <c r="AZW37" s="1551"/>
      <c r="AZX37" s="1551">
        <v>44150</v>
      </c>
      <c r="AZY37" s="1551">
        <v>44150</v>
      </c>
      <c r="AZZ37" s="1551"/>
      <c r="BAA37" s="1551">
        <v>44150</v>
      </c>
      <c r="BAB37" s="1551"/>
      <c r="BAC37" s="1551">
        <v>44150</v>
      </c>
      <c r="BAD37" s="1551"/>
      <c r="BAE37" s="1551">
        <v>44150</v>
      </c>
      <c r="BAF37" s="1551">
        <v>44150</v>
      </c>
      <c r="BAG37" s="1551"/>
      <c r="BAH37" s="1551">
        <v>44150</v>
      </c>
      <c r="BAI37" s="1551"/>
      <c r="BAJ37" s="1551">
        <v>44150</v>
      </c>
      <c r="BAK37" s="1551"/>
      <c r="BAL37" s="1551">
        <v>44150</v>
      </c>
      <c r="BAM37" s="1551">
        <v>44150</v>
      </c>
      <c r="BAN37" s="1551"/>
      <c r="BAO37" s="1551">
        <v>44150</v>
      </c>
      <c r="BAP37" s="1551"/>
      <c r="BAQ37" s="1551">
        <v>44150</v>
      </c>
      <c r="BAR37" s="1551"/>
      <c r="BAS37" s="1551">
        <v>44150</v>
      </c>
      <c r="BAT37" s="1551">
        <v>44150</v>
      </c>
      <c r="BAU37" s="1551"/>
      <c r="BAV37" s="1551">
        <v>44150</v>
      </c>
      <c r="BAW37" s="1551"/>
      <c r="BAX37" s="1551">
        <v>44150</v>
      </c>
      <c r="BAY37" s="1551"/>
      <c r="BAZ37" s="1551">
        <v>44150</v>
      </c>
      <c r="BBA37" s="1551">
        <v>44150</v>
      </c>
      <c r="BBB37" s="1551"/>
      <c r="BBC37" s="1551">
        <v>44150</v>
      </c>
      <c r="BBD37" s="1551"/>
      <c r="BBE37" s="1551">
        <v>44150</v>
      </c>
      <c r="BBF37" s="1551"/>
      <c r="BBG37" s="1551">
        <v>44150</v>
      </c>
      <c r="BBH37" s="1551">
        <v>44150</v>
      </c>
      <c r="BBI37" s="1551"/>
      <c r="BBJ37" s="1551">
        <v>44150</v>
      </c>
      <c r="BBK37" s="1551"/>
      <c r="BBL37" s="1551">
        <v>44150</v>
      </c>
      <c r="BBM37" s="1551"/>
      <c r="BBN37" s="1551">
        <v>44150</v>
      </c>
      <c r="BBO37" s="1551">
        <v>44150</v>
      </c>
      <c r="BBP37" s="1551"/>
      <c r="BBQ37" s="1551">
        <v>44150</v>
      </c>
      <c r="BBR37" s="1551"/>
      <c r="BBS37" s="1551">
        <v>44150</v>
      </c>
      <c r="BBT37" s="1551"/>
      <c r="BBU37" s="1551">
        <v>44150</v>
      </c>
      <c r="BBV37" s="1551">
        <v>44150</v>
      </c>
      <c r="BBW37" s="1551"/>
      <c r="BBX37" s="1551">
        <v>44150</v>
      </c>
      <c r="BBY37" s="1551"/>
      <c r="BBZ37" s="1551">
        <v>44150</v>
      </c>
      <c r="BCA37" s="1551"/>
      <c r="BCB37" s="1551">
        <v>44150</v>
      </c>
      <c r="BCC37" s="1551">
        <v>44150</v>
      </c>
      <c r="BCD37" s="1551"/>
      <c r="BCE37" s="1551">
        <v>44150</v>
      </c>
      <c r="BCF37" s="1551"/>
      <c r="BCG37" s="1551">
        <v>44150</v>
      </c>
      <c r="BCH37" s="1551"/>
      <c r="BCI37" s="1551">
        <v>44150</v>
      </c>
      <c r="BCJ37" s="1551">
        <v>44150</v>
      </c>
      <c r="BCK37" s="1551"/>
      <c r="BCL37" s="1551">
        <v>44150</v>
      </c>
      <c r="BCM37" s="1551"/>
      <c r="BCN37" s="1551">
        <v>44150</v>
      </c>
      <c r="BCO37" s="1551"/>
      <c r="BCP37" s="1551">
        <v>44150</v>
      </c>
      <c r="BCQ37" s="1551">
        <v>44150</v>
      </c>
      <c r="BCR37" s="1551"/>
      <c r="BCS37" s="1551">
        <v>44150</v>
      </c>
      <c r="BCT37" s="1551"/>
      <c r="BCU37" s="1551">
        <v>44150</v>
      </c>
      <c r="BCV37" s="1551"/>
      <c r="BCW37" s="1551">
        <v>44150</v>
      </c>
      <c r="BCX37" s="1551">
        <v>44150</v>
      </c>
      <c r="BCY37" s="1551"/>
      <c r="BCZ37" s="1551">
        <v>44150</v>
      </c>
      <c r="BDA37" s="1551"/>
      <c r="BDB37" s="1551">
        <v>44150</v>
      </c>
      <c r="BDC37" s="1551"/>
      <c r="BDD37" s="1551">
        <v>44150</v>
      </c>
      <c r="BDE37" s="1551">
        <v>44150</v>
      </c>
      <c r="BDF37" s="1551"/>
      <c r="BDG37" s="1551">
        <v>44150</v>
      </c>
      <c r="BDH37" s="1551"/>
      <c r="BDI37" s="1551">
        <v>44150</v>
      </c>
      <c r="BDJ37" s="1551"/>
      <c r="BDK37" s="1551">
        <v>44150</v>
      </c>
      <c r="BDL37" s="1551">
        <v>44150</v>
      </c>
      <c r="BDM37" s="1551"/>
      <c r="BDN37" s="1551">
        <v>44150</v>
      </c>
      <c r="BDO37" s="1551"/>
      <c r="BDP37" s="1551">
        <v>44150</v>
      </c>
      <c r="BDQ37" s="1551"/>
      <c r="BDR37" s="1551">
        <v>44150</v>
      </c>
      <c r="BDS37" s="1551">
        <v>44150</v>
      </c>
      <c r="BDT37" s="1551"/>
      <c r="BDU37" s="1551">
        <v>44150</v>
      </c>
      <c r="BDV37" s="1551"/>
      <c r="BDW37" s="1551">
        <v>44150</v>
      </c>
      <c r="BDX37" s="1551"/>
      <c r="BDY37" s="1551">
        <v>44150</v>
      </c>
      <c r="BDZ37" s="1551">
        <v>44150</v>
      </c>
      <c r="BEA37" s="1551"/>
      <c r="BEB37" s="1551">
        <v>44150</v>
      </c>
      <c r="BEC37" s="1551"/>
      <c r="BED37" s="1551">
        <v>44150</v>
      </c>
      <c r="BEE37" s="1551"/>
      <c r="BEF37" s="1551">
        <v>44150</v>
      </c>
      <c r="BEG37" s="1551">
        <v>44150</v>
      </c>
      <c r="BEH37" s="1551"/>
      <c r="BEI37" s="1551">
        <v>44150</v>
      </c>
      <c r="BEJ37" s="1551"/>
      <c r="BEK37" s="1551">
        <v>44150</v>
      </c>
      <c r="BEL37" s="1551"/>
      <c r="BEM37" s="1551">
        <v>44150</v>
      </c>
      <c r="BEN37" s="1551">
        <v>44150</v>
      </c>
      <c r="BEO37" s="1551"/>
      <c r="BEP37" s="1551">
        <v>44150</v>
      </c>
      <c r="BEQ37" s="1551"/>
      <c r="BER37" s="1551">
        <v>44150</v>
      </c>
      <c r="BES37" s="1551"/>
      <c r="BET37" s="1551">
        <v>44150</v>
      </c>
      <c r="BEU37" s="1551">
        <v>44150</v>
      </c>
      <c r="BEV37" s="1551"/>
      <c r="BEW37" s="1551">
        <v>44150</v>
      </c>
      <c r="BEX37" s="1551"/>
      <c r="BEY37" s="1551">
        <v>44150</v>
      </c>
      <c r="BEZ37" s="1551"/>
      <c r="BFA37" s="1551">
        <v>44150</v>
      </c>
      <c r="BFB37" s="1551">
        <v>44150</v>
      </c>
      <c r="BFC37" s="1551"/>
      <c r="BFD37" s="1551">
        <v>44150</v>
      </c>
      <c r="BFE37" s="1551"/>
      <c r="BFF37" s="1551">
        <v>44150</v>
      </c>
      <c r="BFG37" s="1551"/>
      <c r="BFH37" s="1551">
        <v>44150</v>
      </c>
      <c r="BFI37" s="1551">
        <v>44150</v>
      </c>
      <c r="BFJ37" s="1551"/>
      <c r="BFK37" s="1551">
        <v>44150</v>
      </c>
      <c r="BFL37" s="1551"/>
      <c r="BFM37" s="1551">
        <v>44150</v>
      </c>
      <c r="BFN37" s="1551"/>
      <c r="BFO37" s="1551">
        <v>44150</v>
      </c>
      <c r="BFP37" s="1551">
        <v>44150</v>
      </c>
      <c r="BFQ37" s="1551"/>
      <c r="BFR37" s="1551">
        <v>44150</v>
      </c>
      <c r="BFS37" s="1551"/>
      <c r="BFT37" s="1551">
        <v>44150</v>
      </c>
      <c r="BFU37" s="1551"/>
      <c r="BFV37" s="1551">
        <v>44150</v>
      </c>
      <c r="BFW37" s="1551">
        <v>44150</v>
      </c>
      <c r="BFX37" s="1551"/>
      <c r="BFY37" s="1551">
        <v>44150</v>
      </c>
      <c r="BFZ37" s="1551"/>
      <c r="BGA37" s="1551">
        <v>44150</v>
      </c>
      <c r="BGB37" s="1551"/>
      <c r="BGC37" s="1551">
        <v>44150</v>
      </c>
      <c r="BGD37" s="1551">
        <v>44150</v>
      </c>
      <c r="BGE37" s="1551"/>
      <c r="BGF37" s="1551">
        <v>44150</v>
      </c>
      <c r="BGG37" s="1551"/>
      <c r="BGH37" s="1551">
        <v>44150</v>
      </c>
      <c r="BGI37" s="1551"/>
      <c r="BGJ37" s="1551">
        <v>44150</v>
      </c>
      <c r="BGK37" s="1551">
        <v>44150</v>
      </c>
      <c r="BGL37" s="1551"/>
      <c r="BGM37" s="1551">
        <v>44150</v>
      </c>
      <c r="BGN37" s="1551"/>
      <c r="BGO37" s="1551">
        <v>44150</v>
      </c>
      <c r="BGP37" s="1551"/>
      <c r="BGQ37" s="1551">
        <v>44150</v>
      </c>
      <c r="BGR37" s="1551">
        <v>44150</v>
      </c>
      <c r="BGS37" s="1551"/>
      <c r="BGT37" s="1551">
        <v>44150</v>
      </c>
      <c r="BGU37" s="1551"/>
      <c r="BGV37" s="1551">
        <v>44150</v>
      </c>
      <c r="BGW37" s="1551"/>
      <c r="BGX37" s="1551">
        <v>44150</v>
      </c>
      <c r="BGY37" s="1551">
        <v>44150</v>
      </c>
      <c r="BGZ37" s="1551"/>
      <c r="BHA37" s="1551">
        <v>44150</v>
      </c>
      <c r="BHB37" s="1551"/>
      <c r="BHC37" s="1551">
        <v>44150</v>
      </c>
      <c r="BHD37" s="1551"/>
      <c r="BHE37" s="1551">
        <v>44150</v>
      </c>
      <c r="BHF37" s="1551">
        <v>44150</v>
      </c>
      <c r="BHG37" s="1551"/>
      <c r="BHH37" s="1551">
        <v>44150</v>
      </c>
      <c r="BHI37" s="1551"/>
      <c r="BHJ37" s="1551">
        <v>44150</v>
      </c>
      <c r="BHK37" s="1551"/>
      <c r="BHL37" s="1551">
        <v>44150</v>
      </c>
      <c r="BHM37" s="1551">
        <v>44150</v>
      </c>
      <c r="BHN37" s="1551"/>
      <c r="BHO37" s="1551">
        <v>44150</v>
      </c>
      <c r="BHP37" s="1551"/>
      <c r="BHQ37" s="1551">
        <v>44150</v>
      </c>
      <c r="BHR37" s="1551"/>
      <c r="BHS37" s="1551">
        <v>44150</v>
      </c>
      <c r="BHT37" s="1551">
        <v>44150</v>
      </c>
      <c r="BHU37" s="1551"/>
      <c r="BHV37" s="1551">
        <v>44150</v>
      </c>
      <c r="BHW37" s="1551"/>
      <c r="BHX37" s="1551">
        <v>44150</v>
      </c>
      <c r="BHY37" s="1551"/>
      <c r="BHZ37" s="1551">
        <v>44150</v>
      </c>
      <c r="BIA37" s="1551">
        <v>44150</v>
      </c>
      <c r="BIB37" s="1551"/>
      <c r="BIC37" s="1551">
        <v>44150</v>
      </c>
      <c r="BID37" s="1551"/>
      <c r="BIE37" s="1551">
        <v>44150</v>
      </c>
      <c r="BIF37" s="1551"/>
      <c r="BIG37" s="1551">
        <v>44150</v>
      </c>
      <c r="BIH37" s="1551">
        <v>44150</v>
      </c>
      <c r="BII37" s="1551"/>
      <c r="BIJ37" s="1551">
        <v>44150</v>
      </c>
      <c r="BIK37" s="1551"/>
      <c r="BIL37" s="1551">
        <v>44150</v>
      </c>
      <c r="BIM37" s="1551"/>
      <c r="BIN37" s="1551">
        <v>44150</v>
      </c>
      <c r="BIO37" s="1551">
        <v>44150</v>
      </c>
      <c r="BIP37" s="1551"/>
      <c r="BIQ37" s="1551">
        <v>44150</v>
      </c>
      <c r="BIR37" s="1551"/>
      <c r="BIS37" s="1551">
        <v>44150</v>
      </c>
      <c r="BIT37" s="1551"/>
      <c r="BIU37" s="1551">
        <v>44150</v>
      </c>
      <c r="BIV37" s="1551">
        <v>44150</v>
      </c>
      <c r="BIW37" s="1551"/>
      <c r="BIX37" s="1551">
        <v>44150</v>
      </c>
      <c r="BIY37" s="1551"/>
      <c r="BIZ37" s="1551">
        <v>44150</v>
      </c>
      <c r="BJA37" s="1551"/>
      <c r="BJB37" s="1551">
        <v>44150</v>
      </c>
      <c r="BJC37" s="1551">
        <v>44150</v>
      </c>
      <c r="BJD37" s="1551"/>
      <c r="BJE37" s="1551">
        <v>44150</v>
      </c>
      <c r="BJF37" s="1551"/>
      <c r="BJG37" s="1551">
        <v>44150</v>
      </c>
      <c r="BJH37" s="1551"/>
      <c r="BJI37" s="1551">
        <v>44150</v>
      </c>
      <c r="BJJ37" s="1551">
        <v>44150</v>
      </c>
      <c r="BJK37" s="1551"/>
      <c r="BJL37" s="1551">
        <v>44150</v>
      </c>
      <c r="BJM37" s="1551"/>
      <c r="BJN37" s="1551">
        <v>44150</v>
      </c>
      <c r="BJO37" s="1551"/>
      <c r="BJP37" s="1551">
        <v>44150</v>
      </c>
      <c r="BJQ37" s="1551">
        <v>44150</v>
      </c>
      <c r="BJR37" s="1551"/>
      <c r="BJS37" s="1551">
        <v>44150</v>
      </c>
      <c r="BJT37" s="1551"/>
      <c r="BJU37" s="1551">
        <v>44150</v>
      </c>
      <c r="BJV37" s="1551"/>
      <c r="BJW37" s="1551">
        <v>44150</v>
      </c>
      <c r="BJX37" s="1551">
        <v>44150</v>
      </c>
      <c r="BJY37" s="1551"/>
      <c r="BJZ37" s="1551">
        <v>44150</v>
      </c>
      <c r="BKA37" s="1551"/>
      <c r="BKB37" s="1551">
        <v>44150</v>
      </c>
      <c r="BKC37" s="1551"/>
      <c r="BKD37" s="1551">
        <v>44150</v>
      </c>
      <c r="BKE37" s="1551">
        <v>44150</v>
      </c>
      <c r="BKF37" s="1551"/>
      <c r="BKG37" s="1551">
        <v>44150</v>
      </c>
      <c r="BKH37" s="1551"/>
      <c r="BKI37" s="1551">
        <v>44150</v>
      </c>
      <c r="BKJ37" s="1551"/>
      <c r="BKK37" s="1551">
        <v>44150</v>
      </c>
      <c r="BKL37" s="1551">
        <v>44150</v>
      </c>
      <c r="BKM37" s="1551"/>
      <c r="BKN37" s="1551">
        <v>44150</v>
      </c>
      <c r="BKO37" s="1551"/>
      <c r="BKP37" s="1551">
        <v>44150</v>
      </c>
      <c r="BKQ37" s="1551"/>
      <c r="BKR37" s="1551">
        <v>44150</v>
      </c>
      <c r="BKS37" s="1551">
        <v>44150</v>
      </c>
      <c r="BKT37" s="1551"/>
      <c r="BKU37" s="1551">
        <v>44150</v>
      </c>
      <c r="BKV37" s="1551"/>
      <c r="BKW37" s="1551">
        <v>44150</v>
      </c>
      <c r="BKX37" s="1551"/>
      <c r="BKY37" s="1551">
        <v>44150</v>
      </c>
      <c r="BKZ37" s="1551">
        <v>44150</v>
      </c>
      <c r="BLA37" s="1551"/>
      <c r="BLB37" s="1551">
        <v>44150</v>
      </c>
      <c r="BLC37" s="1551"/>
      <c r="BLD37" s="1551">
        <v>44150</v>
      </c>
      <c r="BLE37" s="1551"/>
      <c r="BLF37" s="1551">
        <v>44150</v>
      </c>
      <c r="BLG37" s="1551">
        <v>44150</v>
      </c>
      <c r="BLH37" s="1551"/>
      <c r="BLI37" s="1551">
        <v>44150</v>
      </c>
      <c r="BLJ37" s="1551"/>
      <c r="BLK37" s="1551">
        <v>44150</v>
      </c>
      <c r="BLL37" s="1551"/>
      <c r="BLM37" s="1551">
        <v>44150</v>
      </c>
      <c r="BLN37" s="1551">
        <v>44150</v>
      </c>
      <c r="BLO37" s="1551"/>
      <c r="BLP37" s="1551">
        <v>44150</v>
      </c>
      <c r="BLQ37" s="1551"/>
      <c r="BLR37" s="1551">
        <v>44150</v>
      </c>
      <c r="BLS37" s="1551"/>
      <c r="BLT37" s="1551">
        <v>44150</v>
      </c>
      <c r="BLU37" s="1551">
        <v>44150</v>
      </c>
      <c r="BLV37" s="1551"/>
      <c r="BLW37" s="1551">
        <v>44150</v>
      </c>
      <c r="BLX37" s="1551"/>
      <c r="BLY37" s="1551">
        <v>44150</v>
      </c>
      <c r="BLZ37" s="1551"/>
      <c r="BMA37" s="1551">
        <v>44150</v>
      </c>
      <c r="BMB37" s="1551">
        <v>44150</v>
      </c>
      <c r="BMC37" s="1551"/>
      <c r="BMD37" s="1551">
        <v>44150</v>
      </c>
      <c r="BME37" s="1551"/>
      <c r="BMF37" s="1551">
        <v>44150</v>
      </c>
      <c r="BMG37" s="1551"/>
      <c r="BMH37" s="1551">
        <v>44150</v>
      </c>
      <c r="BMI37" s="1551">
        <v>44150</v>
      </c>
      <c r="BMJ37" s="1551"/>
      <c r="BMK37" s="1551">
        <v>44150</v>
      </c>
      <c r="BML37" s="1551"/>
      <c r="BMM37" s="1551">
        <v>44150</v>
      </c>
      <c r="BMN37" s="1551"/>
      <c r="BMO37" s="1551">
        <v>44150</v>
      </c>
      <c r="BMP37" s="1551">
        <v>44150</v>
      </c>
      <c r="BMQ37" s="1551"/>
      <c r="BMR37" s="1551">
        <v>44150</v>
      </c>
      <c r="BMS37" s="1551"/>
      <c r="BMT37" s="1551">
        <v>44150</v>
      </c>
      <c r="BMU37" s="1551"/>
      <c r="BMV37" s="1551">
        <v>44150</v>
      </c>
      <c r="BMW37" s="1551">
        <v>44150</v>
      </c>
      <c r="BMX37" s="1551"/>
      <c r="BMY37" s="1551">
        <v>44150</v>
      </c>
      <c r="BMZ37" s="1551"/>
      <c r="BNA37" s="1551">
        <v>44150</v>
      </c>
      <c r="BNB37" s="1551"/>
      <c r="BNC37" s="1551">
        <v>44150</v>
      </c>
      <c r="BND37" s="1551">
        <v>44150</v>
      </c>
      <c r="BNE37" s="1551"/>
      <c r="BNF37" s="1551">
        <v>44150</v>
      </c>
      <c r="BNG37" s="1551"/>
      <c r="BNH37" s="1551">
        <v>44150</v>
      </c>
      <c r="BNI37" s="1551"/>
      <c r="BNJ37" s="1551">
        <v>44150</v>
      </c>
      <c r="BNK37" s="1551">
        <v>44150</v>
      </c>
      <c r="BNL37" s="1551"/>
      <c r="BNM37" s="1551">
        <v>44150</v>
      </c>
      <c r="BNN37" s="1551"/>
      <c r="BNO37" s="1551">
        <v>44150</v>
      </c>
      <c r="BNP37" s="1551"/>
      <c r="BNQ37" s="1551">
        <v>44150</v>
      </c>
      <c r="BNR37" s="1551">
        <v>44150</v>
      </c>
      <c r="BNS37" s="1551"/>
      <c r="BNT37" s="1551">
        <v>44150</v>
      </c>
      <c r="BNU37" s="1551"/>
      <c r="BNV37" s="1551">
        <v>44150</v>
      </c>
      <c r="BNW37" s="1551"/>
      <c r="BNX37" s="1551">
        <v>44150</v>
      </c>
      <c r="BNY37" s="1551">
        <v>44150</v>
      </c>
      <c r="BNZ37" s="1551"/>
      <c r="BOA37" s="1551">
        <v>44150</v>
      </c>
      <c r="BOB37" s="1551"/>
      <c r="BOC37" s="1551">
        <v>44150</v>
      </c>
      <c r="BOD37" s="1551"/>
      <c r="BOE37" s="1551">
        <v>44150</v>
      </c>
      <c r="BOF37" s="1551">
        <v>44150</v>
      </c>
      <c r="BOG37" s="1551"/>
      <c r="BOH37" s="1551">
        <v>44150</v>
      </c>
      <c r="BOI37" s="1551"/>
      <c r="BOJ37" s="1551">
        <v>44150</v>
      </c>
      <c r="BOK37" s="1551"/>
      <c r="BOL37" s="1551">
        <v>44150</v>
      </c>
      <c r="BOM37" s="1551">
        <v>44150</v>
      </c>
      <c r="BON37" s="1551"/>
      <c r="BOO37" s="1551">
        <v>44150</v>
      </c>
      <c r="BOP37" s="1551"/>
      <c r="BOQ37" s="1551">
        <v>44150</v>
      </c>
      <c r="BOR37" s="1551"/>
      <c r="BOS37" s="1551">
        <v>44150</v>
      </c>
      <c r="BOT37" s="1551">
        <v>44150</v>
      </c>
      <c r="BOU37" s="1551"/>
      <c r="BOV37" s="1551">
        <v>44150</v>
      </c>
      <c r="BOW37" s="1551"/>
      <c r="BOX37" s="1551">
        <v>44150</v>
      </c>
      <c r="BOY37" s="1551"/>
      <c r="BOZ37" s="1551">
        <v>44150</v>
      </c>
      <c r="BPA37" s="1551">
        <v>44150</v>
      </c>
      <c r="BPB37" s="1551"/>
      <c r="BPC37" s="1551">
        <v>44150</v>
      </c>
      <c r="BPD37" s="1551"/>
      <c r="BPE37" s="1551">
        <v>44150</v>
      </c>
      <c r="BPF37" s="1551"/>
      <c r="BPG37" s="1551">
        <v>44150</v>
      </c>
      <c r="BPH37" s="1551">
        <v>44150</v>
      </c>
      <c r="BPI37" s="1551"/>
      <c r="BPJ37" s="1551">
        <v>44150</v>
      </c>
      <c r="BPK37" s="1551"/>
      <c r="BPL37" s="1551">
        <v>44150</v>
      </c>
      <c r="BPM37" s="1551"/>
      <c r="BPN37" s="1551">
        <v>44150</v>
      </c>
      <c r="BPO37" s="1551">
        <v>44150</v>
      </c>
      <c r="BPP37" s="1551"/>
      <c r="BPQ37" s="1551">
        <v>44150</v>
      </c>
      <c r="BPR37" s="1551"/>
      <c r="BPS37" s="1551">
        <v>44150</v>
      </c>
      <c r="BPT37" s="1551"/>
      <c r="BPU37" s="1551">
        <v>44150</v>
      </c>
      <c r="BPV37" s="1551">
        <v>44150</v>
      </c>
      <c r="BPW37" s="1551"/>
      <c r="BPX37" s="1551">
        <v>44150</v>
      </c>
      <c r="BPY37" s="1551"/>
      <c r="BPZ37" s="1551">
        <v>44150</v>
      </c>
      <c r="BQA37" s="1551"/>
      <c r="BQB37" s="1551">
        <v>44150</v>
      </c>
      <c r="BQC37" s="1551">
        <v>44150</v>
      </c>
      <c r="BQD37" s="1551"/>
      <c r="BQE37" s="1551">
        <v>44150</v>
      </c>
      <c r="BQF37" s="1551"/>
      <c r="BQG37" s="1551">
        <v>44150</v>
      </c>
      <c r="BQH37" s="1551"/>
      <c r="BQI37" s="1551">
        <v>44150</v>
      </c>
      <c r="BQJ37" s="1551">
        <v>44150</v>
      </c>
      <c r="BQK37" s="1551"/>
      <c r="BQL37" s="1551">
        <v>44150</v>
      </c>
      <c r="BQM37" s="1551"/>
      <c r="BQN37" s="1551">
        <v>44150</v>
      </c>
      <c r="BQO37" s="1551"/>
      <c r="BQP37" s="1551">
        <v>44150</v>
      </c>
      <c r="BQQ37" s="1551">
        <v>44150</v>
      </c>
      <c r="BQR37" s="1551"/>
      <c r="BQS37" s="1551">
        <v>44150</v>
      </c>
      <c r="BQT37" s="1551"/>
      <c r="BQU37" s="1551">
        <v>44150</v>
      </c>
      <c r="BQV37" s="1551"/>
      <c r="BQW37" s="1551">
        <v>44150</v>
      </c>
      <c r="BQX37" s="1551">
        <v>44150</v>
      </c>
      <c r="BQY37" s="1551"/>
      <c r="BQZ37" s="1551">
        <v>44150</v>
      </c>
      <c r="BRA37" s="1551"/>
      <c r="BRB37" s="1551">
        <v>44150</v>
      </c>
      <c r="BRC37" s="1551"/>
      <c r="BRD37" s="1551">
        <v>44150</v>
      </c>
      <c r="BRE37" s="1551">
        <v>44150</v>
      </c>
      <c r="BRF37" s="1551"/>
      <c r="BRG37" s="1551">
        <v>44150</v>
      </c>
      <c r="BRH37" s="1551"/>
      <c r="BRI37" s="1551">
        <v>44150</v>
      </c>
      <c r="BRJ37" s="1551"/>
      <c r="BRK37" s="1551">
        <v>44150</v>
      </c>
      <c r="BRL37" s="1551">
        <v>44150</v>
      </c>
      <c r="BRM37" s="1551"/>
      <c r="BRN37" s="1551">
        <v>44150</v>
      </c>
      <c r="BRO37" s="1551"/>
      <c r="BRP37" s="1551">
        <v>44150</v>
      </c>
      <c r="BRQ37" s="1551"/>
      <c r="BRR37" s="1551">
        <v>44150</v>
      </c>
      <c r="BRS37" s="1551">
        <v>44150</v>
      </c>
      <c r="BRT37" s="1551"/>
      <c r="BRU37" s="1551">
        <v>44150</v>
      </c>
      <c r="BRV37" s="1551"/>
      <c r="BRW37" s="1551">
        <v>44150</v>
      </c>
      <c r="BRX37" s="1551"/>
      <c r="BRY37" s="1551">
        <v>44150</v>
      </c>
      <c r="BRZ37" s="1551">
        <v>44150</v>
      </c>
      <c r="BSA37" s="1551"/>
      <c r="BSB37" s="1551">
        <v>44150</v>
      </c>
      <c r="BSC37" s="1551"/>
      <c r="BSD37" s="1551">
        <v>44150</v>
      </c>
      <c r="BSE37" s="1551"/>
      <c r="BSF37" s="1551">
        <v>44150</v>
      </c>
      <c r="BSG37" s="1551">
        <v>44150</v>
      </c>
      <c r="BSH37" s="1551"/>
      <c r="BSI37" s="1551">
        <v>44150</v>
      </c>
      <c r="BSJ37" s="1551"/>
      <c r="BSK37" s="1551">
        <v>44150</v>
      </c>
      <c r="BSL37" s="1551"/>
      <c r="BSM37" s="1551">
        <v>44150</v>
      </c>
      <c r="BSN37" s="1551">
        <v>44150</v>
      </c>
      <c r="BSO37" s="1551"/>
      <c r="BSP37" s="1551">
        <v>44150</v>
      </c>
      <c r="BSQ37" s="1551"/>
      <c r="BSR37" s="1551">
        <v>44150</v>
      </c>
      <c r="BSS37" s="1551"/>
      <c r="BST37" s="1551">
        <v>44150</v>
      </c>
      <c r="BSU37" s="1551">
        <v>44150</v>
      </c>
      <c r="BSV37" s="1551"/>
      <c r="BSW37" s="1551">
        <v>44150</v>
      </c>
      <c r="BSX37" s="1551"/>
      <c r="BSY37" s="1551">
        <v>44150</v>
      </c>
      <c r="BSZ37" s="1551"/>
      <c r="BTA37" s="1551">
        <v>44150</v>
      </c>
      <c r="BTB37" s="1551">
        <v>44150</v>
      </c>
      <c r="BTC37" s="1551"/>
      <c r="BTD37" s="1551">
        <v>44150</v>
      </c>
      <c r="BTE37" s="1551"/>
      <c r="BTF37" s="1551">
        <v>44150</v>
      </c>
      <c r="BTG37" s="1551"/>
      <c r="BTH37" s="1551">
        <v>44150</v>
      </c>
      <c r="BTI37" s="1551">
        <v>44150</v>
      </c>
      <c r="BTJ37" s="1551"/>
      <c r="BTK37" s="1551">
        <v>44150</v>
      </c>
      <c r="BTL37" s="1551"/>
      <c r="BTM37" s="1551">
        <v>44150</v>
      </c>
      <c r="BTN37" s="1551"/>
      <c r="BTO37" s="1551">
        <v>44150</v>
      </c>
      <c r="BTP37" s="1551">
        <v>44150</v>
      </c>
      <c r="BTQ37" s="1551"/>
      <c r="BTR37" s="1551">
        <v>44150</v>
      </c>
      <c r="BTS37" s="1551"/>
      <c r="BTT37" s="1551">
        <v>44150</v>
      </c>
      <c r="BTU37" s="1551"/>
      <c r="BTV37" s="1551">
        <v>44150</v>
      </c>
      <c r="BTW37" s="1551">
        <v>44150</v>
      </c>
      <c r="BTX37" s="1551"/>
      <c r="BTY37" s="1551">
        <v>44150</v>
      </c>
      <c r="BTZ37" s="1551"/>
      <c r="BUA37" s="1551">
        <v>44150</v>
      </c>
      <c r="BUB37" s="1551"/>
      <c r="BUC37" s="1551">
        <v>44150</v>
      </c>
      <c r="BUD37" s="1551">
        <v>44150</v>
      </c>
      <c r="BUE37" s="1551"/>
      <c r="BUF37" s="1551">
        <v>44150</v>
      </c>
      <c r="BUG37" s="1551"/>
      <c r="BUH37" s="1551">
        <v>44150</v>
      </c>
      <c r="BUI37" s="1551"/>
      <c r="BUJ37" s="1551">
        <v>44150</v>
      </c>
      <c r="BUK37" s="1551">
        <v>44150</v>
      </c>
      <c r="BUL37" s="1551"/>
      <c r="BUM37" s="1551">
        <v>44150</v>
      </c>
      <c r="BUN37" s="1551"/>
      <c r="BUO37" s="1551">
        <v>44150</v>
      </c>
      <c r="BUP37" s="1551"/>
      <c r="BUQ37" s="1551">
        <v>44150</v>
      </c>
      <c r="BUR37" s="1551">
        <v>44150</v>
      </c>
      <c r="BUS37" s="1551"/>
      <c r="BUT37" s="1551">
        <v>44150</v>
      </c>
      <c r="BUU37" s="1551"/>
      <c r="BUV37" s="1551">
        <v>44150</v>
      </c>
      <c r="BUW37" s="1551"/>
      <c r="BUX37" s="1551">
        <v>44150</v>
      </c>
      <c r="BUY37" s="1551">
        <v>44150</v>
      </c>
      <c r="BUZ37" s="1551"/>
      <c r="BVA37" s="1551">
        <v>44150</v>
      </c>
      <c r="BVB37" s="1551"/>
      <c r="BVC37" s="1551">
        <v>44150</v>
      </c>
      <c r="BVD37" s="1551"/>
      <c r="BVE37" s="1551">
        <v>44150</v>
      </c>
      <c r="BVF37" s="1551">
        <v>44150</v>
      </c>
      <c r="BVG37" s="1551"/>
      <c r="BVH37" s="1551">
        <v>44150</v>
      </c>
      <c r="BVI37" s="1551"/>
      <c r="BVJ37" s="1551">
        <v>44150</v>
      </c>
      <c r="BVK37" s="1551"/>
      <c r="BVL37" s="1551">
        <v>44150</v>
      </c>
      <c r="BVM37" s="1551">
        <v>44150</v>
      </c>
      <c r="BVN37" s="1551"/>
      <c r="BVO37" s="1551">
        <v>44150</v>
      </c>
      <c r="BVP37" s="1551"/>
      <c r="BVQ37" s="1551">
        <v>44150</v>
      </c>
      <c r="BVR37" s="1551"/>
      <c r="BVS37" s="1551">
        <v>44150</v>
      </c>
      <c r="BVT37" s="1551">
        <v>44150</v>
      </c>
      <c r="BVU37" s="1551"/>
      <c r="BVV37" s="1551">
        <v>44150</v>
      </c>
      <c r="BVW37" s="1551"/>
      <c r="BVX37" s="1551">
        <v>44150</v>
      </c>
      <c r="BVY37" s="1551"/>
      <c r="BVZ37" s="1551">
        <v>44150</v>
      </c>
      <c r="BWA37" s="1551">
        <v>44150</v>
      </c>
      <c r="BWB37" s="1551"/>
      <c r="BWC37" s="1551">
        <v>44150</v>
      </c>
      <c r="BWD37" s="1551"/>
      <c r="BWE37" s="1551">
        <v>44150</v>
      </c>
      <c r="BWF37" s="1551"/>
      <c r="BWG37" s="1551">
        <v>44150</v>
      </c>
      <c r="BWH37" s="1551">
        <v>44150</v>
      </c>
      <c r="BWI37" s="1551"/>
      <c r="BWJ37" s="1551">
        <v>44150</v>
      </c>
      <c r="BWK37" s="1551"/>
      <c r="BWL37" s="1551">
        <v>44150</v>
      </c>
      <c r="BWM37" s="1551"/>
      <c r="BWN37" s="1551">
        <v>44150</v>
      </c>
      <c r="BWO37" s="1551">
        <v>44150</v>
      </c>
      <c r="BWP37" s="1551"/>
      <c r="BWQ37" s="1551">
        <v>44150</v>
      </c>
      <c r="BWR37" s="1551"/>
      <c r="BWS37" s="1551">
        <v>44150</v>
      </c>
      <c r="BWT37" s="1551"/>
      <c r="BWU37" s="1551">
        <v>44150</v>
      </c>
      <c r="BWV37" s="1551">
        <v>44150</v>
      </c>
      <c r="BWW37" s="1551"/>
      <c r="BWX37" s="1551">
        <v>44150</v>
      </c>
      <c r="BWY37" s="1551"/>
      <c r="BWZ37" s="1551">
        <v>44150</v>
      </c>
      <c r="BXA37" s="1551"/>
      <c r="BXB37" s="1551">
        <v>44150</v>
      </c>
      <c r="BXC37" s="1551">
        <v>44150</v>
      </c>
      <c r="BXD37" s="1551"/>
      <c r="BXE37" s="1551">
        <v>44150</v>
      </c>
      <c r="BXF37" s="1551"/>
      <c r="BXG37" s="1551">
        <v>44150</v>
      </c>
      <c r="BXH37" s="1551"/>
      <c r="BXI37" s="1551">
        <v>44150</v>
      </c>
      <c r="BXJ37" s="1551">
        <v>44150</v>
      </c>
      <c r="BXK37" s="1551"/>
      <c r="BXL37" s="1551">
        <v>44150</v>
      </c>
      <c r="BXM37" s="1551"/>
      <c r="BXN37" s="1551">
        <v>44150</v>
      </c>
      <c r="BXO37" s="1551"/>
      <c r="BXP37" s="1551">
        <v>44150</v>
      </c>
      <c r="BXQ37" s="1551">
        <v>44150</v>
      </c>
      <c r="BXR37" s="1551"/>
      <c r="BXS37" s="1551">
        <v>44150</v>
      </c>
      <c r="BXT37" s="1551"/>
      <c r="BXU37" s="1551">
        <v>44150</v>
      </c>
      <c r="BXV37" s="1551"/>
      <c r="BXW37" s="1551">
        <v>44150</v>
      </c>
      <c r="BXX37" s="1551">
        <v>44150</v>
      </c>
      <c r="BXY37" s="1551"/>
      <c r="BXZ37" s="1551">
        <v>44150</v>
      </c>
      <c r="BYA37" s="1551"/>
      <c r="BYB37" s="1551">
        <v>44150</v>
      </c>
      <c r="BYC37" s="1551"/>
      <c r="BYD37" s="1551">
        <v>44150</v>
      </c>
      <c r="BYE37" s="1551">
        <v>44150</v>
      </c>
      <c r="BYF37" s="1551"/>
      <c r="BYG37" s="1551">
        <v>44150</v>
      </c>
      <c r="BYH37" s="1551"/>
      <c r="BYI37" s="1551">
        <v>44150</v>
      </c>
      <c r="BYJ37" s="1551"/>
      <c r="BYK37" s="1551">
        <v>44150</v>
      </c>
      <c r="BYL37" s="1551">
        <v>44150</v>
      </c>
      <c r="BYM37" s="1551"/>
      <c r="BYN37" s="1551">
        <v>44150</v>
      </c>
      <c r="BYO37" s="1551"/>
      <c r="BYP37" s="1551">
        <v>44150</v>
      </c>
      <c r="BYQ37" s="1551"/>
      <c r="BYR37" s="1551">
        <v>44150</v>
      </c>
      <c r="BYS37" s="1551">
        <v>44150</v>
      </c>
      <c r="BYT37" s="1551"/>
      <c r="BYU37" s="1551">
        <v>44150</v>
      </c>
      <c r="BYV37" s="1551"/>
      <c r="BYW37" s="1551">
        <v>44150</v>
      </c>
      <c r="BYX37" s="1551"/>
      <c r="BYY37" s="1551">
        <v>44150</v>
      </c>
      <c r="BYZ37" s="1551">
        <v>44150</v>
      </c>
      <c r="BZA37" s="1551"/>
      <c r="BZB37" s="1551">
        <v>44150</v>
      </c>
      <c r="BZC37" s="1551"/>
      <c r="BZD37" s="1551">
        <v>44150</v>
      </c>
      <c r="BZE37" s="1551"/>
      <c r="BZF37" s="1551">
        <v>44150</v>
      </c>
      <c r="BZG37" s="1551">
        <v>44150</v>
      </c>
      <c r="BZH37" s="1551"/>
      <c r="BZI37" s="1551">
        <v>44150</v>
      </c>
      <c r="BZJ37" s="1551"/>
      <c r="BZK37" s="1551">
        <v>44150</v>
      </c>
      <c r="BZL37" s="1551"/>
      <c r="BZM37" s="1551">
        <v>44150</v>
      </c>
      <c r="BZN37" s="1551">
        <v>44150</v>
      </c>
      <c r="BZO37" s="1551"/>
      <c r="BZP37" s="1551">
        <v>44150</v>
      </c>
      <c r="BZQ37" s="1551"/>
      <c r="BZR37" s="1551">
        <v>44150</v>
      </c>
      <c r="BZS37" s="1551"/>
      <c r="BZT37" s="1551">
        <v>44150</v>
      </c>
      <c r="BZU37" s="1551">
        <v>44150</v>
      </c>
      <c r="BZV37" s="1551"/>
      <c r="BZW37" s="1551">
        <v>44150</v>
      </c>
      <c r="BZX37" s="1551"/>
      <c r="BZY37" s="1551">
        <v>44150</v>
      </c>
      <c r="BZZ37" s="1551"/>
      <c r="CAA37" s="1551">
        <v>44150</v>
      </c>
      <c r="CAB37" s="1551">
        <v>44150</v>
      </c>
      <c r="CAC37" s="1551"/>
      <c r="CAD37" s="1551">
        <v>44150</v>
      </c>
      <c r="CAE37" s="1551"/>
      <c r="CAF37" s="1551">
        <v>44150</v>
      </c>
      <c r="CAG37" s="1551"/>
      <c r="CAH37" s="1551">
        <v>44150</v>
      </c>
      <c r="CAI37" s="1551">
        <v>44150</v>
      </c>
      <c r="CAJ37" s="1551"/>
      <c r="CAK37" s="1551">
        <v>44150</v>
      </c>
      <c r="CAL37" s="1551"/>
      <c r="CAM37" s="1551">
        <v>44150</v>
      </c>
      <c r="CAN37" s="1551"/>
      <c r="CAO37" s="1551">
        <v>44150</v>
      </c>
      <c r="CAP37" s="1551">
        <v>44150</v>
      </c>
      <c r="CAQ37" s="1551"/>
      <c r="CAR37" s="1551">
        <v>44150</v>
      </c>
      <c r="CAS37" s="1551"/>
      <c r="CAT37" s="1551">
        <v>44150</v>
      </c>
      <c r="CAU37" s="1551"/>
      <c r="CAV37" s="1551">
        <v>44150</v>
      </c>
      <c r="CAW37" s="1551">
        <v>44150</v>
      </c>
      <c r="CAX37" s="1551"/>
      <c r="CAY37" s="1551">
        <v>44150</v>
      </c>
      <c r="CAZ37" s="1551"/>
      <c r="CBA37" s="1551">
        <v>44150</v>
      </c>
      <c r="CBB37" s="1551"/>
      <c r="CBC37" s="1551">
        <v>44150</v>
      </c>
      <c r="CBD37" s="1551">
        <v>44150</v>
      </c>
      <c r="CBE37" s="1551"/>
      <c r="CBF37" s="1551">
        <v>44150</v>
      </c>
      <c r="CBG37" s="1551"/>
      <c r="CBH37" s="1551">
        <v>44150</v>
      </c>
      <c r="CBI37" s="1551"/>
      <c r="CBJ37" s="1551">
        <v>44150</v>
      </c>
      <c r="CBK37" s="1551">
        <v>44150</v>
      </c>
      <c r="CBL37" s="1551"/>
      <c r="CBM37" s="1551">
        <v>44150</v>
      </c>
      <c r="CBN37" s="1551"/>
      <c r="CBO37" s="1551">
        <v>44150</v>
      </c>
      <c r="CBP37" s="1551"/>
      <c r="CBQ37" s="1551">
        <v>44150</v>
      </c>
      <c r="CBR37" s="1551">
        <v>44150</v>
      </c>
      <c r="CBS37" s="1551"/>
      <c r="CBT37" s="1551">
        <v>44150</v>
      </c>
      <c r="CBU37" s="1551"/>
      <c r="CBV37" s="1551">
        <v>44150</v>
      </c>
      <c r="CBW37" s="1551"/>
      <c r="CBX37" s="1551">
        <v>44150</v>
      </c>
      <c r="CBY37" s="1551">
        <v>44150</v>
      </c>
      <c r="CBZ37" s="1551"/>
      <c r="CCA37" s="1551">
        <v>44150</v>
      </c>
      <c r="CCB37" s="1551"/>
      <c r="CCC37" s="1551">
        <v>44150</v>
      </c>
      <c r="CCD37" s="1551"/>
      <c r="CCE37" s="1551">
        <v>44150</v>
      </c>
      <c r="CCF37" s="1551">
        <v>44150</v>
      </c>
      <c r="CCG37" s="1551"/>
      <c r="CCH37" s="1551">
        <v>44150</v>
      </c>
      <c r="CCI37" s="1551"/>
      <c r="CCJ37" s="1551">
        <v>44150</v>
      </c>
      <c r="CCK37" s="1551"/>
      <c r="CCL37" s="1551">
        <v>44150</v>
      </c>
      <c r="CCM37" s="1551">
        <v>44150</v>
      </c>
      <c r="CCN37" s="1551"/>
      <c r="CCO37" s="1551">
        <v>44150</v>
      </c>
      <c r="CCP37" s="1551"/>
      <c r="CCQ37" s="1551">
        <v>44150</v>
      </c>
      <c r="CCR37" s="1551"/>
      <c r="CCS37" s="1551">
        <v>44150</v>
      </c>
      <c r="CCT37" s="1551">
        <v>44150</v>
      </c>
      <c r="CCU37" s="1551"/>
      <c r="CCV37" s="1551">
        <v>44150</v>
      </c>
      <c r="CCW37" s="1551"/>
      <c r="CCX37" s="1551">
        <v>44150</v>
      </c>
      <c r="CCY37" s="1551"/>
      <c r="CCZ37" s="1551">
        <v>44150</v>
      </c>
      <c r="CDA37" s="1551">
        <v>44150</v>
      </c>
      <c r="CDB37" s="1551"/>
      <c r="CDC37" s="1551">
        <v>44150</v>
      </c>
      <c r="CDD37" s="1551"/>
      <c r="CDE37" s="1551">
        <v>44150</v>
      </c>
      <c r="CDF37" s="1551"/>
      <c r="CDG37" s="1551">
        <v>44150</v>
      </c>
      <c r="CDH37" s="1551">
        <v>44150</v>
      </c>
      <c r="CDI37" s="1551"/>
      <c r="CDJ37" s="1551">
        <v>44150</v>
      </c>
      <c r="CDK37" s="1551"/>
      <c r="CDL37" s="1551">
        <v>44150</v>
      </c>
      <c r="CDM37" s="1551"/>
      <c r="CDN37" s="1551">
        <v>44150</v>
      </c>
      <c r="CDO37" s="1551">
        <v>44150</v>
      </c>
      <c r="CDP37" s="1551"/>
      <c r="CDQ37" s="1551">
        <v>44150</v>
      </c>
      <c r="CDR37" s="1551"/>
      <c r="CDS37" s="1551">
        <v>44150</v>
      </c>
      <c r="CDT37" s="1551"/>
      <c r="CDU37" s="1551">
        <v>44150</v>
      </c>
      <c r="CDV37" s="1551">
        <v>44150</v>
      </c>
      <c r="CDW37" s="1551"/>
      <c r="CDX37" s="1551">
        <v>44150</v>
      </c>
      <c r="CDY37" s="1551"/>
      <c r="CDZ37" s="1551">
        <v>44150</v>
      </c>
      <c r="CEA37" s="1551"/>
      <c r="CEB37" s="1551">
        <v>44150</v>
      </c>
      <c r="CEC37" s="1551">
        <v>44150</v>
      </c>
      <c r="CED37" s="1551"/>
      <c r="CEE37" s="1551">
        <v>44150</v>
      </c>
      <c r="CEF37" s="1551"/>
      <c r="CEG37" s="1551">
        <v>44150</v>
      </c>
      <c r="CEH37" s="1551"/>
      <c r="CEI37" s="1551">
        <v>44150</v>
      </c>
      <c r="CEJ37" s="1551">
        <v>44150</v>
      </c>
      <c r="CEK37" s="1551"/>
      <c r="CEL37" s="1551">
        <v>44150</v>
      </c>
      <c r="CEM37" s="1551"/>
      <c r="CEN37" s="1551">
        <v>44150</v>
      </c>
      <c r="CEO37" s="1551"/>
      <c r="CEP37" s="1551">
        <v>44150</v>
      </c>
      <c r="CEQ37" s="1551">
        <v>44150</v>
      </c>
      <c r="CER37" s="1551"/>
      <c r="CES37" s="1551">
        <v>44150</v>
      </c>
      <c r="CET37" s="1551"/>
      <c r="CEU37" s="1551">
        <v>44150</v>
      </c>
      <c r="CEV37" s="1551"/>
      <c r="CEW37" s="1551">
        <v>44150</v>
      </c>
      <c r="CEX37" s="1551">
        <v>44150</v>
      </c>
      <c r="CEY37" s="1551"/>
      <c r="CEZ37" s="1551">
        <v>44150</v>
      </c>
      <c r="CFA37" s="1551"/>
      <c r="CFB37" s="1551">
        <v>44150</v>
      </c>
      <c r="CFC37" s="1551"/>
      <c r="CFD37" s="1551">
        <v>44150</v>
      </c>
      <c r="CFE37" s="1551">
        <v>44150</v>
      </c>
      <c r="CFF37" s="1551"/>
      <c r="CFG37" s="1551">
        <v>44150</v>
      </c>
      <c r="CFH37" s="1551"/>
      <c r="CFI37" s="1551">
        <v>44150</v>
      </c>
      <c r="CFJ37" s="1551"/>
      <c r="CFK37" s="1551">
        <v>44150</v>
      </c>
      <c r="CFL37" s="1551">
        <v>44150</v>
      </c>
      <c r="CFM37" s="1551"/>
      <c r="CFN37" s="1551">
        <v>44150</v>
      </c>
      <c r="CFO37" s="1551"/>
      <c r="CFP37" s="1551">
        <v>44150</v>
      </c>
      <c r="CFQ37" s="1551"/>
      <c r="CFR37" s="1551">
        <v>44150</v>
      </c>
      <c r="CFS37" s="1551">
        <v>44150</v>
      </c>
      <c r="CFT37" s="1551"/>
      <c r="CFU37" s="1551">
        <v>44150</v>
      </c>
      <c r="CFV37" s="1551"/>
      <c r="CFW37" s="1551">
        <v>44150</v>
      </c>
      <c r="CFX37" s="1551"/>
      <c r="CFY37" s="1551">
        <v>44150</v>
      </c>
      <c r="CFZ37" s="1551">
        <v>44150</v>
      </c>
      <c r="CGA37" s="1551"/>
      <c r="CGB37" s="1551">
        <v>44150</v>
      </c>
      <c r="CGC37" s="1551"/>
      <c r="CGD37" s="1551">
        <v>44150</v>
      </c>
      <c r="CGE37" s="1551"/>
      <c r="CGF37" s="1551">
        <v>44150</v>
      </c>
      <c r="CGG37" s="1551">
        <v>44150</v>
      </c>
      <c r="CGH37" s="1551"/>
      <c r="CGI37" s="1551">
        <v>44150</v>
      </c>
      <c r="CGJ37" s="1551"/>
      <c r="CGK37" s="1551">
        <v>44150</v>
      </c>
      <c r="CGL37" s="1551"/>
      <c r="CGM37" s="1551">
        <v>44150</v>
      </c>
      <c r="CGN37" s="1551">
        <v>44150</v>
      </c>
      <c r="CGO37" s="1551"/>
      <c r="CGP37" s="1551">
        <v>44150</v>
      </c>
      <c r="CGQ37" s="1551"/>
      <c r="CGR37" s="1551">
        <v>44150</v>
      </c>
      <c r="CGS37" s="1551"/>
      <c r="CGT37" s="1551">
        <v>44150</v>
      </c>
      <c r="CGU37" s="1551">
        <v>44150</v>
      </c>
      <c r="CGV37" s="1551"/>
      <c r="CGW37" s="1551">
        <v>44150</v>
      </c>
      <c r="CGX37" s="1551"/>
      <c r="CGY37" s="1551">
        <v>44150</v>
      </c>
      <c r="CGZ37" s="1551"/>
      <c r="CHA37" s="1551">
        <v>44150</v>
      </c>
      <c r="CHB37" s="1551">
        <v>44150</v>
      </c>
      <c r="CHC37" s="1551"/>
      <c r="CHD37" s="1551">
        <v>44150</v>
      </c>
      <c r="CHE37" s="1551"/>
      <c r="CHF37" s="1551">
        <v>44150</v>
      </c>
      <c r="CHG37" s="1551"/>
      <c r="CHH37" s="1551">
        <v>44150</v>
      </c>
      <c r="CHI37" s="1551">
        <v>44150</v>
      </c>
      <c r="CHJ37" s="1551"/>
      <c r="CHK37" s="1551">
        <v>44150</v>
      </c>
      <c r="CHL37" s="1551"/>
      <c r="CHM37" s="1551">
        <v>44150</v>
      </c>
      <c r="CHN37" s="1551"/>
      <c r="CHO37" s="1551">
        <v>44150</v>
      </c>
      <c r="CHP37" s="1551">
        <v>44150</v>
      </c>
      <c r="CHQ37" s="1551"/>
      <c r="CHR37" s="1551">
        <v>44150</v>
      </c>
      <c r="CHS37" s="1551"/>
      <c r="CHT37" s="1551">
        <v>44150</v>
      </c>
      <c r="CHU37" s="1551"/>
      <c r="CHV37" s="1551">
        <v>44150</v>
      </c>
      <c r="CHW37" s="1551">
        <v>44150</v>
      </c>
      <c r="CHX37" s="1551"/>
      <c r="CHY37" s="1551">
        <v>44150</v>
      </c>
      <c r="CHZ37" s="1551"/>
      <c r="CIA37" s="1551">
        <v>44150</v>
      </c>
      <c r="CIB37" s="1551"/>
      <c r="CIC37" s="1551">
        <v>44150</v>
      </c>
      <c r="CID37" s="1551">
        <v>44150</v>
      </c>
      <c r="CIE37" s="1551"/>
      <c r="CIF37" s="1551">
        <v>44150</v>
      </c>
      <c r="CIG37" s="1551"/>
      <c r="CIH37" s="1551">
        <v>44150</v>
      </c>
      <c r="CII37" s="1551"/>
      <c r="CIJ37" s="1551">
        <v>44150</v>
      </c>
      <c r="CIK37" s="1551">
        <v>44150</v>
      </c>
      <c r="CIL37" s="1551"/>
      <c r="CIM37" s="1551">
        <v>44150</v>
      </c>
      <c r="CIN37" s="1551"/>
      <c r="CIO37" s="1551">
        <v>44150</v>
      </c>
      <c r="CIP37" s="1551"/>
      <c r="CIQ37" s="1551">
        <v>44150</v>
      </c>
      <c r="CIR37" s="1551">
        <v>44150</v>
      </c>
      <c r="CIS37" s="1551"/>
      <c r="CIT37" s="1551">
        <v>44150</v>
      </c>
      <c r="CIU37" s="1551"/>
      <c r="CIV37" s="1551">
        <v>44150</v>
      </c>
      <c r="CIW37" s="1551"/>
      <c r="CIX37" s="1551">
        <v>44150</v>
      </c>
      <c r="CIY37" s="1551">
        <v>44150</v>
      </c>
      <c r="CIZ37" s="1551"/>
      <c r="CJA37" s="1551">
        <v>44150</v>
      </c>
      <c r="CJB37" s="1551"/>
      <c r="CJC37" s="1551">
        <v>44150</v>
      </c>
      <c r="CJD37" s="1551"/>
      <c r="CJE37" s="1551">
        <v>44150</v>
      </c>
      <c r="CJF37" s="1551">
        <v>44150</v>
      </c>
      <c r="CJG37" s="1551"/>
      <c r="CJH37" s="1551">
        <v>44150</v>
      </c>
      <c r="CJI37" s="1551"/>
      <c r="CJJ37" s="1551">
        <v>44150</v>
      </c>
      <c r="CJK37" s="1551"/>
      <c r="CJL37" s="1551">
        <v>44150</v>
      </c>
      <c r="CJM37" s="1551">
        <v>44150</v>
      </c>
      <c r="CJN37" s="1551"/>
      <c r="CJO37" s="1551">
        <v>44150</v>
      </c>
      <c r="CJP37" s="1551"/>
      <c r="CJQ37" s="1551">
        <v>44150</v>
      </c>
      <c r="CJR37" s="1551"/>
      <c r="CJS37" s="1551">
        <v>44150</v>
      </c>
      <c r="CJT37" s="1551">
        <v>44150</v>
      </c>
      <c r="CJU37" s="1551"/>
      <c r="CJV37" s="1551">
        <v>44150</v>
      </c>
      <c r="CJW37" s="1551"/>
      <c r="CJX37" s="1551">
        <v>44150</v>
      </c>
      <c r="CJY37" s="1551"/>
      <c r="CJZ37" s="1551">
        <v>44150</v>
      </c>
      <c r="CKA37" s="1551">
        <v>44150</v>
      </c>
      <c r="CKB37" s="1551"/>
      <c r="CKC37" s="1551">
        <v>44150</v>
      </c>
      <c r="CKD37" s="1551"/>
      <c r="CKE37" s="1551">
        <v>44150</v>
      </c>
      <c r="CKF37" s="1551"/>
      <c r="CKG37" s="1551">
        <v>44150</v>
      </c>
      <c r="CKH37" s="1551">
        <v>44150</v>
      </c>
      <c r="CKI37" s="1551"/>
      <c r="CKJ37" s="1551">
        <v>44150</v>
      </c>
      <c r="CKK37" s="1551"/>
      <c r="CKL37" s="1551">
        <v>44150</v>
      </c>
      <c r="CKM37" s="1551"/>
      <c r="CKN37" s="1551">
        <v>44150</v>
      </c>
      <c r="CKO37" s="1551">
        <v>44150</v>
      </c>
      <c r="CKP37" s="1551"/>
      <c r="CKQ37" s="1551">
        <v>44150</v>
      </c>
      <c r="CKR37" s="1551"/>
      <c r="CKS37" s="1551">
        <v>44150</v>
      </c>
      <c r="CKT37" s="1551"/>
      <c r="CKU37" s="1551">
        <v>44150</v>
      </c>
      <c r="CKV37" s="1551">
        <v>44150</v>
      </c>
      <c r="CKW37" s="1551"/>
      <c r="CKX37" s="1551">
        <v>44150</v>
      </c>
      <c r="CKY37" s="1551"/>
      <c r="CKZ37" s="1551">
        <v>44150</v>
      </c>
      <c r="CLA37" s="1551"/>
      <c r="CLB37" s="1551">
        <v>44150</v>
      </c>
      <c r="CLC37" s="1551">
        <v>44150</v>
      </c>
      <c r="CLD37" s="1551"/>
      <c r="CLE37" s="1551">
        <v>44150</v>
      </c>
      <c r="CLF37" s="1551"/>
      <c r="CLG37" s="1551">
        <v>44150</v>
      </c>
      <c r="CLH37" s="1551"/>
      <c r="CLI37" s="1551">
        <v>44150</v>
      </c>
      <c r="CLJ37" s="1551">
        <v>44150</v>
      </c>
      <c r="CLK37" s="1551"/>
      <c r="CLL37" s="1551">
        <v>44150</v>
      </c>
      <c r="CLM37" s="1551"/>
      <c r="CLN37" s="1551">
        <v>44150</v>
      </c>
      <c r="CLO37" s="1551"/>
      <c r="CLP37" s="1551">
        <v>44150</v>
      </c>
      <c r="CLQ37" s="1551">
        <v>44150</v>
      </c>
      <c r="CLR37" s="1551"/>
      <c r="CLS37" s="1551">
        <v>44150</v>
      </c>
      <c r="CLT37" s="1551"/>
      <c r="CLU37" s="1551">
        <v>44150</v>
      </c>
      <c r="CLV37" s="1551"/>
      <c r="CLW37" s="1551">
        <v>44150</v>
      </c>
      <c r="CLX37" s="1551">
        <v>44150</v>
      </c>
      <c r="CLY37" s="1551"/>
      <c r="CLZ37" s="1551">
        <v>44150</v>
      </c>
      <c r="CMA37" s="1551"/>
      <c r="CMB37" s="1551">
        <v>44150</v>
      </c>
      <c r="CMC37" s="1551"/>
      <c r="CMD37" s="1551">
        <v>44150</v>
      </c>
      <c r="CME37" s="1551">
        <v>44150</v>
      </c>
      <c r="CMF37" s="1551"/>
      <c r="CMG37" s="1551">
        <v>44150</v>
      </c>
      <c r="CMH37" s="1551"/>
      <c r="CMI37" s="1551">
        <v>44150</v>
      </c>
      <c r="CMJ37" s="1551"/>
      <c r="CMK37" s="1551">
        <v>44150</v>
      </c>
      <c r="CML37" s="1551">
        <v>44150</v>
      </c>
      <c r="CMM37" s="1551"/>
      <c r="CMN37" s="1551">
        <v>44150</v>
      </c>
      <c r="CMO37" s="1551"/>
      <c r="CMP37" s="1551">
        <v>44150</v>
      </c>
      <c r="CMQ37" s="1551"/>
      <c r="CMR37" s="1551">
        <v>44150</v>
      </c>
      <c r="CMS37" s="1551">
        <v>44150</v>
      </c>
      <c r="CMT37" s="1551"/>
      <c r="CMU37" s="1551">
        <v>44150</v>
      </c>
      <c r="CMV37" s="1551"/>
      <c r="CMW37" s="1551">
        <v>44150</v>
      </c>
      <c r="CMX37" s="1551"/>
      <c r="CMY37" s="1551">
        <v>44150</v>
      </c>
      <c r="CMZ37" s="1551">
        <v>44150</v>
      </c>
      <c r="CNA37" s="1551"/>
      <c r="CNB37" s="1551">
        <v>44150</v>
      </c>
      <c r="CNC37" s="1551"/>
      <c r="CND37" s="1551">
        <v>44150</v>
      </c>
      <c r="CNE37" s="1551"/>
      <c r="CNF37" s="1551">
        <v>44150</v>
      </c>
      <c r="CNG37" s="1551">
        <v>44150</v>
      </c>
      <c r="CNH37" s="1551"/>
      <c r="CNI37" s="1551">
        <v>44150</v>
      </c>
      <c r="CNJ37" s="1551"/>
      <c r="CNK37" s="1551">
        <v>44150</v>
      </c>
      <c r="CNL37" s="1551"/>
      <c r="CNM37" s="1551">
        <v>44150</v>
      </c>
      <c r="CNN37" s="1551">
        <v>44150</v>
      </c>
      <c r="CNO37" s="1551"/>
      <c r="CNP37" s="1551">
        <v>44150</v>
      </c>
      <c r="CNQ37" s="1551"/>
      <c r="CNR37" s="1551">
        <v>44150</v>
      </c>
      <c r="CNS37" s="1551"/>
      <c r="CNT37" s="1551">
        <v>44150</v>
      </c>
      <c r="CNU37" s="1551">
        <v>44150</v>
      </c>
      <c r="CNV37" s="1551"/>
      <c r="CNW37" s="1551">
        <v>44150</v>
      </c>
      <c r="CNX37" s="1551"/>
      <c r="CNY37" s="1551">
        <v>44150</v>
      </c>
      <c r="CNZ37" s="1551"/>
      <c r="COA37" s="1551">
        <v>44150</v>
      </c>
      <c r="COB37" s="1551">
        <v>44150</v>
      </c>
      <c r="COC37" s="1551"/>
      <c r="COD37" s="1551">
        <v>44150</v>
      </c>
      <c r="COE37" s="1551"/>
      <c r="COF37" s="1551">
        <v>44150</v>
      </c>
      <c r="COG37" s="1551"/>
      <c r="COH37" s="1551">
        <v>44150</v>
      </c>
      <c r="COI37" s="1551">
        <v>44150</v>
      </c>
      <c r="COJ37" s="1551"/>
      <c r="COK37" s="1551">
        <v>44150</v>
      </c>
      <c r="COL37" s="1551"/>
      <c r="COM37" s="1551">
        <v>44150</v>
      </c>
      <c r="CON37" s="1551"/>
      <c r="COO37" s="1551">
        <v>44150</v>
      </c>
      <c r="COP37" s="1551">
        <v>44150</v>
      </c>
      <c r="COQ37" s="1551"/>
      <c r="COR37" s="1551">
        <v>44150</v>
      </c>
      <c r="COS37" s="1551"/>
      <c r="COT37" s="1551">
        <v>44150</v>
      </c>
      <c r="COU37" s="1551"/>
      <c r="COV37" s="1551">
        <v>44150</v>
      </c>
      <c r="COW37" s="1551">
        <v>44150</v>
      </c>
      <c r="COX37" s="1551"/>
      <c r="COY37" s="1551">
        <v>44150</v>
      </c>
      <c r="COZ37" s="1551"/>
      <c r="CPA37" s="1551">
        <v>44150</v>
      </c>
      <c r="CPB37" s="1551"/>
      <c r="CPC37" s="1551">
        <v>44150</v>
      </c>
      <c r="CPD37" s="1551">
        <v>44150</v>
      </c>
      <c r="CPE37" s="1551"/>
      <c r="CPF37" s="1551">
        <v>44150</v>
      </c>
      <c r="CPG37" s="1551"/>
      <c r="CPH37" s="1551">
        <v>44150</v>
      </c>
      <c r="CPI37" s="1551"/>
      <c r="CPJ37" s="1551">
        <v>44150</v>
      </c>
      <c r="CPK37" s="1551">
        <v>44150</v>
      </c>
      <c r="CPL37" s="1551"/>
      <c r="CPM37" s="1551">
        <v>44150</v>
      </c>
      <c r="CPN37" s="1551"/>
      <c r="CPO37" s="1551">
        <v>44150</v>
      </c>
      <c r="CPP37" s="1551"/>
      <c r="CPQ37" s="1551">
        <v>44150</v>
      </c>
      <c r="CPR37" s="1551">
        <v>44150</v>
      </c>
      <c r="CPS37" s="1551"/>
      <c r="CPT37" s="1551">
        <v>44150</v>
      </c>
      <c r="CPU37" s="1551"/>
      <c r="CPV37" s="1551">
        <v>44150</v>
      </c>
      <c r="CPW37" s="1551"/>
      <c r="CPX37" s="1551">
        <v>44150</v>
      </c>
      <c r="CPY37" s="1551">
        <v>44150</v>
      </c>
      <c r="CPZ37" s="1551"/>
      <c r="CQA37" s="1551">
        <v>44150</v>
      </c>
      <c r="CQB37" s="1551"/>
      <c r="CQC37" s="1551">
        <v>44150</v>
      </c>
      <c r="CQD37" s="1551"/>
      <c r="CQE37" s="1551">
        <v>44150</v>
      </c>
      <c r="CQF37" s="1551">
        <v>44150</v>
      </c>
      <c r="CQG37" s="1551"/>
      <c r="CQH37" s="1551">
        <v>44150</v>
      </c>
      <c r="CQI37" s="1551"/>
      <c r="CQJ37" s="1551">
        <v>44150</v>
      </c>
      <c r="CQK37" s="1551"/>
      <c r="CQL37" s="1551">
        <v>44150</v>
      </c>
      <c r="CQM37" s="1551">
        <v>44150</v>
      </c>
      <c r="CQN37" s="1551"/>
      <c r="CQO37" s="1551">
        <v>44150</v>
      </c>
      <c r="CQP37" s="1551"/>
      <c r="CQQ37" s="1551">
        <v>44150</v>
      </c>
      <c r="CQR37" s="1551"/>
      <c r="CQS37" s="1551">
        <v>44150</v>
      </c>
      <c r="CQT37" s="1551">
        <v>44150</v>
      </c>
      <c r="CQU37" s="1551"/>
      <c r="CQV37" s="1551">
        <v>44150</v>
      </c>
      <c r="CQW37" s="1551"/>
      <c r="CQX37" s="1551">
        <v>44150</v>
      </c>
      <c r="CQY37" s="1551"/>
      <c r="CQZ37" s="1551">
        <v>44150</v>
      </c>
      <c r="CRA37" s="1551">
        <v>44150</v>
      </c>
      <c r="CRB37" s="1551"/>
      <c r="CRC37" s="1551">
        <v>44150</v>
      </c>
      <c r="CRD37" s="1551"/>
      <c r="CRE37" s="1551">
        <v>44150</v>
      </c>
      <c r="CRF37" s="1551"/>
      <c r="CRG37" s="1551">
        <v>44150</v>
      </c>
      <c r="CRH37" s="1551">
        <v>44150</v>
      </c>
      <c r="CRI37" s="1551"/>
      <c r="CRJ37" s="1551">
        <v>44150</v>
      </c>
      <c r="CRK37" s="1551"/>
      <c r="CRL37" s="1551">
        <v>44150</v>
      </c>
      <c r="CRM37" s="1551"/>
      <c r="CRN37" s="1551">
        <v>44150</v>
      </c>
      <c r="CRO37" s="1551">
        <v>44150</v>
      </c>
      <c r="CRP37" s="1551"/>
      <c r="CRQ37" s="1551">
        <v>44150</v>
      </c>
      <c r="CRR37" s="1551"/>
      <c r="CRS37" s="1551">
        <v>44150</v>
      </c>
      <c r="CRT37" s="1551"/>
      <c r="CRU37" s="1551">
        <v>44150</v>
      </c>
      <c r="CRV37" s="1551">
        <v>44150</v>
      </c>
      <c r="CRW37" s="1551"/>
      <c r="CRX37" s="1551">
        <v>44150</v>
      </c>
      <c r="CRY37" s="1551"/>
      <c r="CRZ37" s="1551">
        <v>44150</v>
      </c>
      <c r="CSA37" s="1551"/>
      <c r="CSB37" s="1551">
        <v>44150</v>
      </c>
      <c r="CSC37" s="1551">
        <v>44150</v>
      </c>
      <c r="CSD37" s="1551"/>
      <c r="CSE37" s="1551">
        <v>44150</v>
      </c>
      <c r="CSF37" s="1551"/>
      <c r="CSG37" s="1551">
        <v>44150</v>
      </c>
      <c r="CSH37" s="1551"/>
      <c r="CSI37" s="1551">
        <v>44150</v>
      </c>
      <c r="CSJ37" s="1551">
        <v>44150</v>
      </c>
      <c r="CSK37" s="1551"/>
      <c r="CSL37" s="1551">
        <v>44150</v>
      </c>
      <c r="CSM37" s="1551"/>
      <c r="CSN37" s="1551">
        <v>44150</v>
      </c>
      <c r="CSO37" s="1551"/>
      <c r="CSP37" s="1551">
        <v>44150</v>
      </c>
      <c r="CSQ37" s="1551">
        <v>44150</v>
      </c>
      <c r="CSR37" s="1551"/>
      <c r="CSS37" s="1551">
        <v>44150</v>
      </c>
      <c r="CST37" s="1551"/>
      <c r="CSU37" s="1551">
        <v>44150</v>
      </c>
      <c r="CSV37" s="1551"/>
      <c r="CSW37" s="1551">
        <v>44150</v>
      </c>
      <c r="CSX37" s="1551">
        <v>44150</v>
      </c>
      <c r="CSY37" s="1551"/>
      <c r="CSZ37" s="1551">
        <v>44150</v>
      </c>
      <c r="CTA37" s="1551"/>
      <c r="CTB37" s="1551">
        <v>44150</v>
      </c>
      <c r="CTC37" s="1551"/>
      <c r="CTD37" s="1551">
        <v>44150</v>
      </c>
      <c r="CTE37" s="1551">
        <v>44150</v>
      </c>
      <c r="CTF37" s="1551"/>
      <c r="CTG37" s="1551">
        <v>44150</v>
      </c>
      <c r="CTH37" s="1551"/>
      <c r="CTI37" s="1551">
        <v>44150</v>
      </c>
      <c r="CTJ37" s="1551"/>
      <c r="CTK37" s="1551">
        <v>44150</v>
      </c>
      <c r="CTL37" s="1551">
        <v>44150</v>
      </c>
      <c r="CTM37" s="1551"/>
      <c r="CTN37" s="1551">
        <v>44150</v>
      </c>
      <c r="CTO37" s="1551"/>
      <c r="CTP37" s="1551">
        <v>44150</v>
      </c>
      <c r="CTQ37" s="1551"/>
      <c r="CTR37" s="1551">
        <v>44150</v>
      </c>
      <c r="CTS37" s="1551">
        <v>44150</v>
      </c>
      <c r="CTT37" s="1551"/>
      <c r="CTU37" s="1551">
        <v>44150</v>
      </c>
      <c r="CTV37" s="1551"/>
      <c r="CTW37" s="1551">
        <v>44150</v>
      </c>
      <c r="CTX37" s="1551"/>
      <c r="CTY37" s="1551">
        <v>44150</v>
      </c>
      <c r="CTZ37" s="1551">
        <v>44150</v>
      </c>
      <c r="CUA37" s="1551"/>
      <c r="CUB37" s="1551">
        <v>44150</v>
      </c>
      <c r="CUC37" s="1551"/>
      <c r="CUD37" s="1551">
        <v>44150</v>
      </c>
      <c r="CUE37" s="1551"/>
      <c r="CUF37" s="1551">
        <v>44150</v>
      </c>
      <c r="CUG37" s="1551">
        <v>44150</v>
      </c>
      <c r="CUH37" s="1551"/>
      <c r="CUI37" s="1551">
        <v>44150</v>
      </c>
      <c r="CUJ37" s="1551"/>
      <c r="CUK37" s="1551">
        <v>44150</v>
      </c>
      <c r="CUL37" s="1551"/>
      <c r="CUM37" s="1551">
        <v>44150</v>
      </c>
      <c r="CUN37" s="1551">
        <v>44150</v>
      </c>
      <c r="CUO37" s="1551"/>
      <c r="CUP37" s="1551">
        <v>44150</v>
      </c>
      <c r="CUQ37" s="1551"/>
      <c r="CUR37" s="1551">
        <v>44150</v>
      </c>
      <c r="CUS37" s="1551"/>
      <c r="CUT37" s="1551">
        <v>44150</v>
      </c>
      <c r="CUU37" s="1551">
        <v>44150</v>
      </c>
      <c r="CUV37" s="1551"/>
      <c r="CUW37" s="1551">
        <v>44150</v>
      </c>
      <c r="CUX37" s="1551"/>
      <c r="CUY37" s="1551">
        <v>44150</v>
      </c>
      <c r="CUZ37" s="1551"/>
      <c r="CVA37" s="1551">
        <v>44150</v>
      </c>
      <c r="CVB37" s="1551">
        <v>44150</v>
      </c>
      <c r="CVC37" s="1551"/>
      <c r="CVD37" s="1551">
        <v>44150</v>
      </c>
      <c r="CVE37" s="1551"/>
      <c r="CVF37" s="1551">
        <v>44150</v>
      </c>
      <c r="CVG37" s="1551"/>
      <c r="CVH37" s="1551">
        <v>44150</v>
      </c>
      <c r="CVI37" s="1551">
        <v>44150</v>
      </c>
      <c r="CVJ37" s="1551"/>
      <c r="CVK37" s="1551">
        <v>44150</v>
      </c>
      <c r="CVL37" s="1551"/>
      <c r="CVM37" s="1551">
        <v>44150</v>
      </c>
      <c r="CVN37" s="1551"/>
      <c r="CVO37" s="1551">
        <v>44150</v>
      </c>
      <c r="CVP37" s="1551">
        <v>44150</v>
      </c>
      <c r="CVQ37" s="1551"/>
      <c r="CVR37" s="1551">
        <v>44150</v>
      </c>
      <c r="CVS37" s="1551"/>
      <c r="CVT37" s="1551">
        <v>44150</v>
      </c>
      <c r="CVU37" s="1551"/>
      <c r="CVV37" s="1551">
        <v>44150</v>
      </c>
      <c r="CVW37" s="1551">
        <v>44150</v>
      </c>
      <c r="CVX37" s="1551"/>
      <c r="CVY37" s="1551">
        <v>44150</v>
      </c>
      <c r="CVZ37" s="1551"/>
      <c r="CWA37" s="1551">
        <v>44150</v>
      </c>
      <c r="CWB37" s="1551"/>
      <c r="CWC37" s="1551">
        <v>44150</v>
      </c>
      <c r="CWD37" s="1551">
        <v>44150</v>
      </c>
      <c r="CWE37" s="1551"/>
      <c r="CWF37" s="1551">
        <v>44150</v>
      </c>
      <c r="CWG37" s="1551"/>
      <c r="CWH37" s="1551">
        <v>44150</v>
      </c>
      <c r="CWI37" s="1551"/>
      <c r="CWJ37" s="1551">
        <v>44150</v>
      </c>
      <c r="CWK37" s="1551">
        <v>44150</v>
      </c>
      <c r="CWL37" s="1551"/>
      <c r="CWM37" s="1551">
        <v>44150</v>
      </c>
      <c r="CWN37" s="1551"/>
      <c r="CWO37" s="1551">
        <v>44150</v>
      </c>
      <c r="CWP37" s="1551"/>
      <c r="CWQ37" s="1551">
        <v>44150</v>
      </c>
      <c r="CWR37" s="1551">
        <v>44150</v>
      </c>
      <c r="CWS37" s="1551"/>
      <c r="CWT37" s="1551">
        <v>44150</v>
      </c>
      <c r="CWU37" s="1551"/>
      <c r="CWV37" s="1551">
        <v>44150</v>
      </c>
      <c r="CWW37" s="1551"/>
      <c r="CWX37" s="1551">
        <v>44150</v>
      </c>
      <c r="CWY37" s="1551">
        <v>44150</v>
      </c>
      <c r="CWZ37" s="1551"/>
      <c r="CXA37" s="1551">
        <v>44150</v>
      </c>
      <c r="CXB37" s="1551"/>
      <c r="CXC37" s="1551">
        <v>44150</v>
      </c>
      <c r="CXD37" s="1551"/>
      <c r="CXE37" s="1551">
        <v>44150</v>
      </c>
      <c r="CXF37" s="1551">
        <v>44150</v>
      </c>
      <c r="CXG37" s="1551"/>
      <c r="CXH37" s="1551">
        <v>44150</v>
      </c>
      <c r="CXI37" s="1551"/>
      <c r="CXJ37" s="1551">
        <v>44150</v>
      </c>
      <c r="CXK37" s="1551"/>
      <c r="CXL37" s="1551">
        <v>44150</v>
      </c>
      <c r="CXM37" s="1551">
        <v>44150</v>
      </c>
      <c r="CXN37" s="1551"/>
      <c r="CXO37" s="1551">
        <v>44150</v>
      </c>
      <c r="CXP37" s="1551"/>
      <c r="CXQ37" s="1551">
        <v>44150</v>
      </c>
      <c r="CXR37" s="1551"/>
      <c r="CXS37" s="1551">
        <v>44150</v>
      </c>
      <c r="CXT37" s="1551">
        <v>44150</v>
      </c>
      <c r="CXU37" s="1551"/>
      <c r="CXV37" s="1551">
        <v>44150</v>
      </c>
      <c r="CXW37" s="1551"/>
      <c r="CXX37" s="1551">
        <v>44150</v>
      </c>
      <c r="CXY37" s="1551"/>
      <c r="CXZ37" s="1551">
        <v>44150</v>
      </c>
      <c r="CYA37" s="1551">
        <v>44150</v>
      </c>
      <c r="CYB37" s="1551"/>
      <c r="CYC37" s="1551">
        <v>44150</v>
      </c>
      <c r="CYD37" s="1551"/>
      <c r="CYE37" s="1551">
        <v>44150</v>
      </c>
      <c r="CYF37" s="1551"/>
      <c r="CYG37" s="1551">
        <v>44150</v>
      </c>
      <c r="CYH37" s="1551">
        <v>44150</v>
      </c>
      <c r="CYI37" s="1551"/>
      <c r="CYJ37" s="1551">
        <v>44150</v>
      </c>
      <c r="CYK37" s="1551"/>
      <c r="CYL37" s="1551">
        <v>44150</v>
      </c>
      <c r="CYM37" s="1551"/>
      <c r="CYN37" s="1551">
        <v>44150</v>
      </c>
      <c r="CYO37" s="1551">
        <v>44150</v>
      </c>
      <c r="CYP37" s="1551"/>
      <c r="CYQ37" s="1551">
        <v>44150</v>
      </c>
      <c r="CYR37" s="1551"/>
      <c r="CYS37" s="1551">
        <v>44150</v>
      </c>
      <c r="CYT37" s="1551"/>
      <c r="CYU37" s="1551">
        <v>44150</v>
      </c>
      <c r="CYV37" s="1551">
        <v>44150</v>
      </c>
      <c r="CYW37" s="1551"/>
      <c r="CYX37" s="1551">
        <v>44150</v>
      </c>
      <c r="CYY37" s="1551"/>
      <c r="CYZ37" s="1551">
        <v>44150</v>
      </c>
      <c r="CZA37" s="1551"/>
      <c r="CZB37" s="1551">
        <v>44150</v>
      </c>
      <c r="CZC37" s="1551">
        <v>44150</v>
      </c>
      <c r="CZD37" s="1551"/>
      <c r="CZE37" s="1551">
        <v>44150</v>
      </c>
      <c r="CZF37" s="1551"/>
      <c r="CZG37" s="1551">
        <v>44150</v>
      </c>
      <c r="CZH37" s="1551"/>
      <c r="CZI37" s="1551">
        <v>44150</v>
      </c>
      <c r="CZJ37" s="1551">
        <v>44150</v>
      </c>
      <c r="CZK37" s="1551"/>
      <c r="CZL37" s="1551">
        <v>44150</v>
      </c>
      <c r="CZM37" s="1551"/>
      <c r="CZN37" s="1551">
        <v>44150</v>
      </c>
      <c r="CZO37" s="1551"/>
      <c r="CZP37" s="1551">
        <v>44150</v>
      </c>
      <c r="CZQ37" s="1551">
        <v>44150</v>
      </c>
      <c r="CZR37" s="1551"/>
      <c r="CZS37" s="1551">
        <v>44150</v>
      </c>
      <c r="CZT37" s="1551"/>
      <c r="CZU37" s="1551">
        <v>44150</v>
      </c>
      <c r="CZV37" s="1551"/>
      <c r="CZW37" s="1551">
        <v>44150</v>
      </c>
      <c r="CZX37" s="1551">
        <v>44150</v>
      </c>
      <c r="CZY37" s="1551"/>
      <c r="CZZ37" s="1551">
        <v>44150</v>
      </c>
      <c r="DAA37" s="1551"/>
      <c r="DAB37" s="1551">
        <v>44150</v>
      </c>
      <c r="DAC37" s="1551"/>
      <c r="DAD37" s="1551">
        <v>44150</v>
      </c>
      <c r="DAE37" s="1551">
        <v>44150</v>
      </c>
      <c r="DAF37" s="1551"/>
      <c r="DAG37" s="1551">
        <v>44150</v>
      </c>
      <c r="DAH37" s="1551"/>
      <c r="DAI37" s="1551">
        <v>44150</v>
      </c>
      <c r="DAJ37" s="1551"/>
      <c r="DAK37" s="1551">
        <v>44150</v>
      </c>
      <c r="DAL37" s="1551">
        <v>44150</v>
      </c>
      <c r="DAM37" s="1551"/>
      <c r="DAN37" s="1551">
        <v>44150</v>
      </c>
      <c r="DAO37" s="1551"/>
      <c r="DAP37" s="1551">
        <v>44150</v>
      </c>
      <c r="DAQ37" s="1551"/>
      <c r="DAR37" s="1551">
        <v>44150</v>
      </c>
      <c r="DAS37" s="1551">
        <v>44150</v>
      </c>
      <c r="DAT37" s="1551"/>
      <c r="DAU37" s="1551">
        <v>44150</v>
      </c>
      <c r="DAV37" s="1551"/>
      <c r="DAW37" s="1551">
        <v>44150</v>
      </c>
      <c r="DAX37" s="1551"/>
      <c r="DAY37" s="1551">
        <v>44150</v>
      </c>
      <c r="DAZ37" s="1551">
        <v>44150</v>
      </c>
      <c r="DBA37" s="1551"/>
      <c r="DBB37" s="1551">
        <v>44150</v>
      </c>
      <c r="DBC37" s="1551"/>
      <c r="DBD37" s="1551">
        <v>44150</v>
      </c>
      <c r="DBE37" s="1551"/>
      <c r="DBF37" s="1551">
        <v>44150</v>
      </c>
      <c r="DBG37" s="1551">
        <v>44150</v>
      </c>
      <c r="DBH37" s="1551"/>
      <c r="DBI37" s="1551">
        <v>44150</v>
      </c>
      <c r="DBJ37" s="1551"/>
      <c r="DBK37" s="1551">
        <v>44150</v>
      </c>
      <c r="DBL37" s="1551"/>
      <c r="DBM37" s="1551">
        <v>44150</v>
      </c>
      <c r="DBN37" s="1551">
        <v>44150</v>
      </c>
      <c r="DBO37" s="1551"/>
      <c r="DBP37" s="1551">
        <v>44150</v>
      </c>
      <c r="DBQ37" s="1551"/>
      <c r="DBR37" s="1551">
        <v>44150</v>
      </c>
      <c r="DBS37" s="1551"/>
      <c r="DBT37" s="1551">
        <v>44150</v>
      </c>
      <c r="DBU37" s="1551">
        <v>44150</v>
      </c>
      <c r="DBV37" s="1551"/>
      <c r="DBW37" s="1551">
        <v>44150</v>
      </c>
      <c r="DBX37" s="1551"/>
      <c r="DBY37" s="1551">
        <v>44150</v>
      </c>
      <c r="DBZ37" s="1551"/>
      <c r="DCA37" s="1551">
        <v>44150</v>
      </c>
      <c r="DCB37" s="1551">
        <v>44150</v>
      </c>
      <c r="DCC37" s="1551"/>
      <c r="DCD37" s="1551">
        <v>44150</v>
      </c>
      <c r="DCE37" s="1551"/>
      <c r="DCF37" s="1551">
        <v>44150</v>
      </c>
      <c r="DCG37" s="1551"/>
      <c r="DCH37" s="1551">
        <v>44150</v>
      </c>
      <c r="DCI37" s="1551">
        <v>44150</v>
      </c>
      <c r="DCJ37" s="1551"/>
      <c r="DCK37" s="1551">
        <v>44150</v>
      </c>
      <c r="DCL37" s="1551"/>
      <c r="DCM37" s="1551">
        <v>44150</v>
      </c>
      <c r="DCN37" s="1551"/>
      <c r="DCO37" s="1551">
        <v>44150</v>
      </c>
      <c r="DCP37" s="1551">
        <v>44150</v>
      </c>
      <c r="DCQ37" s="1551"/>
      <c r="DCR37" s="1551">
        <v>44150</v>
      </c>
      <c r="DCS37" s="1551"/>
      <c r="DCT37" s="1551">
        <v>44150</v>
      </c>
      <c r="DCU37" s="1551"/>
      <c r="DCV37" s="1551">
        <v>44150</v>
      </c>
      <c r="DCW37" s="1551">
        <v>44150</v>
      </c>
      <c r="DCX37" s="1551"/>
      <c r="DCY37" s="1551">
        <v>44150</v>
      </c>
      <c r="DCZ37" s="1551"/>
      <c r="DDA37" s="1551">
        <v>44150</v>
      </c>
      <c r="DDB37" s="1551"/>
      <c r="DDC37" s="1551">
        <v>44150</v>
      </c>
      <c r="DDD37" s="1551">
        <v>44150</v>
      </c>
      <c r="DDE37" s="1551"/>
      <c r="DDF37" s="1551">
        <v>44150</v>
      </c>
      <c r="DDG37" s="1551"/>
      <c r="DDH37" s="1551">
        <v>44150</v>
      </c>
      <c r="DDI37" s="1551"/>
      <c r="DDJ37" s="1551">
        <v>44150</v>
      </c>
      <c r="DDK37" s="1551">
        <v>44150</v>
      </c>
      <c r="DDL37" s="1551"/>
      <c r="DDM37" s="1551">
        <v>44150</v>
      </c>
      <c r="DDN37" s="1551"/>
      <c r="DDO37" s="1551">
        <v>44150</v>
      </c>
      <c r="DDP37" s="1551"/>
      <c r="DDQ37" s="1551">
        <v>44150</v>
      </c>
      <c r="DDR37" s="1551">
        <v>44150</v>
      </c>
      <c r="DDS37" s="1551"/>
      <c r="DDT37" s="1551">
        <v>44150</v>
      </c>
      <c r="DDU37" s="1551"/>
      <c r="DDV37" s="1551">
        <v>44150</v>
      </c>
      <c r="DDW37" s="1551"/>
      <c r="DDX37" s="1551">
        <v>44150</v>
      </c>
      <c r="DDY37" s="1551">
        <v>44150</v>
      </c>
      <c r="DDZ37" s="1551"/>
      <c r="DEA37" s="1551">
        <v>44150</v>
      </c>
      <c r="DEB37" s="1551"/>
      <c r="DEC37" s="1551">
        <v>44150</v>
      </c>
      <c r="DED37" s="1551"/>
      <c r="DEE37" s="1551">
        <v>44150</v>
      </c>
      <c r="DEF37" s="1551">
        <v>44150</v>
      </c>
      <c r="DEG37" s="1551"/>
      <c r="DEH37" s="1551">
        <v>44150</v>
      </c>
      <c r="DEI37" s="1551"/>
      <c r="DEJ37" s="1551">
        <v>44150</v>
      </c>
      <c r="DEK37" s="1551"/>
      <c r="DEL37" s="1551">
        <v>44150</v>
      </c>
      <c r="DEM37" s="1551">
        <v>44150</v>
      </c>
      <c r="DEN37" s="1551"/>
      <c r="DEO37" s="1551">
        <v>44150</v>
      </c>
      <c r="DEP37" s="1551"/>
      <c r="DEQ37" s="1551">
        <v>44150</v>
      </c>
      <c r="DER37" s="1551"/>
      <c r="DES37" s="1551">
        <v>44150</v>
      </c>
      <c r="DET37" s="1551">
        <v>44150</v>
      </c>
      <c r="DEU37" s="1551"/>
      <c r="DEV37" s="1551">
        <v>44150</v>
      </c>
      <c r="DEW37" s="1551"/>
      <c r="DEX37" s="1551">
        <v>44150</v>
      </c>
      <c r="DEY37" s="1551"/>
      <c r="DEZ37" s="1551">
        <v>44150</v>
      </c>
      <c r="DFA37" s="1551">
        <v>44150</v>
      </c>
      <c r="DFB37" s="1551"/>
      <c r="DFC37" s="1551">
        <v>44150</v>
      </c>
      <c r="DFD37" s="1551"/>
      <c r="DFE37" s="1551">
        <v>44150</v>
      </c>
      <c r="DFF37" s="1551"/>
      <c r="DFG37" s="1551">
        <v>44150</v>
      </c>
      <c r="DFH37" s="1551">
        <v>44150</v>
      </c>
      <c r="DFI37" s="1551"/>
      <c r="DFJ37" s="1551">
        <v>44150</v>
      </c>
      <c r="DFK37" s="1551"/>
      <c r="DFL37" s="1551">
        <v>44150</v>
      </c>
      <c r="DFM37" s="1551"/>
      <c r="DFN37" s="1551">
        <v>44150</v>
      </c>
      <c r="DFO37" s="1551">
        <v>44150</v>
      </c>
      <c r="DFP37" s="1551"/>
      <c r="DFQ37" s="1551">
        <v>44150</v>
      </c>
      <c r="DFR37" s="1551"/>
      <c r="DFS37" s="1551">
        <v>44150</v>
      </c>
      <c r="DFT37" s="1551"/>
      <c r="DFU37" s="1551">
        <v>44150</v>
      </c>
      <c r="DFV37" s="1551">
        <v>44150</v>
      </c>
      <c r="DFW37" s="1551"/>
      <c r="DFX37" s="1551">
        <v>44150</v>
      </c>
      <c r="DFY37" s="1551"/>
      <c r="DFZ37" s="1551">
        <v>44150</v>
      </c>
      <c r="DGA37" s="1551"/>
      <c r="DGB37" s="1551">
        <v>44150</v>
      </c>
      <c r="DGC37" s="1551">
        <v>44150</v>
      </c>
      <c r="DGD37" s="1551"/>
      <c r="DGE37" s="1551">
        <v>44150</v>
      </c>
      <c r="DGF37" s="1551"/>
      <c r="DGG37" s="1551">
        <v>44150</v>
      </c>
      <c r="DGH37" s="1551"/>
      <c r="DGI37" s="1551">
        <v>44150</v>
      </c>
      <c r="DGJ37" s="1551">
        <v>44150</v>
      </c>
      <c r="DGK37" s="1551"/>
      <c r="DGL37" s="1551">
        <v>44150</v>
      </c>
      <c r="DGM37" s="1551"/>
      <c r="DGN37" s="1551">
        <v>44150</v>
      </c>
      <c r="DGO37" s="1551"/>
      <c r="DGP37" s="1551">
        <v>44150</v>
      </c>
      <c r="DGQ37" s="1551">
        <v>44150</v>
      </c>
      <c r="DGR37" s="1551"/>
      <c r="DGS37" s="1551">
        <v>44150</v>
      </c>
      <c r="DGT37" s="1551"/>
      <c r="DGU37" s="1551">
        <v>44150</v>
      </c>
      <c r="DGV37" s="1551"/>
      <c r="DGW37" s="1551">
        <v>44150</v>
      </c>
      <c r="DGX37" s="1551">
        <v>44150</v>
      </c>
      <c r="DGY37" s="1551"/>
      <c r="DGZ37" s="1551">
        <v>44150</v>
      </c>
      <c r="DHA37" s="1551"/>
      <c r="DHB37" s="1551">
        <v>44150</v>
      </c>
      <c r="DHC37" s="1551"/>
      <c r="DHD37" s="1551">
        <v>44150</v>
      </c>
      <c r="DHE37" s="1551">
        <v>44150</v>
      </c>
      <c r="DHF37" s="1551"/>
      <c r="DHG37" s="1551">
        <v>44150</v>
      </c>
      <c r="DHH37" s="1551"/>
      <c r="DHI37" s="1551">
        <v>44150</v>
      </c>
      <c r="DHJ37" s="1551"/>
      <c r="DHK37" s="1551">
        <v>44150</v>
      </c>
      <c r="DHL37" s="1551">
        <v>44150</v>
      </c>
      <c r="DHM37" s="1551"/>
      <c r="DHN37" s="1551">
        <v>44150</v>
      </c>
      <c r="DHO37" s="1551"/>
      <c r="DHP37" s="1551">
        <v>44150</v>
      </c>
      <c r="DHQ37" s="1551"/>
      <c r="DHR37" s="1551">
        <v>44150</v>
      </c>
      <c r="DHS37" s="1551">
        <v>44150</v>
      </c>
      <c r="DHT37" s="1551"/>
      <c r="DHU37" s="1551">
        <v>44150</v>
      </c>
      <c r="DHV37" s="1551"/>
      <c r="DHW37" s="1551">
        <v>44150</v>
      </c>
      <c r="DHX37" s="1551"/>
      <c r="DHY37" s="1551">
        <v>44150</v>
      </c>
      <c r="DHZ37" s="1551">
        <v>44150</v>
      </c>
      <c r="DIA37" s="1551"/>
      <c r="DIB37" s="1551">
        <v>44150</v>
      </c>
      <c r="DIC37" s="1551"/>
      <c r="DID37" s="1551">
        <v>44150</v>
      </c>
      <c r="DIE37" s="1551"/>
      <c r="DIF37" s="1551">
        <v>44150</v>
      </c>
      <c r="DIG37" s="1551">
        <v>44150</v>
      </c>
      <c r="DIH37" s="1551"/>
      <c r="DII37" s="1551">
        <v>44150</v>
      </c>
      <c r="DIJ37" s="1551"/>
      <c r="DIK37" s="1551">
        <v>44150</v>
      </c>
      <c r="DIL37" s="1551"/>
      <c r="DIM37" s="1551">
        <v>44150</v>
      </c>
      <c r="DIN37" s="1551">
        <v>44150</v>
      </c>
      <c r="DIO37" s="1551"/>
      <c r="DIP37" s="1551">
        <v>44150</v>
      </c>
      <c r="DIQ37" s="1551"/>
      <c r="DIR37" s="1551">
        <v>44150</v>
      </c>
      <c r="DIS37" s="1551"/>
      <c r="DIT37" s="1551">
        <v>44150</v>
      </c>
      <c r="DIU37" s="1551">
        <v>44150</v>
      </c>
      <c r="DIV37" s="1551"/>
      <c r="DIW37" s="1551">
        <v>44150</v>
      </c>
      <c r="DIX37" s="1551"/>
      <c r="DIY37" s="1551">
        <v>44150</v>
      </c>
      <c r="DIZ37" s="1551"/>
      <c r="DJA37" s="1551">
        <v>44150</v>
      </c>
      <c r="DJB37" s="1551">
        <v>44150</v>
      </c>
      <c r="DJC37" s="1551"/>
      <c r="DJD37" s="1551">
        <v>44150</v>
      </c>
      <c r="DJE37" s="1551"/>
      <c r="DJF37" s="1551">
        <v>44150</v>
      </c>
      <c r="DJG37" s="1551"/>
      <c r="DJH37" s="1551">
        <v>44150</v>
      </c>
      <c r="DJI37" s="1551">
        <v>44150</v>
      </c>
      <c r="DJJ37" s="1551"/>
      <c r="DJK37" s="1551">
        <v>44150</v>
      </c>
      <c r="DJL37" s="1551"/>
      <c r="DJM37" s="1551">
        <v>44150</v>
      </c>
      <c r="DJN37" s="1551"/>
      <c r="DJO37" s="1551">
        <v>44150</v>
      </c>
      <c r="DJP37" s="1551">
        <v>44150</v>
      </c>
      <c r="DJQ37" s="1551"/>
      <c r="DJR37" s="1551">
        <v>44150</v>
      </c>
      <c r="DJS37" s="1551"/>
      <c r="DJT37" s="1551">
        <v>44150</v>
      </c>
      <c r="DJU37" s="1551"/>
      <c r="DJV37" s="1551">
        <v>44150</v>
      </c>
      <c r="DJW37" s="1551">
        <v>44150</v>
      </c>
      <c r="DJX37" s="1551"/>
      <c r="DJY37" s="1551">
        <v>44150</v>
      </c>
      <c r="DJZ37" s="1551"/>
      <c r="DKA37" s="1551">
        <v>44150</v>
      </c>
      <c r="DKB37" s="1551"/>
      <c r="DKC37" s="1551">
        <v>44150</v>
      </c>
      <c r="DKD37" s="1551">
        <v>44150</v>
      </c>
      <c r="DKE37" s="1551"/>
      <c r="DKF37" s="1551">
        <v>44150</v>
      </c>
      <c r="DKG37" s="1551"/>
      <c r="DKH37" s="1551">
        <v>44150</v>
      </c>
      <c r="DKI37" s="1551"/>
      <c r="DKJ37" s="1551">
        <v>44150</v>
      </c>
      <c r="DKK37" s="1551">
        <v>44150</v>
      </c>
      <c r="DKL37" s="1551"/>
      <c r="DKM37" s="1551">
        <v>44150</v>
      </c>
      <c r="DKN37" s="1551"/>
      <c r="DKO37" s="1551">
        <v>44150</v>
      </c>
      <c r="DKP37" s="1551"/>
      <c r="DKQ37" s="1551">
        <v>44150</v>
      </c>
      <c r="DKR37" s="1551">
        <v>44150</v>
      </c>
      <c r="DKS37" s="1551"/>
      <c r="DKT37" s="1551">
        <v>44150</v>
      </c>
      <c r="DKU37" s="1551"/>
      <c r="DKV37" s="1551">
        <v>44150</v>
      </c>
      <c r="DKW37" s="1551"/>
      <c r="DKX37" s="1551">
        <v>44150</v>
      </c>
      <c r="DKY37" s="1551">
        <v>44150</v>
      </c>
      <c r="DKZ37" s="1551"/>
      <c r="DLA37" s="1551">
        <v>44150</v>
      </c>
      <c r="DLB37" s="1551"/>
      <c r="DLC37" s="1551">
        <v>44150</v>
      </c>
      <c r="DLD37" s="1551"/>
      <c r="DLE37" s="1551">
        <v>44150</v>
      </c>
      <c r="DLF37" s="1551">
        <v>44150</v>
      </c>
      <c r="DLG37" s="1551"/>
      <c r="DLH37" s="1551">
        <v>44150</v>
      </c>
      <c r="DLI37" s="1551"/>
      <c r="DLJ37" s="1551">
        <v>44150</v>
      </c>
      <c r="DLK37" s="1551"/>
      <c r="DLL37" s="1551">
        <v>44150</v>
      </c>
      <c r="DLM37" s="1551">
        <v>44150</v>
      </c>
      <c r="DLN37" s="1551"/>
      <c r="DLO37" s="1551">
        <v>44150</v>
      </c>
      <c r="DLP37" s="1551"/>
      <c r="DLQ37" s="1551">
        <v>44150</v>
      </c>
      <c r="DLR37" s="1551"/>
      <c r="DLS37" s="1551">
        <v>44150</v>
      </c>
      <c r="DLT37" s="1551">
        <v>44150</v>
      </c>
      <c r="DLU37" s="1551"/>
      <c r="DLV37" s="1551">
        <v>44150</v>
      </c>
      <c r="DLW37" s="1551"/>
      <c r="DLX37" s="1551">
        <v>44150</v>
      </c>
      <c r="DLY37" s="1551"/>
      <c r="DLZ37" s="1551">
        <v>44150</v>
      </c>
      <c r="DMA37" s="1551">
        <v>44150</v>
      </c>
      <c r="DMB37" s="1551"/>
      <c r="DMC37" s="1551">
        <v>44150</v>
      </c>
      <c r="DMD37" s="1551"/>
      <c r="DME37" s="1551">
        <v>44150</v>
      </c>
      <c r="DMF37" s="1551"/>
      <c r="DMG37" s="1551">
        <v>44150</v>
      </c>
      <c r="DMH37" s="1551">
        <v>44150</v>
      </c>
      <c r="DMI37" s="1551"/>
      <c r="DMJ37" s="1551">
        <v>44150</v>
      </c>
      <c r="DMK37" s="1551"/>
      <c r="DML37" s="1551">
        <v>44150</v>
      </c>
      <c r="DMM37" s="1551"/>
      <c r="DMN37" s="1551">
        <v>44150</v>
      </c>
      <c r="DMO37" s="1551">
        <v>44150</v>
      </c>
      <c r="DMP37" s="1551"/>
      <c r="DMQ37" s="1551">
        <v>44150</v>
      </c>
      <c r="DMR37" s="1551"/>
      <c r="DMS37" s="1551">
        <v>44150</v>
      </c>
      <c r="DMT37" s="1551"/>
      <c r="DMU37" s="1551">
        <v>44150</v>
      </c>
      <c r="DMV37" s="1551">
        <v>44150</v>
      </c>
      <c r="DMW37" s="1551"/>
      <c r="DMX37" s="1551">
        <v>44150</v>
      </c>
      <c r="DMY37" s="1551"/>
      <c r="DMZ37" s="1551">
        <v>44150</v>
      </c>
      <c r="DNA37" s="1551"/>
      <c r="DNB37" s="1551">
        <v>44150</v>
      </c>
      <c r="DNC37" s="1551">
        <v>44150</v>
      </c>
      <c r="DND37" s="1551"/>
      <c r="DNE37" s="1551">
        <v>44150</v>
      </c>
      <c r="DNF37" s="1551"/>
      <c r="DNG37" s="1551">
        <v>44150</v>
      </c>
      <c r="DNH37" s="1551"/>
      <c r="DNI37" s="1551">
        <v>44150</v>
      </c>
      <c r="DNJ37" s="1551">
        <v>44150</v>
      </c>
      <c r="DNK37" s="1551"/>
      <c r="DNL37" s="1551">
        <v>44150</v>
      </c>
      <c r="DNM37" s="1551"/>
      <c r="DNN37" s="1551">
        <v>44150</v>
      </c>
      <c r="DNO37" s="1551"/>
      <c r="DNP37" s="1551">
        <v>44150</v>
      </c>
      <c r="DNQ37" s="1551">
        <v>44150</v>
      </c>
      <c r="DNR37" s="1551"/>
      <c r="DNS37" s="1551">
        <v>44150</v>
      </c>
      <c r="DNT37" s="1551"/>
      <c r="DNU37" s="1551">
        <v>44150</v>
      </c>
      <c r="DNV37" s="1551"/>
      <c r="DNW37" s="1551">
        <v>44150</v>
      </c>
      <c r="DNX37" s="1551">
        <v>44150</v>
      </c>
      <c r="DNY37" s="1551"/>
      <c r="DNZ37" s="1551">
        <v>44150</v>
      </c>
      <c r="DOA37" s="1551"/>
      <c r="DOB37" s="1551">
        <v>44150</v>
      </c>
      <c r="DOC37" s="1551"/>
      <c r="DOD37" s="1551">
        <v>44150</v>
      </c>
      <c r="DOE37" s="1551">
        <v>44150</v>
      </c>
      <c r="DOF37" s="1551"/>
      <c r="DOG37" s="1551">
        <v>44150</v>
      </c>
      <c r="DOH37" s="1551"/>
      <c r="DOI37" s="1551">
        <v>44150</v>
      </c>
      <c r="DOJ37" s="1551"/>
      <c r="DOK37" s="1551">
        <v>44150</v>
      </c>
      <c r="DOL37" s="1551">
        <v>44150</v>
      </c>
      <c r="DOM37" s="1551"/>
      <c r="DON37" s="1551">
        <v>44150</v>
      </c>
      <c r="DOO37" s="1551"/>
      <c r="DOP37" s="1551">
        <v>44150</v>
      </c>
      <c r="DOQ37" s="1551"/>
      <c r="DOR37" s="1551">
        <v>44150</v>
      </c>
      <c r="DOS37" s="1551">
        <v>44150</v>
      </c>
      <c r="DOT37" s="1551"/>
      <c r="DOU37" s="1551">
        <v>44150</v>
      </c>
      <c r="DOV37" s="1551"/>
      <c r="DOW37" s="1551">
        <v>44150</v>
      </c>
      <c r="DOX37" s="1551"/>
      <c r="DOY37" s="1551">
        <v>44150</v>
      </c>
      <c r="DOZ37" s="1551">
        <v>44150</v>
      </c>
      <c r="DPA37" s="1551"/>
      <c r="DPB37" s="1551">
        <v>44150</v>
      </c>
      <c r="DPC37" s="1551"/>
      <c r="DPD37" s="1551">
        <v>44150</v>
      </c>
      <c r="DPE37" s="1551"/>
      <c r="DPF37" s="1551">
        <v>44150</v>
      </c>
      <c r="DPG37" s="1551">
        <v>44150</v>
      </c>
      <c r="DPH37" s="1551"/>
      <c r="DPI37" s="1551">
        <v>44150</v>
      </c>
      <c r="DPJ37" s="1551"/>
      <c r="DPK37" s="1551">
        <v>44150</v>
      </c>
      <c r="DPL37" s="1551"/>
      <c r="DPM37" s="1551">
        <v>44150</v>
      </c>
      <c r="DPN37" s="1551">
        <v>44150</v>
      </c>
      <c r="DPO37" s="1551"/>
      <c r="DPP37" s="1551">
        <v>44150</v>
      </c>
      <c r="DPQ37" s="1551"/>
      <c r="DPR37" s="1551">
        <v>44150</v>
      </c>
      <c r="DPS37" s="1551"/>
      <c r="DPT37" s="1551">
        <v>44150</v>
      </c>
      <c r="DPU37" s="1551">
        <v>44150</v>
      </c>
      <c r="DPV37" s="1551"/>
      <c r="DPW37" s="1551">
        <v>44150</v>
      </c>
      <c r="DPX37" s="1551"/>
      <c r="DPY37" s="1551">
        <v>44150</v>
      </c>
      <c r="DPZ37" s="1551"/>
      <c r="DQA37" s="1551">
        <v>44150</v>
      </c>
      <c r="DQB37" s="1551">
        <v>44150</v>
      </c>
      <c r="DQC37" s="1551"/>
      <c r="DQD37" s="1551">
        <v>44150</v>
      </c>
      <c r="DQE37" s="1551"/>
      <c r="DQF37" s="1551">
        <v>44150</v>
      </c>
      <c r="DQG37" s="1551"/>
      <c r="DQH37" s="1551">
        <v>44150</v>
      </c>
      <c r="DQI37" s="1551">
        <v>44150</v>
      </c>
      <c r="DQJ37" s="1551"/>
      <c r="DQK37" s="1551">
        <v>44150</v>
      </c>
      <c r="DQL37" s="1551"/>
      <c r="DQM37" s="1551">
        <v>44150</v>
      </c>
      <c r="DQN37" s="1551"/>
      <c r="DQO37" s="1551">
        <v>44150</v>
      </c>
      <c r="DQP37" s="1551">
        <v>44150</v>
      </c>
      <c r="DQQ37" s="1551"/>
      <c r="DQR37" s="1551">
        <v>44150</v>
      </c>
      <c r="DQS37" s="1551"/>
      <c r="DQT37" s="1551">
        <v>44150</v>
      </c>
      <c r="DQU37" s="1551"/>
      <c r="DQV37" s="1551">
        <v>44150</v>
      </c>
      <c r="DQW37" s="1551">
        <v>44150</v>
      </c>
      <c r="DQX37" s="1551"/>
      <c r="DQY37" s="1551">
        <v>44150</v>
      </c>
      <c r="DQZ37" s="1551"/>
      <c r="DRA37" s="1551">
        <v>44150</v>
      </c>
      <c r="DRB37" s="1551"/>
      <c r="DRC37" s="1551">
        <v>44150</v>
      </c>
      <c r="DRD37" s="1551">
        <v>44150</v>
      </c>
      <c r="DRE37" s="1551"/>
      <c r="DRF37" s="1551">
        <v>44150</v>
      </c>
      <c r="DRG37" s="1551"/>
      <c r="DRH37" s="1551">
        <v>44150</v>
      </c>
      <c r="DRI37" s="1551"/>
      <c r="DRJ37" s="1551">
        <v>44150</v>
      </c>
      <c r="DRK37" s="1551">
        <v>44150</v>
      </c>
      <c r="DRL37" s="1551"/>
      <c r="DRM37" s="1551">
        <v>44150</v>
      </c>
      <c r="DRN37" s="1551"/>
      <c r="DRO37" s="1551">
        <v>44150</v>
      </c>
      <c r="DRP37" s="1551"/>
      <c r="DRQ37" s="1551">
        <v>44150</v>
      </c>
      <c r="DRR37" s="1551">
        <v>44150</v>
      </c>
      <c r="DRS37" s="1551"/>
      <c r="DRT37" s="1551">
        <v>44150</v>
      </c>
      <c r="DRU37" s="1551"/>
      <c r="DRV37" s="1551">
        <v>44150</v>
      </c>
      <c r="DRW37" s="1551"/>
      <c r="DRX37" s="1551">
        <v>44150</v>
      </c>
      <c r="DRY37" s="1551">
        <v>44150</v>
      </c>
      <c r="DRZ37" s="1551"/>
      <c r="DSA37" s="1551">
        <v>44150</v>
      </c>
      <c r="DSB37" s="1551"/>
      <c r="DSC37" s="1551">
        <v>44150</v>
      </c>
      <c r="DSD37" s="1551"/>
      <c r="DSE37" s="1551">
        <v>44150</v>
      </c>
      <c r="DSF37" s="1551">
        <v>44150</v>
      </c>
      <c r="DSG37" s="1551"/>
      <c r="DSH37" s="1551">
        <v>44150</v>
      </c>
      <c r="DSI37" s="1551"/>
      <c r="DSJ37" s="1551">
        <v>44150</v>
      </c>
      <c r="DSK37" s="1551"/>
      <c r="DSL37" s="1551">
        <v>44150</v>
      </c>
      <c r="DSM37" s="1551">
        <v>44150</v>
      </c>
      <c r="DSN37" s="1551"/>
      <c r="DSO37" s="1551">
        <v>44150</v>
      </c>
      <c r="DSP37" s="1551"/>
      <c r="DSQ37" s="1551">
        <v>44150</v>
      </c>
      <c r="DSR37" s="1551"/>
      <c r="DSS37" s="1551">
        <v>44150</v>
      </c>
      <c r="DST37" s="1551">
        <v>44150</v>
      </c>
      <c r="DSU37" s="1551"/>
      <c r="DSV37" s="1551">
        <v>44150</v>
      </c>
      <c r="DSW37" s="1551"/>
      <c r="DSX37" s="1551">
        <v>44150</v>
      </c>
      <c r="DSY37" s="1551"/>
      <c r="DSZ37" s="1551">
        <v>44150</v>
      </c>
      <c r="DTA37" s="1551">
        <v>44150</v>
      </c>
      <c r="DTB37" s="1551"/>
      <c r="DTC37" s="1551">
        <v>44150</v>
      </c>
      <c r="DTD37" s="1551"/>
      <c r="DTE37" s="1551">
        <v>44150</v>
      </c>
      <c r="DTF37" s="1551"/>
      <c r="DTG37" s="1551">
        <v>44150</v>
      </c>
      <c r="DTH37" s="1551">
        <v>44150</v>
      </c>
      <c r="DTI37" s="1551"/>
      <c r="DTJ37" s="1551">
        <v>44150</v>
      </c>
      <c r="DTK37" s="1551"/>
      <c r="DTL37" s="1551">
        <v>44150</v>
      </c>
      <c r="DTM37" s="1551"/>
      <c r="DTN37" s="1551">
        <v>44150</v>
      </c>
      <c r="DTO37" s="1551">
        <v>44150</v>
      </c>
      <c r="DTP37" s="1551"/>
      <c r="DTQ37" s="1551">
        <v>44150</v>
      </c>
      <c r="DTR37" s="1551"/>
      <c r="DTS37" s="1551">
        <v>44150</v>
      </c>
      <c r="DTT37" s="1551"/>
      <c r="DTU37" s="1551">
        <v>44150</v>
      </c>
      <c r="DTV37" s="1551">
        <v>44150</v>
      </c>
      <c r="DTW37" s="1551"/>
      <c r="DTX37" s="1551">
        <v>44150</v>
      </c>
      <c r="DTY37" s="1551"/>
      <c r="DTZ37" s="1551">
        <v>44150</v>
      </c>
      <c r="DUA37" s="1551"/>
      <c r="DUB37" s="1551">
        <v>44150</v>
      </c>
      <c r="DUC37" s="1551">
        <v>44150</v>
      </c>
      <c r="DUD37" s="1551"/>
      <c r="DUE37" s="1551">
        <v>44150</v>
      </c>
      <c r="DUF37" s="1551"/>
      <c r="DUG37" s="1551">
        <v>44150</v>
      </c>
      <c r="DUH37" s="1551"/>
      <c r="DUI37" s="1551">
        <v>44150</v>
      </c>
      <c r="DUJ37" s="1551">
        <v>44150</v>
      </c>
      <c r="DUK37" s="1551"/>
      <c r="DUL37" s="1551">
        <v>44150</v>
      </c>
      <c r="DUM37" s="1551"/>
      <c r="DUN37" s="1551">
        <v>44150</v>
      </c>
      <c r="DUO37" s="1551"/>
      <c r="DUP37" s="1551">
        <v>44150</v>
      </c>
      <c r="DUQ37" s="1551">
        <v>44150</v>
      </c>
      <c r="DUR37" s="1551"/>
      <c r="DUS37" s="1551">
        <v>44150</v>
      </c>
      <c r="DUT37" s="1551"/>
      <c r="DUU37" s="1551">
        <v>44150</v>
      </c>
      <c r="DUV37" s="1551"/>
      <c r="DUW37" s="1551">
        <v>44150</v>
      </c>
      <c r="DUX37" s="1551">
        <v>44150</v>
      </c>
      <c r="DUY37" s="1551"/>
      <c r="DUZ37" s="1551">
        <v>44150</v>
      </c>
      <c r="DVA37" s="1551"/>
      <c r="DVB37" s="1551">
        <v>44150</v>
      </c>
      <c r="DVC37" s="1551"/>
      <c r="DVD37" s="1551">
        <v>44150</v>
      </c>
      <c r="DVE37" s="1551">
        <v>44150</v>
      </c>
      <c r="DVF37" s="1551"/>
      <c r="DVG37" s="1551">
        <v>44150</v>
      </c>
      <c r="DVH37" s="1551"/>
      <c r="DVI37" s="1551">
        <v>44150</v>
      </c>
      <c r="DVJ37" s="1551"/>
      <c r="DVK37" s="1551">
        <v>44150</v>
      </c>
      <c r="DVL37" s="1551">
        <v>44150</v>
      </c>
      <c r="DVM37" s="1551"/>
      <c r="DVN37" s="1551">
        <v>44150</v>
      </c>
      <c r="DVO37" s="1551"/>
      <c r="DVP37" s="1551">
        <v>44150</v>
      </c>
      <c r="DVQ37" s="1551"/>
      <c r="DVR37" s="1551">
        <v>44150</v>
      </c>
      <c r="DVS37" s="1551">
        <v>44150</v>
      </c>
      <c r="DVT37" s="1551"/>
      <c r="DVU37" s="1551">
        <v>44150</v>
      </c>
      <c r="DVV37" s="1551"/>
      <c r="DVW37" s="1551">
        <v>44150</v>
      </c>
      <c r="DVX37" s="1551"/>
      <c r="DVY37" s="1551">
        <v>44150</v>
      </c>
      <c r="DVZ37" s="1551">
        <v>44150</v>
      </c>
      <c r="DWA37" s="1551"/>
      <c r="DWB37" s="1551">
        <v>44150</v>
      </c>
      <c r="DWC37" s="1551"/>
      <c r="DWD37" s="1551">
        <v>44150</v>
      </c>
      <c r="DWE37" s="1551"/>
      <c r="DWF37" s="1551">
        <v>44150</v>
      </c>
      <c r="DWG37" s="1551">
        <v>44150</v>
      </c>
      <c r="DWH37" s="1551"/>
      <c r="DWI37" s="1551">
        <v>44150</v>
      </c>
      <c r="DWJ37" s="1551"/>
      <c r="DWK37" s="1551">
        <v>44150</v>
      </c>
      <c r="DWL37" s="1551"/>
      <c r="DWM37" s="1551">
        <v>44150</v>
      </c>
      <c r="DWN37" s="1551">
        <v>44150</v>
      </c>
      <c r="DWO37" s="1551"/>
      <c r="DWP37" s="1551">
        <v>44150</v>
      </c>
      <c r="DWQ37" s="1551"/>
      <c r="DWR37" s="1551">
        <v>44150</v>
      </c>
      <c r="DWS37" s="1551"/>
      <c r="DWT37" s="1551">
        <v>44150</v>
      </c>
      <c r="DWU37" s="1551">
        <v>44150</v>
      </c>
      <c r="DWV37" s="1551"/>
      <c r="DWW37" s="1551">
        <v>44150</v>
      </c>
      <c r="DWX37" s="1551"/>
      <c r="DWY37" s="1551">
        <v>44150</v>
      </c>
      <c r="DWZ37" s="1551"/>
      <c r="DXA37" s="1551">
        <v>44150</v>
      </c>
      <c r="DXB37" s="1551">
        <v>44150</v>
      </c>
      <c r="DXC37" s="1551"/>
      <c r="DXD37" s="1551">
        <v>44150</v>
      </c>
      <c r="DXE37" s="1551"/>
      <c r="DXF37" s="1551">
        <v>44150</v>
      </c>
      <c r="DXG37" s="1551"/>
      <c r="DXH37" s="1551">
        <v>44150</v>
      </c>
      <c r="DXI37" s="1551">
        <v>44150</v>
      </c>
      <c r="DXJ37" s="1551"/>
      <c r="DXK37" s="1551">
        <v>44150</v>
      </c>
      <c r="DXL37" s="1551"/>
      <c r="DXM37" s="1551">
        <v>44150</v>
      </c>
      <c r="DXN37" s="1551"/>
      <c r="DXO37" s="1551">
        <v>44150</v>
      </c>
      <c r="DXP37" s="1551">
        <v>44150</v>
      </c>
      <c r="DXQ37" s="1551"/>
      <c r="DXR37" s="1551">
        <v>44150</v>
      </c>
      <c r="DXS37" s="1551"/>
      <c r="DXT37" s="1551">
        <v>44150</v>
      </c>
      <c r="DXU37" s="1551"/>
      <c r="DXV37" s="1551">
        <v>44150</v>
      </c>
      <c r="DXW37" s="1551">
        <v>44150</v>
      </c>
      <c r="DXX37" s="1551"/>
      <c r="DXY37" s="1551">
        <v>44150</v>
      </c>
      <c r="DXZ37" s="1551"/>
      <c r="DYA37" s="1551">
        <v>44150</v>
      </c>
      <c r="DYB37" s="1551"/>
      <c r="DYC37" s="1551">
        <v>44150</v>
      </c>
      <c r="DYD37" s="1551">
        <v>44150</v>
      </c>
      <c r="DYE37" s="1551"/>
      <c r="DYF37" s="1551">
        <v>44150</v>
      </c>
      <c r="DYG37" s="1551"/>
      <c r="DYH37" s="1551">
        <v>44150</v>
      </c>
      <c r="DYI37" s="1551"/>
      <c r="DYJ37" s="1551">
        <v>44150</v>
      </c>
      <c r="DYK37" s="1551">
        <v>44150</v>
      </c>
      <c r="DYL37" s="1551"/>
      <c r="DYM37" s="1551">
        <v>44150</v>
      </c>
      <c r="DYN37" s="1551"/>
      <c r="DYO37" s="1551">
        <v>44150</v>
      </c>
      <c r="DYP37" s="1551"/>
      <c r="DYQ37" s="1551">
        <v>44150</v>
      </c>
      <c r="DYR37" s="1551">
        <v>44150</v>
      </c>
      <c r="DYS37" s="1551"/>
      <c r="DYT37" s="1551">
        <v>44150</v>
      </c>
      <c r="DYU37" s="1551"/>
      <c r="DYV37" s="1551">
        <v>44150</v>
      </c>
      <c r="DYW37" s="1551"/>
      <c r="DYX37" s="1551">
        <v>44150</v>
      </c>
      <c r="DYY37" s="1551">
        <v>44150</v>
      </c>
      <c r="DYZ37" s="1551"/>
      <c r="DZA37" s="1551">
        <v>44150</v>
      </c>
      <c r="DZB37" s="1551"/>
      <c r="DZC37" s="1551">
        <v>44150</v>
      </c>
      <c r="DZD37" s="1551"/>
      <c r="DZE37" s="1551">
        <v>44150</v>
      </c>
      <c r="DZF37" s="1551">
        <v>44150</v>
      </c>
      <c r="DZG37" s="1551"/>
      <c r="DZH37" s="1551">
        <v>44150</v>
      </c>
      <c r="DZI37" s="1551"/>
      <c r="DZJ37" s="1551">
        <v>44150</v>
      </c>
      <c r="DZK37" s="1551"/>
      <c r="DZL37" s="1551">
        <v>44150</v>
      </c>
      <c r="DZM37" s="1551">
        <v>44150</v>
      </c>
      <c r="DZN37" s="1551"/>
      <c r="DZO37" s="1551">
        <v>44150</v>
      </c>
      <c r="DZP37" s="1551"/>
      <c r="DZQ37" s="1551">
        <v>44150</v>
      </c>
      <c r="DZR37" s="1551"/>
      <c r="DZS37" s="1551">
        <v>44150</v>
      </c>
      <c r="DZT37" s="1551">
        <v>44150</v>
      </c>
      <c r="DZU37" s="1551"/>
      <c r="DZV37" s="1551">
        <v>44150</v>
      </c>
      <c r="DZW37" s="1551"/>
      <c r="DZX37" s="1551">
        <v>44150</v>
      </c>
      <c r="DZY37" s="1551"/>
      <c r="DZZ37" s="1551">
        <v>44150</v>
      </c>
      <c r="EAA37" s="1551">
        <v>44150</v>
      </c>
      <c r="EAB37" s="1551"/>
      <c r="EAC37" s="1551">
        <v>44150</v>
      </c>
      <c r="EAD37" s="1551"/>
      <c r="EAE37" s="1551">
        <v>44150</v>
      </c>
      <c r="EAF37" s="1551"/>
      <c r="EAG37" s="1551">
        <v>44150</v>
      </c>
      <c r="EAH37" s="1551">
        <v>44150</v>
      </c>
      <c r="EAI37" s="1551"/>
      <c r="EAJ37" s="1551">
        <v>44150</v>
      </c>
      <c r="EAK37" s="1551"/>
      <c r="EAL37" s="1551">
        <v>44150</v>
      </c>
      <c r="EAM37" s="1551"/>
      <c r="EAN37" s="1551">
        <v>44150</v>
      </c>
      <c r="EAO37" s="1551">
        <v>44150</v>
      </c>
      <c r="EAP37" s="1551"/>
      <c r="EAQ37" s="1551">
        <v>44150</v>
      </c>
      <c r="EAR37" s="1551"/>
      <c r="EAS37" s="1551">
        <v>44150</v>
      </c>
      <c r="EAT37" s="1551"/>
      <c r="EAU37" s="1551">
        <v>44150</v>
      </c>
      <c r="EAV37" s="1551">
        <v>44150</v>
      </c>
      <c r="EAW37" s="1551"/>
      <c r="EAX37" s="1551">
        <v>44150</v>
      </c>
      <c r="EAY37" s="1551"/>
      <c r="EAZ37" s="1551">
        <v>44150</v>
      </c>
      <c r="EBA37" s="1551"/>
      <c r="EBB37" s="1551">
        <v>44150</v>
      </c>
      <c r="EBC37" s="1551">
        <v>44150</v>
      </c>
      <c r="EBD37" s="1551"/>
      <c r="EBE37" s="1551">
        <v>44150</v>
      </c>
      <c r="EBF37" s="1551"/>
      <c r="EBG37" s="1551">
        <v>44150</v>
      </c>
      <c r="EBH37" s="1551"/>
      <c r="EBI37" s="1551">
        <v>44150</v>
      </c>
      <c r="EBJ37" s="1551">
        <v>44150</v>
      </c>
      <c r="EBK37" s="1551"/>
      <c r="EBL37" s="1551">
        <v>44150</v>
      </c>
      <c r="EBM37" s="1551"/>
      <c r="EBN37" s="1551">
        <v>44150</v>
      </c>
      <c r="EBO37" s="1551"/>
      <c r="EBP37" s="1551">
        <v>44150</v>
      </c>
      <c r="EBQ37" s="1551">
        <v>44150</v>
      </c>
      <c r="EBR37" s="1551"/>
      <c r="EBS37" s="1551">
        <v>44150</v>
      </c>
      <c r="EBT37" s="1551"/>
      <c r="EBU37" s="1551">
        <v>44150</v>
      </c>
      <c r="EBV37" s="1551"/>
      <c r="EBW37" s="1551">
        <v>44150</v>
      </c>
      <c r="EBX37" s="1551">
        <v>44150</v>
      </c>
      <c r="EBY37" s="1551"/>
      <c r="EBZ37" s="1551">
        <v>44150</v>
      </c>
      <c r="ECA37" s="1551"/>
      <c r="ECB37" s="1551">
        <v>44150</v>
      </c>
      <c r="ECC37" s="1551"/>
      <c r="ECD37" s="1551">
        <v>44150</v>
      </c>
      <c r="ECE37" s="1551">
        <v>44150</v>
      </c>
      <c r="ECF37" s="1551"/>
      <c r="ECG37" s="1551">
        <v>44150</v>
      </c>
      <c r="ECH37" s="1551"/>
      <c r="ECI37" s="1551">
        <v>44150</v>
      </c>
      <c r="ECJ37" s="1551"/>
      <c r="ECK37" s="1551">
        <v>44150</v>
      </c>
      <c r="ECL37" s="1551">
        <v>44150</v>
      </c>
      <c r="ECM37" s="1551"/>
      <c r="ECN37" s="1551">
        <v>44150</v>
      </c>
      <c r="ECO37" s="1551"/>
      <c r="ECP37" s="1551">
        <v>44150</v>
      </c>
      <c r="ECQ37" s="1551"/>
      <c r="ECR37" s="1551">
        <v>44150</v>
      </c>
      <c r="ECS37" s="1551">
        <v>44150</v>
      </c>
      <c r="ECT37" s="1551"/>
      <c r="ECU37" s="1551">
        <v>44150</v>
      </c>
      <c r="ECV37" s="1551"/>
      <c r="ECW37" s="1551">
        <v>44150</v>
      </c>
      <c r="ECX37" s="1551"/>
      <c r="ECY37" s="1551">
        <v>44150</v>
      </c>
      <c r="ECZ37" s="1551">
        <v>44150</v>
      </c>
      <c r="EDA37" s="1551"/>
      <c r="EDB37" s="1551">
        <v>44150</v>
      </c>
      <c r="EDC37" s="1551"/>
      <c r="EDD37" s="1551">
        <v>44150</v>
      </c>
      <c r="EDE37" s="1551"/>
      <c r="EDF37" s="1551">
        <v>44150</v>
      </c>
      <c r="EDG37" s="1551">
        <v>44150</v>
      </c>
      <c r="EDH37" s="1551"/>
      <c r="EDI37" s="1551">
        <v>44150</v>
      </c>
      <c r="EDJ37" s="1551"/>
      <c r="EDK37" s="1551">
        <v>44150</v>
      </c>
      <c r="EDL37" s="1551"/>
      <c r="EDM37" s="1551">
        <v>44150</v>
      </c>
      <c r="EDN37" s="1551">
        <v>44150</v>
      </c>
      <c r="EDO37" s="1551"/>
      <c r="EDP37" s="1551">
        <v>44150</v>
      </c>
      <c r="EDQ37" s="1551"/>
      <c r="EDR37" s="1551">
        <v>44150</v>
      </c>
      <c r="EDS37" s="1551"/>
      <c r="EDT37" s="1551">
        <v>44150</v>
      </c>
      <c r="EDU37" s="1551">
        <v>44150</v>
      </c>
      <c r="EDV37" s="1551"/>
      <c r="EDW37" s="1551">
        <v>44150</v>
      </c>
      <c r="EDX37" s="1551"/>
      <c r="EDY37" s="1551">
        <v>44150</v>
      </c>
      <c r="EDZ37" s="1551"/>
      <c r="EEA37" s="1551">
        <v>44150</v>
      </c>
      <c r="EEB37" s="1551">
        <v>44150</v>
      </c>
      <c r="EEC37" s="1551"/>
      <c r="EED37" s="1551">
        <v>44150</v>
      </c>
      <c r="EEE37" s="1551"/>
      <c r="EEF37" s="1551">
        <v>44150</v>
      </c>
      <c r="EEG37" s="1551"/>
      <c r="EEH37" s="1551">
        <v>44150</v>
      </c>
      <c r="EEI37" s="1551">
        <v>44150</v>
      </c>
      <c r="EEJ37" s="1551"/>
      <c r="EEK37" s="1551">
        <v>44150</v>
      </c>
      <c r="EEL37" s="1551"/>
      <c r="EEM37" s="1551">
        <v>44150</v>
      </c>
      <c r="EEN37" s="1551"/>
      <c r="EEO37" s="1551">
        <v>44150</v>
      </c>
      <c r="EEP37" s="1551">
        <v>44150</v>
      </c>
      <c r="EEQ37" s="1551"/>
      <c r="EER37" s="1551">
        <v>44150</v>
      </c>
      <c r="EES37" s="1551"/>
      <c r="EET37" s="1551">
        <v>44150</v>
      </c>
      <c r="EEU37" s="1551"/>
      <c r="EEV37" s="1551">
        <v>44150</v>
      </c>
      <c r="EEW37" s="1551">
        <v>44150</v>
      </c>
      <c r="EEX37" s="1551"/>
      <c r="EEY37" s="1551">
        <v>44150</v>
      </c>
      <c r="EEZ37" s="1551"/>
      <c r="EFA37" s="1551">
        <v>44150</v>
      </c>
      <c r="EFB37" s="1551"/>
      <c r="EFC37" s="1551">
        <v>44150</v>
      </c>
      <c r="EFD37" s="1551">
        <v>44150</v>
      </c>
      <c r="EFE37" s="1551"/>
      <c r="EFF37" s="1551">
        <v>44150</v>
      </c>
      <c r="EFG37" s="1551"/>
      <c r="EFH37" s="1551">
        <v>44150</v>
      </c>
      <c r="EFI37" s="1551"/>
      <c r="EFJ37" s="1551">
        <v>44150</v>
      </c>
      <c r="EFK37" s="1551">
        <v>44150</v>
      </c>
      <c r="EFL37" s="1551"/>
      <c r="EFM37" s="1551">
        <v>44150</v>
      </c>
      <c r="EFN37" s="1551"/>
      <c r="EFO37" s="1551">
        <v>44150</v>
      </c>
      <c r="EFP37" s="1551"/>
      <c r="EFQ37" s="1551">
        <v>44150</v>
      </c>
      <c r="EFR37" s="1551">
        <v>44150</v>
      </c>
      <c r="EFS37" s="1551"/>
      <c r="EFT37" s="1551">
        <v>44150</v>
      </c>
      <c r="EFU37" s="1551"/>
      <c r="EFV37" s="1551">
        <v>44150</v>
      </c>
      <c r="EFW37" s="1551"/>
      <c r="EFX37" s="1551">
        <v>44150</v>
      </c>
      <c r="EFY37" s="1551">
        <v>44150</v>
      </c>
      <c r="EFZ37" s="1551"/>
      <c r="EGA37" s="1551">
        <v>44150</v>
      </c>
      <c r="EGB37" s="1551"/>
      <c r="EGC37" s="1551">
        <v>44150</v>
      </c>
      <c r="EGD37" s="1551"/>
      <c r="EGE37" s="1551">
        <v>44150</v>
      </c>
      <c r="EGF37" s="1551">
        <v>44150</v>
      </c>
      <c r="EGG37" s="1551"/>
      <c r="EGH37" s="1551">
        <v>44150</v>
      </c>
      <c r="EGI37" s="1551"/>
      <c r="EGJ37" s="1551">
        <v>44150</v>
      </c>
      <c r="EGK37" s="1551"/>
      <c r="EGL37" s="1551">
        <v>44150</v>
      </c>
      <c r="EGM37" s="1551">
        <v>44150</v>
      </c>
      <c r="EGN37" s="1551"/>
      <c r="EGO37" s="1551">
        <v>44150</v>
      </c>
      <c r="EGP37" s="1551"/>
      <c r="EGQ37" s="1551">
        <v>44150</v>
      </c>
      <c r="EGR37" s="1551"/>
      <c r="EGS37" s="1551">
        <v>44150</v>
      </c>
      <c r="EGT37" s="1551">
        <v>44150</v>
      </c>
      <c r="EGU37" s="1551"/>
      <c r="EGV37" s="1551">
        <v>44150</v>
      </c>
      <c r="EGW37" s="1551"/>
      <c r="EGX37" s="1551">
        <v>44150</v>
      </c>
      <c r="EGY37" s="1551"/>
      <c r="EGZ37" s="1551">
        <v>44150</v>
      </c>
      <c r="EHA37" s="1551">
        <v>44150</v>
      </c>
      <c r="EHB37" s="1551"/>
      <c r="EHC37" s="1551">
        <v>44150</v>
      </c>
      <c r="EHD37" s="1551"/>
      <c r="EHE37" s="1551">
        <v>44150</v>
      </c>
      <c r="EHF37" s="1551"/>
      <c r="EHG37" s="1551">
        <v>44150</v>
      </c>
      <c r="EHH37" s="1551">
        <v>44150</v>
      </c>
      <c r="EHI37" s="1551"/>
      <c r="EHJ37" s="1551">
        <v>44150</v>
      </c>
      <c r="EHK37" s="1551"/>
      <c r="EHL37" s="1551">
        <v>44150</v>
      </c>
      <c r="EHM37" s="1551"/>
      <c r="EHN37" s="1551">
        <v>44150</v>
      </c>
      <c r="EHO37" s="1551">
        <v>44150</v>
      </c>
      <c r="EHP37" s="1551"/>
      <c r="EHQ37" s="1551">
        <v>44150</v>
      </c>
      <c r="EHR37" s="1551"/>
      <c r="EHS37" s="1551">
        <v>44150</v>
      </c>
      <c r="EHT37" s="1551"/>
      <c r="EHU37" s="1551">
        <v>44150</v>
      </c>
      <c r="EHV37" s="1551">
        <v>44150</v>
      </c>
      <c r="EHW37" s="1551"/>
      <c r="EHX37" s="1551">
        <v>44150</v>
      </c>
      <c r="EHY37" s="1551"/>
      <c r="EHZ37" s="1551">
        <v>44150</v>
      </c>
      <c r="EIA37" s="1551"/>
      <c r="EIB37" s="1551">
        <v>44150</v>
      </c>
      <c r="EIC37" s="1551">
        <v>44150</v>
      </c>
      <c r="EID37" s="1551"/>
      <c r="EIE37" s="1551">
        <v>44150</v>
      </c>
      <c r="EIF37" s="1551"/>
      <c r="EIG37" s="1551">
        <v>44150</v>
      </c>
      <c r="EIH37" s="1551"/>
      <c r="EII37" s="1551">
        <v>44150</v>
      </c>
      <c r="EIJ37" s="1551">
        <v>44150</v>
      </c>
      <c r="EIK37" s="1551"/>
      <c r="EIL37" s="1551">
        <v>44150</v>
      </c>
      <c r="EIM37" s="1551"/>
      <c r="EIN37" s="1551">
        <v>44150</v>
      </c>
      <c r="EIO37" s="1551"/>
      <c r="EIP37" s="1551">
        <v>44150</v>
      </c>
      <c r="EIQ37" s="1551">
        <v>44150</v>
      </c>
      <c r="EIR37" s="1551"/>
      <c r="EIS37" s="1551">
        <v>44150</v>
      </c>
      <c r="EIT37" s="1551"/>
      <c r="EIU37" s="1551">
        <v>44150</v>
      </c>
      <c r="EIV37" s="1551"/>
      <c r="EIW37" s="1551">
        <v>44150</v>
      </c>
      <c r="EIX37" s="1551">
        <v>44150</v>
      </c>
      <c r="EIY37" s="1551"/>
      <c r="EIZ37" s="1551">
        <v>44150</v>
      </c>
      <c r="EJA37" s="1551"/>
      <c r="EJB37" s="1551">
        <v>44150</v>
      </c>
      <c r="EJC37" s="1551"/>
      <c r="EJD37" s="1551">
        <v>44150</v>
      </c>
      <c r="EJE37" s="1551">
        <v>44150</v>
      </c>
      <c r="EJF37" s="1551"/>
      <c r="EJG37" s="1551">
        <v>44150</v>
      </c>
      <c r="EJH37" s="1551"/>
      <c r="EJI37" s="1551">
        <v>44150</v>
      </c>
      <c r="EJJ37" s="1551"/>
      <c r="EJK37" s="1551">
        <v>44150</v>
      </c>
      <c r="EJL37" s="1551">
        <v>44150</v>
      </c>
      <c r="EJM37" s="1551"/>
      <c r="EJN37" s="1551">
        <v>44150</v>
      </c>
      <c r="EJO37" s="1551"/>
      <c r="EJP37" s="1551">
        <v>44150</v>
      </c>
      <c r="EJQ37" s="1551"/>
      <c r="EJR37" s="1551">
        <v>44150</v>
      </c>
      <c r="EJS37" s="1551">
        <v>44150</v>
      </c>
      <c r="EJT37" s="1551"/>
      <c r="EJU37" s="1551">
        <v>44150</v>
      </c>
      <c r="EJV37" s="1551"/>
      <c r="EJW37" s="1551">
        <v>44150</v>
      </c>
      <c r="EJX37" s="1551"/>
      <c r="EJY37" s="1551">
        <v>44150</v>
      </c>
      <c r="EJZ37" s="1551">
        <v>44150</v>
      </c>
      <c r="EKA37" s="1551"/>
      <c r="EKB37" s="1551">
        <v>44150</v>
      </c>
      <c r="EKC37" s="1551"/>
      <c r="EKD37" s="1551">
        <v>44150</v>
      </c>
      <c r="EKE37" s="1551"/>
      <c r="EKF37" s="1551">
        <v>44150</v>
      </c>
      <c r="EKG37" s="1551">
        <v>44150</v>
      </c>
      <c r="EKH37" s="1551"/>
      <c r="EKI37" s="1551">
        <v>44150</v>
      </c>
      <c r="EKJ37" s="1551"/>
      <c r="EKK37" s="1551">
        <v>44150</v>
      </c>
      <c r="EKL37" s="1551"/>
      <c r="EKM37" s="1551">
        <v>44150</v>
      </c>
      <c r="EKN37" s="1551">
        <v>44150</v>
      </c>
      <c r="EKO37" s="1551"/>
      <c r="EKP37" s="1551">
        <v>44150</v>
      </c>
      <c r="EKQ37" s="1551"/>
      <c r="EKR37" s="1551">
        <v>44150</v>
      </c>
      <c r="EKS37" s="1551"/>
      <c r="EKT37" s="1551">
        <v>44150</v>
      </c>
      <c r="EKU37" s="1551">
        <v>44150</v>
      </c>
      <c r="EKV37" s="1551"/>
      <c r="EKW37" s="1551">
        <v>44150</v>
      </c>
      <c r="EKX37" s="1551"/>
      <c r="EKY37" s="1551">
        <v>44150</v>
      </c>
      <c r="EKZ37" s="1551"/>
      <c r="ELA37" s="1551">
        <v>44150</v>
      </c>
      <c r="ELB37" s="1551">
        <v>44150</v>
      </c>
      <c r="ELC37" s="1551"/>
      <c r="ELD37" s="1551">
        <v>44150</v>
      </c>
      <c r="ELE37" s="1551"/>
      <c r="ELF37" s="1551">
        <v>44150</v>
      </c>
      <c r="ELG37" s="1551"/>
      <c r="ELH37" s="1551">
        <v>44150</v>
      </c>
      <c r="ELI37" s="1551">
        <v>44150</v>
      </c>
      <c r="ELJ37" s="1551"/>
      <c r="ELK37" s="1551">
        <v>44150</v>
      </c>
      <c r="ELL37" s="1551"/>
      <c r="ELM37" s="1551">
        <v>44150</v>
      </c>
      <c r="ELN37" s="1551"/>
      <c r="ELO37" s="1551">
        <v>44150</v>
      </c>
      <c r="ELP37" s="1551">
        <v>44150</v>
      </c>
      <c r="ELQ37" s="1551"/>
      <c r="ELR37" s="1551">
        <v>44150</v>
      </c>
      <c r="ELS37" s="1551"/>
      <c r="ELT37" s="1551">
        <v>44150</v>
      </c>
      <c r="ELU37" s="1551"/>
      <c r="ELV37" s="1551">
        <v>44150</v>
      </c>
      <c r="ELW37" s="1551">
        <v>44150</v>
      </c>
      <c r="ELX37" s="1551"/>
      <c r="ELY37" s="1551">
        <v>44150</v>
      </c>
      <c r="ELZ37" s="1551"/>
      <c r="EMA37" s="1551">
        <v>44150</v>
      </c>
      <c r="EMB37" s="1551"/>
      <c r="EMC37" s="1551">
        <v>44150</v>
      </c>
      <c r="EMD37" s="1551">
        <v>44150</v>
      </c>
      <c r="EME37" s="1551"/>
      <c r="EMF37" s="1551">
        <v>44150</v>
      </c>
      <c r="EMG37" s="1551"/>
      <c r="EMH37" s="1551">
        <v>44150</v>
      </c>
      <c r="EMI37" s="1551"/>
      <c r="EMJ37" s="1551">
        <v>44150</v>
      </c>
      <c r="EMK37" s="1551">
        <v>44150</v>
      </c>
      <c r="EML37" s="1551"/>
      <c r="EMM37" s="1551">
        <v>44150</v>
      </c>
      <c r="EMN37" s="1551"/>
      <c r="EMO37" s="1551">
        <v>44150</v>
      </c>
      <c r="EMP37" s="1551"/>
      <c r="EMQ37" s="1551">
        <v>44150</v>
      </c>
      <c r="EMR37" s="1551">
        <v>44150</v>
      </c>
      <c r="EMS37" s="1551"/>
      <c r="EMT37" s="1551">
        <v>44150</v>
      </c>
      <c r="EMU37" s="1551"/>
      <c r="EMV37" s="1551">
        <v>44150</v>
      </c>
      <c r="EMW37" s="1551"/>
      <c r="EMX37" s="1551">
        <v>44150</v>
      </c>
      <c r="EMY37" s="1551">
        <v>44150</v>
      </c>
      <c r="EMZ37" s="1551"/>
      <c r="ENA37" s="1551">
        <v>44150</v>
      </c>
      <c r="ENB37" s="1551"/>
      <c r="ENC37" s="1551">
        <v>44150</v>
      </c>
      <c r="END37" s="1551"/>
      <c r="ENE37" s="1551">
        <v>44150</v>
      </c>
      <c r="ENF37" s="1551">
        <v>44150</v>
      </c>
      <c r="ENG37" s="1551"/>
      <c r="ENH37" s="1551">
        <v>44150</v>
      </c>
      <c r="ENI37" s="1551"/>
      <c r="ENJ37" s="1551">
        <v>44150</v>
      </c>
      <c r="ENK37" s="1551"/>
      <c r="ENL37" s="1551">
        <v>44150</v>
      </c>
      <c r="ENM37" s="1551">
        <v>44150</v>
      </c>
      <c r="ENN37" s="1551"/>
      <c r="ENO37" s="1551">
        <v>44150</v>
      </c>
      <c r="ENP37" s="1551"/>
      <c r="ENQ37" s="1551">
        <v>44150</v>
      </c>
      <c r="ENR37" s="1551"/>
      <c r="ENS37" s="1551">
        <v>44150</v>
      </c>
      <c r="ENT37" s="1551">
        <v>44150</v>
      </c>
      <c r="ENU37" s="1551"/>
      <c r="ENV37" s="1551">
        <v>44150</v>
      </c>
      <c r="ENW37" s="1551"/>
      <c r="ENX37" s="1551">
        <v>44150</v>
      </c>
      <c r="ENY37" s="1551"/>
      <c r="ENZ37" s="1551">
        <v>44150</v>
      </c>
      <c r="EOA37" s="1551">
        <v>44150</v>
      </c>
      <c r="EOB37" s="1551"/>
      <c r="EOC37" s="1551">
        <v>44150</v>
      </c>
      <c r="EOD37" s="1551"/>
      <c r="EOE37" s="1551">
        <v>44150</v>
      </c>
      <c r="EOF37" s="1551"/>
      <c r="EOG37" s="1551">
        <v>44150</v>
      </c>
      <c r="EOH37" s="1551">
        <v>44150</v>
      </c>
      <c r="EOI37" s="1551"/>
      <c r="EOJ37" s="1551">
        <v>44150</v>
      </c>
      <c r="EOK37" s="1551"/>
      <c r="EOL37" s="1551">
        <v>44150</v>
      </c>
      <c r="EOM37" s="1551"/>
      <c r="EON37" s="1551">
        <v>44150</v>
      </c>
      <c r="EOO37" s="1551">
        <v>44150</v>
      </c>
      <c r="EOP37" s="1551"/>
      <c r="EOQ37" s="1551">
        <v>44150</v>
      </c>
      <c r="EOR37" s="1551"/>
      <c r="EOS37" s="1551">
        <v>44150</v>
      </c>
      <c r="EOT37" s="1551"/>
      <c r="EOU37" s="1551">
        <v>44150</v>
      </c>
      <c r="EOV37" s="1551">
        <v>44150</v>
      </c>
      <c r="EOW37" s="1551"/>
      <c r="EOX37" s="1551">
        <v>44150</v>
      </c>
      <c r="EOY37" s="1551"/>
      <c r="EOZ37" s="1551">
        <v>44150</v>
      </c>
      <c r="EPA37" s="1551"/>
      <c r="EPB37" s="1551">
        <v>44150</v>
      </c>
      <c r="EPC37" s="1551">
        <v>44150</v>
      </c>
      <c r="EPD37" s="1551"/>
      <c r="EPE37" s="1551">
        <v>44150</v>
      </c>
      <c r="EPF37" s="1551"/>
      <c r="EPG37" s="1551">
        <v>44150</v>
      </c>
      <c r="EPH37" s="1551"/>
      <c r="EPI37" s="1551">
        <v>44150</v>
      </c>
      <c r="EPJ37" s="1551">
        <v>44150</v>
      </c>
      <c r="EPK37" s="1551"/>
      <c r="EPL37" s="1551">
        <v>44150</v>
      </c>
      <c r="EPM37" s="1551"/>
      <c r="EPN37" s="1551">
        <v>44150</v>
      </c>
      <c r="EPO37" s="1551"/>
      <c r="EPP37" s="1551">
        <v>44150</v>
      </c>
      <c r="EPQ37" s="1551">
        <v>44150</v>
      </c>
      <c r="EPR37" s="1551"/>
      <c r="EPS37" s="1551">
        <v>44150</v>
      </c>
      <c r="EPT37" s="1551"/>
      <c r="EPU37" s="1551">
        <v>44150</v>
      </c>
      <c r="EPV37" s="1551"/>
      <c r="EPW37" s="1551">
        <v>44150</v>
      </c>
      <c r="EPX37" s="1551">
        <v>44150</v>
      </c>
      <c r="EPY37" s="1551"/>
      <c r="EPZ37" s="1551">
        <v>44150</v>
      </c>
      <c r="EQA37" s="1551"/>
      <c r="EQB37" s="1551">
        <v>44150</v>
      </c>
      <c r="EQC37" s="1551"/>
      <c r="EQD37" s="1551">
        <v>44150</v>
      </c>
      <c r="EQE37" s="1551">
        <v>44150</v>
      </c>
      <c r="EQF37" s="1551"/>
      <c r="EQG37" s="1551">
        <v>44150</v>
      </c>
      <c r="EQH37" s="1551"/>
      <c r="EQI37" s="1551">
        <v>44150</v>
      </c>
      <c r="EQJ37" s="1551"/>
      <c r="EQK37" s="1551">
        <v>44150</v>
      </c>
      <c r="EQL37" s="1551">
        <v>44150</v>
      </c>
      <c r="EQM37" s="1551"/>
      <c r="EQN37" s="1551">
        <v>44150</v>
      </c>
      <c r="EQO37" s="1551"/>
      <c r="EQP37" s="1551">
        <v>44150</v>
      </c>
      <c r="EQQ37" s="1551"/>
      <c r="EQR37" s="1551">
        <v>44150</v>
      </c>
      <c r="EQS37" s="1551">
        <v>44150</v>
      </c>
      <c r="EQT37" s="1551"/>
      <c r="EQU37" s="1551">
        <v>44150</v>
      </c>
      <c r="EQV37" s="1551"/>
      <c r="EQW37" s="1551">
        <v>44150</v>
      </c>
      <c r="EQX37" s="1551"/>
      <c r="EQY37" s="1551">
        <v>44150</v>
      </c>
      <c r="EQZ37" s="1551">
        <v>44150</v>
      </c>
      <c r="ERA37" s="1551"/>
      <c r="ERB37" s="1551">
        <v>44150</v>
      </c>
      <c r="ERC37" s="1551"/>
      <c r="ERD37" s="1551">
        <v>44150</v>
      </c>
      <c r="ERE37" s="1551"/>
      <c r="ERF37" s="1551">
        <v>44150</v>
      </c>
      <c r="ERG37" s="1551">
        <v>44150</v>
      </c>
      <c r="ERH37" s="1551"/>
      <c r="ERI37" s="1551">
        <v>44150</v>
      </c>
      <c r="ERJ37" s="1551"/>
      <c r="ERK37" s="1551">
        <v>44150</v>
      </c>
      <c r="ERL37" s="1551"/>
      <c r="ERM37" s="1551">
        <v>44150</v>
      </c>
      <c r="ERN37" s="1551">
        <v>44150</v>
      </c>
      <c r="ERO37" s="1551"/>
      <c r="ERP37" s="1551">
        <v>44150</v>
      </c>
      <c r="ERQ37" s="1551"/>
      <c r="ERR37" s="1551">
        <v>44150</v>
      </c>
      <c r="ERS37" s="1551"/>
      <c r="ERT37" s="1551">
        <v>44150</v>
      </c>
      <c r="ERU37" s="1551">
        <v>44150</v>
      </c>
      <c r="ERV37" s="1551"/>
      <c r="ERW37" s="1551">
        <v>44150</v>
      </c>
      <c r="ERX37" s="1551"/>
      <c r="ERY37" s="1551">
        <v>44150</v>
      </c>
      <c r="ERZ37" s="1551"/>
      <c r="ESA37" s="1551">
        <v>44150</v>
      </c>
      <c r="ESB37" s="1551">
        <v>44150</v>
      </c>
      <c r="ESC37" s="1551"/>
      <c r="ESD37" s="1551">
        <v>44150</v>
      </c>
      <c r="ESE37" s="1551"/>
      <c r="ESF37" s="1551">
        <v>44150</v>
      </c>
      <c r="ESG37" s="1551"/>
      <c r="ESH37" s="1551">
        <v>44150</v>
      </c>
      <c r="ESI37" s="1551">
        <v>44150</v>
      </c>
      <c r="ESJ37" s="1551"/>
      <c r="ESK37" s="1551">
        <v>44150</v>
      </c>
      <c r="ESL37" s="1551"/>
      <c r="ESM37" s="1551">
        <v>44150</v>
      </c>
      <c r="ESN37" s="1551"/>
      <c r="ESO37" s="1551">
        <v>44150</v>
      </c>
      <c r="ESP37" s="1551">
        <v>44150</v>
      </c>
      <c r="ESQ37" s="1551"/>
      <c r="ESR37" s="1551">
        <v>44150</v>
      </c>
      <c r="ESS37" s="1551"/>
      <c r="EST37" s="1551">
        <v>44150</v>
      </c>
      <c r="ESU37" s="1551"/>
      <c r="ESV37" s="1551">
        <v>44150</v>
      </c>
      <c r="ESW37" s="1551">
        <v>44150</v>
      </c>
      <c r="ESX37" s="1551"/>
      <c r="ESY37" s="1551">
        <v>44150</v>
      </c>
      <c r="ESZ37" s="1551"/>
      <c r="ETA37" s="1551">
        <v>44150</v>
      </c>
      <c r="ETB37" s="1551"/>
      <c r="ETC37" s="1551">
        <v>44150</v>
      </c>
      <c r="ETD37" s="1551">
        <v>44150</v>
      </c>
      <c r="ETE37" s="1551"/>
      <c r="ETF37" s="1551">
        <v>44150</v>
      </c>
      <c r="ETG37" s="1551"/>
      <c r="ETH37" s="1551">
        <v>44150</v>
      </c>
      <c r="ETI37" s="1551"/>
      <c r="ETJ37" s="1551">
        <v>44150</v>
      </c>
      <c r="ETK37" s="1551">
        <v>44150</v>
      </c>
      <c r="ETL37" s="1551"/>
      <c r="ETM37" s="1551">
        <v>44150</v>
      </c>
      <c r="ETN37" s="1551"/>
      <c r="ETO37" s="1551">
        <v>44150</v>
      </c>
      <c r="ETP37" s="1551"/>
      <c r="ETQ37" s="1551">
        <v>44150</v>
      </c>
      <c r="ETR37" s="1551">
        <v>44150</v>
      </c>
      <c r="ETS37" s="1551"/>
      <c r="ETT37" s="1551">
        <v>44150</v>
      </c>
      <c r="ETU37" s="1551"/>
      <c r="ETV37" s="1551">
        <v>44150</v>
      </c>
      <c r="ETW37" s="1551"/>
      <c r="ETX37" s="1551">
        <v>44150</v>
      </c>
      <c r="ETY37" s="1551">
        <v>44150</v>
      </c>
      <c r="ETZ37" s="1551"/>
      <c r="EUA37" s="1551">
        <v>44150</v>
      </c>
      <c r="EUB37" s="1551"/>
      <c r="EUC37" s="1551">
        <v>44150</v>
      </c>
      <c r="EUD37" s="1551"/>
      <c r="EUE37" s="1551">
        <v>44150</v>
      </c>
      <c r="EUF37" s="1551">
        <v>44150</v>
      </c>
      <c r="EUG37" s="1551"/>
      <c r="EUH37" s="1551">
        <v>44150</v>
      </c>
      <c r="EUI37" s="1551"/>
      <c r="EUJ37" s="1551">
        <v>44150</v>
      </c>
      <c r="EUK37" s="1551"/>
      <c r="EUL37" s="1551">
        <v>44150</v>
      </c>
      <c r="EUM37" s="1551">
        <v>44150</v>
      </c>
      <c r="EUN37" s="1551"/>
      <c r="EUO37" s="1551">
        <v>44150</v>
      </c>
      <c r="EUP37" s="1551"/>
      <c r="EUQ37" s="1551">
        <v>44150</v>
      </c>
      <c r="EUR37" s="1551"/>
      <c r="EUS37" s="1551">
        <v>44150</v>
      </c>
      <c r="EUT37" s="1551">
        <v>44150</v>
      </c>
      <c r="EUU37" s="1551"/>
      <c r="EUV37" s="1551">
        <v>44150</v>
      </c>
      <c r="EUW37" s="1551"/>
      <c r="EUX37" s="1551">
        <v>44150</v>
      </c>
      <c r="EUY37" s="1551"/>
      <c r="EUZ37" s="1551">
        <v>44150</v>
      </c>
      <c r="EVA37" s="1551">
        <v>44150</v>
      </c>
      <c r="EVB37" s="1551"/>
      <c r="EVC37" s="1551">
        <v>44150</v>
      </c>
      <c r="EVD37" s="1551"/>
      <c r="EVE37" s="1551">
        <v>44150</v>
      </c>
      <c r="EVF37" s="1551"/>
      <c r="EVG37" s="1551">
        <v>44150</v>
      </c>
      <c r="EVH37" s="1551">
        <v>44150</v>
      </c>
      <c r="EVI37" s="1551"/>
      <c r="EVJ37" s="1551">
        <v>44150</v>
      </c>
      <c r="EVK37" s="1551"/>
      <c r="EVL37" s="1551">
        <v>44150</v>
      </c>
      <c r="EVM37" s="1551"/>
      <c r="EVN37" s="1551">
        <v>44150</v>
      </c>
      <c r="EVO37" s="1551">
        <v>44150</v>
      </c>
      <c r="EVP37" s="1551"/>
      <c r="EVQ37" s="1551">
        <v>44150</v>
      </c>
      <c r="EVR37" s="1551"/>
      <c r="EVS37" s="1551">
        <v>44150</v>
      </c>
      <c r="EVT37" s="1551"/>
      <c r="EVU37" s="1551">
        <v>44150</v>
      </c>
      <c r="EVV37" s="1551">
        <v>44150</v>
      </c>
      <c r="EVW37" s="1551"/>
      <c r="EVX37" s="1551">
        <v>44150</v>
      </c>
      <c r="EVY37" s="1551"/>
      <c r="EVZ37" s="1551">
        <v>44150</v>
      </c>
      <c r="EWA37" s="1551"/>
      <c r="EWB37" s="1551">
        <v>44150</v>
      </c>
      <c r="EWC37" s="1551">
        <v>44150</v>
      </c>
      <c r="EWD37" s="1551"/>
      <c r="EWE37" s="1551">
        <v>44150</v>
      </c>
      <c r="EWF37" s="1551"/>
      <c r="EWG37" s="1551">
        <v>44150</v>
      </c>
      <c r="EWH37" s="1551"/>
      <c r="EWI37" s="1551">
        <v>44150</v>
      </c>
      <c r="EWJ37" s="1551">
        <v>44150</v>
      </c>
      <c r="EWK37" s="1551"/>
      <c r="EWL37" s="1551">
        <v>44150</v>
      </c>
      <c r="EWM37" s="1551"/>
      <c r="EWN37" s="1551">
        <v>44150</v>
      </c>
      <c r="EWO37" s="1551"/>
      <c r="EWP37" s="1551">
        <v>44150</v>
      </c>
      <c r="EWQ37" s="1551">
        <v>44150</v>
      </c>
      <c r="EWR37" s="1551"/>
      <c r="EWS37" s="1551">
        <v>44150</v>
      </c>
      <c r="EWT37" s="1551"/>
      <c r="EWU37" s="1551">
        <v>44150</v>
      </c>
      <c r="EWV37" s="1551"/>
      <c r="EWW37" s="1551">
        <v>44150</v>
      </c>
      <c r="EWX37" s="1551">
        <v>44150</v>
      </c>
      <c r="EWY37" s="1551"/>
      <c r="EWZ37" s="1551">
        <v>44150</v>
      </c>
      <c r="EXA37" s="1551"/>
      <c r="EXB37" s="1551">
        <v>44150</v>
      </c>
      <c r="EXC37" s="1551"/>
      <c r="EXD37" s="1551">
        <v>44150</v>
      </c>
      <c r="EXE37" s="1551">
        <v>44150</v>
      </c>
      <c r="EXF37" s="1551"/>
      <c r="EXG37" s="1551">
        <v>44150</v>
      </c>
      <c r="EXH37" s="1551"/>
      <c r="EXI37" s="1551">
        <v>44150</v>
      </c>
      <c r="EXJ37" s="1551"/>
      <c r="EXK37" s="1551">
        <v>44150</v>
      </c>
      <c r="EXL37" s="1551">
        <v>44150</v>
      </c>
      <c r="EXM37" s="1551"/>
      <c r="EXN37" s="1551">
        <v>44150</v>
      </c>
      <c r="EXO37" s="1551"/>
      <c r="EXP37" s="1551">
        <v>44150</v>
      </c>
      <c r="EXQ37" s="1551"/>
      <c r="EXR37" s="1551">
        <v>44150</v>
      </c>
      <c r="EXS37" s="1551">
        <v>44150</v>
      </c>
      <c r="EXT37" s="1551"/>
      <c r="EXU37" s="1551">
        <v>44150</v>
      </c>
      <c r="EXV37" s="1551"/>
      <c r="EXW37" s="1551">
        <v>44150</v>
      </c>
      <c r="EXX37" s="1551"/>
      <c r="EXY37" s="1551">
        <v>44150</v>
      </c>
      <c r="EXZ37" s="1551">
        <v>44150</v>
      </c>
      <c r="EYA37" s="1551"/>
      <c r="EYB37" s="1551">
        <v>44150</v>
      </c>
      <c r="EYC37" s="1551"/>
      <c r="EYD37" s="1551">
        <v>44150</v>
      </c>
      <c r="EYE37" s="1551"/>
      <c r="EYF37" s="1551">
        <v>44150</v>
      </c>
      <c r="EYG37" s="1551">
        <v>44150</v>
      </c>
      <c r="EYH37" s="1551"/>
      <c r="EYI37" s="1551">
        <v>44150</v>
      </c>
      <c r="EYJ37" s="1551"/>
      <c r="EYK37" s="1551">
        <v>44150</v>
      </c>
      <c r="EYL37" s="1551"/>
      <c r="EYM37" s="1551">
        <v>44150</v>
      </c>
      <c r="EYN37" s="1551">
        <v>44150</v>
      </c>
      <c r="EYO37" s="1551"/>
      <c r="EYP37" s="1551">
        <v>44150</v>
      </c>
      <c r="EYQ37" s="1551"/>
      <c r="EYR37" s="1551">
        <v>44150</v>
      </c>
      <c r="EYS37" s="1551"/>
      <c r="EYT37" s="1551">
        <v>44150</v>
      </c>
      <c r="EYU37" s="1551">
        <v>44150</v>
      </c>
      <c r="EYV37" s="1551"/>
      <c r="EYW37" s="1551">
        <v>44150</v>
      </c>
      <c r="EYX37" s="1551"/>
      <c r="EYY37" s="1551">
        <v>44150</v>
      </c>
      <c r="EYZ37" s="1551"/>
      <c r="EZA37" s="1551">
        <v>44150</v>
      </c>
      <c r="EZB37" s="1551">
        <v>44150</v>
      </c>
      <c r="EZC37" s="1551"/>
      <c r="EZD37" s="1551">
        <v>44150</v>
      </c>
      <c r="EZE37" s="1551"/>
      <c r="EZF37" s="1551">
        <v>44150</v>
      </c>
      <c r="EZG37" s="1551"/>
      <c r="EZH37" s="1551">
        <v>44150</v>
      </c>
      <c r="EZI37" s="1551">
        <v>44150</v>
      </c>
      <c r="EZJ37" s="1551"/>
      <c r="EZK37" s="1551">
        <v>44150</v>
      </c>
      <c r="EZL37" s="1551"/>
      <c r="EZM37" s="1551">
        <v>44150</v>
      </c>
      <c r="EZN37" s="1551"/>
      <c r="EZO37" s="1551">
        <v>44150</v>
      </c>
      <c r="EZP37" s="1551">
        <v>44150</v>
      </c>
      <c r="EZQ37" s="1551"/>
      <c r="EZR37" s="1551">
        <v>44150</v>
      </c>
      <c r="EZS37" s="1551"/>
      <c r="EZT37" s="1551">
        <v>44150</v>
      </c>
      <c r="EZU37" s="1551"/>
      <c r="EZV37" s="1551">
        <v>44150</v>
      </c>
      <c r="EZW37" s="1551">
        <v>44150</v>
      </c>
      <c r="EZX37" s="1551"/>
      <c r="EZY37" s="1551">
        <v>44150</v>
      </c>
      <c r="EZZ37" s="1551"/>
      <c r="FAA37" s="1551">
        <v>44150</v>
      </c>
      <c r="FAB37" s="1551"/>
      <c r="FAC37" s="1551">
        <v>44150</v>
      </c>
      <c r="FAD37" s="1551">
        <v>44150</v>
      </c>
      <c r="FAE37" s="1551"/>
      <c r="FAF37" s="1551">
        <v>44150</v>
      </c>
      <c r="FAG37" s="1551"/>
      <c r="FAH37" s="1551">
        <v>44150</v>
      </c>
      <c r="FAI37" s="1551"/>
      <c r="FAJ37" s="1551">
        <v>44150</v>
      </c>
      <c r="FAK37" s="1551">
        <v>44150</v>
      </c>
      <c r="FAL37" s="1551"/>
      <c r="FAM37" s="1551">
        <v>44150</v>
      </c>
      <c r="FAN37" s="1551"/>
      <c r="FAO37" s="1551">
        <v>44150</v>
      </c>
      <c r="FAP37" s="1551"/>
      <c r="FAQ37" s="1551">
        <v>44150</v>
      </c>
      <c r="FAR37" s="1551">
        <v>44150</v>
      </c>
      <c r="FAS37" s="1551"/>
      <c r="FAT37" s="1551">
        <v>44150</v>
      </c>
      <c r="FAU37" s="1551"/>
      <c r="FAV37" s="1551">
        <v>44150</v>
      </c>
      <c r="FAW37" s="1551"/>
      <c r="FAX37" s="1551">
        <v>44150</v>
      </c>
      <c r="FAY37" s="1551">
        <v>44150</v>
      </c>
      <c r="FAZ37" s="1551"/>
      <c r="FBA37" s="1551">
        <v>44150</v>
      </c>
      <c r="FBB37" s="1551"/>
      <c r="FBC37" s="1551">
        <v>44150</v>
      </c>
      <c r="FBD37" s="1551"/>
      <c r="FBE37" s="1551">
        <v>44150</v>
      </c>
      <c r="FBF37" s="1551">
        <v>44150</v>
      </c>
      <c r="FBG37" s="1551"/>
      <c r="FBH37" s="1551">
        <v>44150</v>
      </c>
      <c r="FBI37" s="1551"/>
      <c r="FBJ37" s="1551">
        <v>44150</v>
      </c>
      <c r="FBK37" s="1551"/>
      <c r="FBL37" s="1551">
        <v>44150</v>
      </c>
      <c r="FBM37" s="1551">
        <v>44150</v>
      </c>
      <c r="FBN37" s="1551"/>
      <c r="FBO37" s="1551">
        <v>44150</v>
      </c>
      <c r="FBP37" s="1551"/>
      <c r="FBQ37" s="1551">
        <v>44150</v>
      </c>
      <c r="FBR37" s="1551"/>
      <c r="FBS37" s="1551">
        <v>44150</v>
      </c>
      <c r="FBT37" s="1551">
        <v>44150</v>
      </c>
      <c r="FBU37" s="1551"/>
      <c r="FBV37" s="1551">
        <v>44150</v>
      </c>
      <c r="FBW37" s="1551"/>
      <c r="FBX37" s="1551">
        <v>44150</v>
      </c>
      <c r="FBY37" s="1551"/>
      <c r="FBZ37" s="1551">
        <v>44150</v>
      </c>
      <c r="FCA37" s="1551">
        <v>44150</v>
      </c>
      <c r="FCB37" s="1551"/>
      <c r="FCC37" s="1551">
        <v>44150</v>
      </c>
      <c r="FCD37" s="1551"/>
      <c r="FCE37" s="1551">
        <v>44150</v>
      </c>
      <c r="FCF37" s="1551"/>
      <c r="FCG37" s="1551">
        <v>44150</v>
      </c>
      <c r="FCH37" s="1551">
        <v>44150</v>
      </c>
      <c r="FCI37" s="1551"/>
      <c r="FCJ37" s="1551">
        <v>44150</v>
      </c>
      <c r="FCK37" s="1551"/>
      <c r="FCL37" s="1551">
        <v>44150</v>
      </c>
      <c r="FCM37" s="1551"/>
      <c r="FCN37" s="1551">
        <v>44150</v>
      </c>
      <c r="FCO37" s="1551">
        <v>44150</v>
      </c>
      <c r="FCP37" s="1551"/>
      <c r="FCQ37" s="1551">
        <v>44150</v>
      </c>
      <c r="FCR37" s="1551"/>
      <c r="FCS37" s="1551">
        <v>44150</v>
      </c>
      <c r="FCT37" s="1551"/>
      <c r="FCU37" s="1551">
        <v>44150</v>
      </c>
      <c r="FCV37" s="1551">
        <v>44150</v>
      </c>
      <c r="FCW37" s="1551"/>
      <c r="FCX37" s="1551">
        <v>44150</v>
      </c>
      <c r="FCY37" s="1551"/>
      <c r="FCZ37" s="1551">
        <v>44150</v>
      </c>
      <c r="FDA37" s="1551"/>
      <c r="FDB37" s="1551">
        <v>44150</v>
      </c>
      <c r="FDC37" s="1551">
        <v>44150</v>
      </c>
      <c r="FDD37" s="1551"/>
      <c r="FDE37" s="1551">
        <v>44150</v>
      </c>
      <c r="FDF37" s="1551"/>
      <c r="FDG37" s="1551">
        <v>44150</v>
      </c>
      <c r="FDH37" s="1551"/>
      <c r="FDI37" s="1551">
        <v>44150</v>
      </c>
      <c r="FDJ37" s="1551">
        <v>44150</v>
      </c>
      <c r="FDK37" s="1551"/>
      <c r="FDL37" s="1551">
        <v>44150</v>
      </c>
      <c r="FDM37" s="1551"/>
      <c r="FDN37" s="1551">
        <v>44150</v>
      </c>
      <c r="FDO37" s="1551"/>
      <c r="FDP37" s="1551">
        <v>44150</v>
      </c>
      <c r="FDQ37" s="1551">
        <v>44150</v>
      </c>
      <c r="FDR37" s="1551"/>
      <c r="FDS37" s="1551">
        <v>44150</v>
      </c>
      <c r="FDT37" s="1551"/>
      <c r="FDU37" s="1551">
        <v>44150</v>
      </c>
      <c r="FDV37" s="1551"/>
      <c r="FDW37" s="1551">
        <v>44150</v>
      </c>
      <c r="FDX37" s="1551">
        <v>44150</v>
      </c>
      <c r="FDY37" s="1551"/>
      <c r="FDZ37" s="1551">
        <v>44150</v>
      </c>
      <c r="FEA37" s="1551"/>
      <c r="FEB37" s="1551">
        <v>44150</v>
      </c>
      <c r="FEC37" s="1551"/>
      <c r="FED37" s="1551">
        <v>44150</v>
      </c>
      <c r="FEE37" s="1551">
        <v>44150</v>
      </c>
      <c r="FEF37" s="1551"/>
      <c r="FEG37" s="1551">
        <v>44150</v>
      </c>
      <c r="FEH37" s="1551"/>
      <c r="FEI37" s="1551">
        <v>44150</v>
      </c>
      <c r="FEJ37" s="1551"/>
      <c r="FEK37" s="1551">
        <v>44150</v>
      </c>
      <c r="FEL37" s="1551">
        <v>44150</v>
      </c>
      <c r="FEM37" s="1551"/>
      <c r="FEN37" s="1551">
        <v>44150</v>
      </c>
      <c r="FEO37" s="1551"/>
      <c r="FEP37" s="1551">
        <v>44150</v>
      </c>
      <c r="FEQ37" s="1551"/>
      <c r="FER37" s="1551">
        <v>44150</v>
      </c>
      <c r="FES37" s="1551">
        <v>44150</v>
      </c>
      <c r="FET37" s="1551"/>
      <c r="FEU37" s="1551">
        <v>44150</v>
      </c>
      <c r="FEV37" s="1551"/>
      <c r="FEW37" s="1551">
        <v>44150</v>
      </c>
      <c r="FEX37" s="1551"/>
      <c r="FEY37" s="1551">
        <v>44150</v>
      </c>
      <c r="FEZ37" s="1551">
        <v>44150</v>
      </c>
      <c r="FFA37" s="1551"/>
      <c r="FFB37" s="1551">
        <v>44150</v>
      </c>
      <c r="FFC37" s="1551"/>
      <c r="FFD37" s="1551">
        <v>44150</v>
      </c>
      <c r="FFE37" s="1551"/>
      <c r="FFF37" s="1551">
        <v>44150</v>
      </c>
      <c r="FFG37" s="1551">
        <v>44150</v>
      </c>
      <c r="FFH37" s="1551"/>
      <c r="FFI37" s="1551">
        <v>44150</v>
      </c>
      <c r="FFJ37" s="1551"/>
      <c r="FFK37" s="1551">
        <v>44150</v>
      </c>
      <c r="FFL37" s="1551"/>
      <c r="FFM37" s="1551">
        <v>44150</v>
      </c>
      <c r="FFN37" s="1551">
        <v>44150</v>
      </c>
      <c r="FFO37" s="1551"/>
      <c r="FFP37" s="1551">
        <v>44150</v>
      </c>
      <c r="FFQ37" s="1551"/>
      <c r="FFR37" s="1551">
        <v>44150</v>
      </c>
      <c r="FFS37" s="1551"/>
      <c r="FFT37" s="1551">
        <v>44150</v>
      </c>
      <c r="FFU37" s="1551">
        <v>44150</v>
      </c>
      <c r="FFV37" s="1551"/>
      <c r="FFW37" s="1551">
        <v>44150</v>
      </c>
      <c r="FFX37" s="1551"/>
      <c r="FFY37" s="1551">
        <v>44150</v>
      </c>
      <c r="FFZ37" s="1551"/>
      <c r="FGA37" s="1551">
        <v>44150</v>
      </c>
      <c r="FGB37" s="1551">
        <v>44150</v>
      </c>
      <c r="FGC37" s="1551"/>
      <c r="FGD37" s="1551">
        <v>44150</v>
      </c>
      <c r="FGE37" s="1551"/>
      <c r="FGF37" s="1551">
        <v>44150</v>
      </c>
      <c r="FGG37" s="1551"/>
      <c r="FGH37" s="1551">
        <v>44150</v>
      </c>
      <c r="FGI37" s="1551">
        <v>44150</v>
      </c>
      <c r="FGJ37" s="1551"/>
      <c r="FGK37" s="1551">
        <v>44150</v>
      </c>
      <c r="FGL37" s="1551"/>
      <c r="FGM37" s="1551">
        <v>44150</v>
      </c>
      <c r="FGN37" s="1551"/>
      <c r="FGO37" s="1551">
        <v>44150</v>
      </c>
      <c r="FGP37" s="1551">
        <v>44150</v>
      </c>
      <c r="FGQ37" s="1551"/>
      <c r="FGR37" s="1551">
        <v>44150</v>
      </c>
      <c r="FGS37" s="1551"/>
      <c r="FGT37" s="1551">
        <v>44150</v>
      </c>
      <c r="FGU37" s="1551"/>
      <c r="FGV37" s="1551">
        <v>44150</v>
      </c>
      <c r="FGW37" s="1551">
        <v>44150</v>
      </c>
      <c r="FGX37" s="1551"/>
      <c r="FGY37" s="1551">
        <v>44150</v>
      </c>
      <c r="FGZ37" s="1551"/>
      <c r="FHA37" s="1551">
        <v>44150</v>
      </c>
      <c r="FHB37" s="1551"/>
      <c r="FHC37" s="1551">
        <v>44150</v>
      </c>
      <c r="FHD37" s="1551">
        <v>44150</v>
      </c>
      <c r="FHE37" s="1551"/>
      <c r="FHF37" s="1551">
        <v>44150</v>
      </c>
      <c r="FHG37" s="1551"/>
      <c r="FHH37" s="1551">
        <v>44150</v>
      </c>
      <c r="FHI37" s="1551"/>
      <c r="FHJ37" s="1551">
        <v>44150</v>
      </c>
      <c r="FHK37" s="1551">
        <v>44150</v>
      </c>
      <c r="FHL37" s="1551"/>
      <c r="FHM37" s="1551">
        <v>44150</v>
      </c>
      <c r="FHN37" s="1551"/>
      <c r="FHO37" s="1551">
        <v>44150</v>
      </c>
      <c r="FHP37" s="1551"/>
      <c r="FHQ37" s="1551">
        <v>44150</v>
      </c>
      <c r="FHR37" s="1551">
        <v>44150</v>
      </c>
      <c r="FHS37" s="1551"/>
      <c r="FHT37" s="1551">
        <v>44150</v>
      </c>
      <c r="FHU37" s="1551"/>
      <c r="FHV37" s="1551">
        <v>44150</v>
      </c>
      <c r="FHW37" s="1551"/>
      <c r="FHX37" s="1551">
        <v>44150</v>
      </c>
      <c r="FHY37" s="1551">
        <v>44150</v>
      </c>
      <c r="FHZ37" s="1551"/>
      <c r="FIA37" s="1551">
        <v>44150</v>
      </c>
      <c r="FIB37" s="1551"/>
      <c r="FIC37" s="1551">
        <v>44150</v>
      </c>
      <c r="FID37" s="1551"/>
      <c r="FIE37" s="1551">
        <v>44150</v>
      </c>
      <c r="FIF37" s="1551">
        <v>44150</v>
      </c>
      <c r="FIG37" s="1551"/>
      <c r="FIH37" s="1551">
        <v>44150</v>
      </c>
      <c r="FII37" s="1551"/>
      <c r="FIJ37" s="1551">
        <v>44150</v>
      </c>
      <c r="FIK37" s="1551"/>
      <c r="FIL37" s="1551">
        <v>44150</v>
      </c>
      <c r="FIM37" s="1551">
        <v>44150</v>
      </c>
      <c r="FIN37" s="1551"/>
      <c r="FIO37" s="1551">
        <v>44150</v>
      </c>
      <c r="FIP37" s="1551"/>
      <c r="FIQ37" s="1551">
        <v>44150</v>
      </c>
      <c r="FIR37" s="1551"/>
      <c r="FIS37" s="1551">
        <v>44150</v>
      </c>
      <c r="FIT37" s="1551">
        <v>44150</v>
      </c>
      <c r="FIU37" s="1551"/>
      <c r="FIV37" s="1551">
        <v>44150</v>
      </c>
      <c r="FIW37" s="1551"/>
      <c r="FIX37" s="1551">
        <v>44150</v>
      </c>
      <c r="FIY37" s="1551"/>
      <c r="FIZ37" s="1551">
        <v>44150</v>
      </c>
      <c r="FJA37" s="1551">
        <v>44150</v>
      </c>
      <c r="FJB37" s="1551"/>
      <c r="FJC37" s="1551">
        <v>44150</v>
      </c>
      <c r="FJD37" s="1551"/>
      <c r="FJE37" s="1551">
        <v>44150</v>
      </c>
      <c r="FJF37" s="1551"/>
      <c r="FJG37" s="1551">
        <v>44150</v>
      </c>
      <c r="FJH37" s="1551">
        <v>44150</v>
      </c>
      <c r="FJI37" s="1551"/>
      <c r="FJJ37" s="1551">
        <v>44150</v>
      </c>
      <c r="FJK37" s="1551"/>
      <c r="FJL37" s="1551">
        <v>44150</v>
      </c>
      <c r="FJM37" s="1551"/>
      <c r="FJN37" s="1551">
        <v>44150</v>
      </c>
      <c r="FJO37" s="1551">
        <v>44150</v>
      </c>
      <c r="FJP37" s="1551"/>
      <c r="FJQ37" s="1551">
        <v>44150</v>
      </c>
      <c r="FJR37" s="1551"/>
      <c r="FJS37" s="1551">
        <v>44150</v>
      </c>
      <c r="FJT37" s="1551"/>
      <c r="FJU37" s="1551">
        <v>44150</v>
      </c>
      <c r="FJV37" s="1551">
        <v>44150</v>
      </c>
      <c r="FJW37" s="1551"/>
      <c r="FJX37" s="1551">
        <v>44150</v>
      </c>
      <c r="FJY37" s="1551"/>
      <c r="FJZ37" s="1551">
        <v>44150</v>
      </c>
      <c r="FKA37" s="1551"/>
      <c r="FKB37" s="1551">
        <v>44150</v>
      </c>
      <c r="FKC37" s="1551">
        <v>44150</v>
      </c>
      <c r="FKD37" s="1551"/>
      <c r="FKE37" s="1551">
        <v>44150</v>
      </c>
      <c r="FKF37" s="1551"/>
      <c r="FKG37" s="1551">
        <v>44150</v>
      </c>
      <c r="FKH37" s="1551"/>
      <c r="FKI37" s="1551">
        <v>44150</v>
      </c>
      <c r="FKJ37" s="1551">
        <v>44150</v>
      </c>
      <c r="FKK37" s="1551"/>
      <c r="FKL37" s="1551">
        <v>44150</v>
      </c>
      <c r="FKM37" s="1551"/>
      <c r="FKN37" s="1551">
        <v>44150</v>
      </c>
      <c r="FKO37" s="1551"/>
      <c r="FKP37" s="1551">
        <v>44150</v>
      </c>
      <c r="FKQ37" s="1551">
        <v>44150</v>
      </c>
      <c r="FKR37" s="1551"/>
      <c r="FKS37" s="1551">
        <v>44150</v>
      </c>
      <c r="FKT37" s="1551"/>
      <c r="FKU37" s="1551">
        <v>44150</v>
      </c>
      <c r="FKV37" s="1551"/>
      <c r="FKW37" s="1551">
        <v>44150</v>
      </c>
      <c r="FKX37" s="1551">
        <v>44150</v>
      </c>
      <c r="FKY37" s="1551"/>
      <c r="FKZ37" s="1551">
        <v>44150</v>
      </c>
      <c r="FLA37" s="1551"/>
      <c r="FLB37" s="1551">
        <v>44150</v>
      </c>
      <c r="FLC37" s="1551"/>
      <c r="FLD37" s="1551">
        <v>44150</v>
      </c>
      <c r="FLE37" s="1551">
        <v>44150</v>
      </c>
      <c r="FLF37" s="1551"/>
      <c r="FLG37" s="1551">
        <v>44150</v>
      </c>
      <c r="FLH37" s="1551"/>
      <c r="FLI37" s="1551">
        <v>44150</v>
      </c>
      <c r="FLJ37" s="1551"/>
      <c r="FLK37" s="1551">
        <v>44150</v>
      </c>
      <c r="FLL37" s="1551">
        <v>44150</v>
      </c>
      <c r="FLM37" s="1551"/>
      <c r="FLN37" s="1551">
        <v>44150</v>
      </c>
      <c r="FLO37" s="1551"/>
      <c r="FLP37" s="1551">
        <v>44150</v>
      </c>
      <c r="FLQ37" s="1551"/>
      <c r="FLR37" s="1551">
        <v>44150</v>
      </c>
      <c r="FLS37" s="1551">
        <v>44150</v>
      </c>
      <c r="FLT37" s="1551"/>
      <c r="FLU37" s="1551">
        <v>44150</v>
      </c>
      <c r="FLV37" s="1551"/>
      <c r="FLW37" s="1551">
        <v>44150</v>
      </c>
      <c r="FLX37" s="1551"/>
      <c r="FLY37" s="1551">
        <v>44150</v>
      </c>
      <c r="FLZ37" s="1551">
        <v>44150</v>
      </c>
      <c r="FMA37" s="1551"/>
      <c r="FMB37" s="1551">
        <v>44150</v>
      </c>
      <c r="FMC37" s="1551"/>
      <c r="FMD37" s="1551">
        <v>44150</v>
      </c>
      <c r="FME37" s="1551"/>
      <c r="FMF37" s="1551">
        <v>44150</v>
      </c>
      <c r="FMG37" s="1551">
        <v>44150</v>
      </c>
      <c r="FMH37" s="1551"/>
      <c r="FMI37" s="1551">
        <v>44150</v>
      </c>
      <c r="FMJ37" s="1551"/>
      <c r="FMK37" s="1551">
        <v>44150</v>
      </c>
      <c r="FML37" s="1551"/>
      <c r="FMM37" s="1551">
        <v>44150</v>
      </c>
      <c r="FMN37" s="1551">
        <v>44150</v>
      </c>
      <c r="FMO37" s="1551"/>
      <c r="FMP37" s="1551">
        <v>44150</v>
      </c>
      <c r="FMQ37" s="1551"/>
      <c r="FMR37" s="1551">
        <v>44150</v>
      </c>
      <c r="FMS37" s="1551"/>
      <c r="FMT37" s="1551">
        <v>44150</v>
      </c>
      <c r="FMU37" s="1551">
        <v>44150</v>
      </c>
      <c r="FMV37" s="1551"/>
      <c r="FMW37" s="1551">
        <v>44150</v>
      </c>
      <c r="FMX37" s="1551"/>
      <c r="FMY37" s="1551">
        <v>44150</v>
      </c>
      <c r="FMZ37" s="1551"/>
      <c r="FNA37" s="1551">
        <v>44150</v>
      </c>
      <c r="FNB37" s="1551">
        <v>44150</v>
      </c>
      <c r="FNC37" s="1551"/>
      <c r="FND37" s="1551">
        <v>44150</v>
      </c>
      <c r="FNE37" s="1551"/>
      <c r="FNF37" s="1551">
        <v>44150</v>
      </c>
      <c r="FNG37" s="1551"/>
      <c r="FNH37" s="1551">
        <v>44150</v>
      </c>
      <c r="FNI37" s="1551">
        <v>44150</v>
      </c>
      <c r="FNJ37" s="1551"/>
      <c r="FNK37" s="1551">
        <v>44150</v>
      </c>
      <c r="FNL37" s="1551"/>
      <c r="FNM37" s="1551">
        <v>44150</v>
      </c>
      <c r="FNN37" s="1551"/>
      <c r="FNO37" s="1551">
        <v>44150</v>
      </c>
      <c r="FNP37" s="1551">
        <v>44150</v>
      </c>
      <c r="FNQ37" s="1551"/>
      <c r="FNR37" s="1551">
        <v>44150</v>
      </c>
      <c r="FNS37" s="1551"/>
      <c r="FNT37" s="1551">
        <v>44150</v>
      </c>
      <c r="FNU37" s="1551"/>
      <c r="FNV37" s="1551">
        <v>44150</v>
      </c>
      <c r="FNW37" s="1551">
        <v>44150</v>
      </c>
      <c r="FNX37" s="1551"/>
      <c r="FNY37" s="1551">
        <v>44150</v>
      </c>
      <c r="FNZ37" s="1551"/>
      <c r="FOA37" s="1551">
        <v>44150</v>
      </c>
      <c r="FOB37" s="1551"/>
      <c r="FOC37" s="1551">
        <v>44150</v>
      </c>
      <c r="FOD37" s="1551">
        <v>44150</v>
      </c>
      <c r="FOE37" s="1551"/>
      <c r="FOF37" s="1551">
        <v>44150</v>
      </c>
      <c r="FOG37" s="1551"/>
      <c r="FOH37" s="1551">
        <v>44150</v>
      </c>
      <c r="FOI37" s="1551"/>
      <c r="FOJ37" s="1551">
        <v>44150</v>
      </c>
      <c r="FOK37" s="1551">
        <v>44150</v>
      </c>
      <c r="FOL37" s="1551"/>
      <c r="FOM37" s="1551">
        <v>44150</v>
      </c>
      <c r="FON37" s="1551"/>
      <c r="FOO37" s="1551">
        <v>44150</v>
      </c>
      <c r="FOP37" s="1551"/>
      <c r="FOQ37" s="1551">
        <v>44150</v>
      </c>
      <c r="FOR37" s="1551">
        <v>44150</v>
      </c>
      <c r="FOS37" s="1551"/>
      <c r="FOT37" s="1551">
        <v>44150</v>
      </c>
      <c r="FOU37" s="1551"/>
      <c r="FOV37" s="1551">
        <v>44150</v>
      </c>
      <c r="FOW37" s="1551"/>
      <c r="FOX37" s="1551">
        <v>44150</v>
      </c>
      <c r="FOY37" s="1551">
        <v>44150</v>
      </c>
      <c r="FOZ37" s="1551"/>
      <c r="FPA37" s="1551">
        <v>44150</v>
      </c>
      <c r="FPB37" s="1551"/>
      <c r="FPC37" s="1551">
        <v>44150</v>
      </c>
      <c r="FPD37" s="1551"/>
      <c r="FPE37" s="1551">
        <v>44150</v>
      </c>
      <c r="FPF37" s="1551">
        <v>44150</v>
      </c>
      <c r="FPG37" s="1551"/>
      <c r="FPH37" s="1551">
        <v>44150</v>
      </c>
      <c r="FPI37" s="1551"/>
      <c r="FPJ37" s="1551">
        <v>44150</v>
      </c>
      <c r="FPK37" s="1551"/>
      <c r="FPL37" s="1551">
        <v>44150</v>
      </c>
      <c r="FPM37" s="1551">
        <v>44150</v>
      </c>
      <c r="FPN37" s="1551"/>
      <c r="FPO37" s="1551">
        <v>44150</v>
      </c>
      <c r="FPP37" s="1551"/>
      <c r="FPQ37" s="1551">
        <v>44150</v>
      </c>
      <c r="FPR37" s="1551"/>
      <c r="FPS37" s="1551">
        <v>44150</v>
      </c>
      <c r="FPT37" s="1551">
        <v>44150</v>
      </c>
      <c r="FPU37" s="1551"/>
      <c r="FPV37" s="1551">
        <v>44150</v>
      </c>
      <c r="FPW37" s="1551"/>
      <c r="FPX37" s="1551">
        <v>44150</v>
      </c>
      <c r="FPY37" s="1551"/>
      <c r="FPZ37" s="1551">
        <v>44150</v>
      </c>
      <c r="FQA37" s="1551">
        <v>44150</v>
      </c>
      <c r="FQB37" s="1551"/>
      <c r="FQC37" s="1551">
        <v>44150</v>
      </c>
      <c r="FQD37" s="1551"/>
      <c r="FQE37" s="1551">
        <v>44150</v>
      </c>
      <c r="FQF37" s="1551"/>
      <c r="FQG37" s="1551">
        <v>44150</v>
      </c>
      <c r="FQH37" s="1551">
        <v>44150</v>
      </c>
      <c r="FQI37" s="1551"/>
      <c r="FQJ37" s="1551">
        <v>44150</v>
      </c>
      <c r="FQK37" s="1551"/>
      <c r="FQL37" s="1551">
        <v>44150</v>
      </c>
      <c r="FQM37" s="1551"/>
      <c r="FQN37" s="1551">
        <v>44150</v>
      </c>
      <c r="FQO37" s="1551">
        <v>44150</v>
      </c>
      <c r="FQP37" s="1551"/>
      <c r="FQQ37" s="1551">
        <v>44150</v>
      </c>
      <c r="FQR37" s="1551"/>
      <c r="FQS37" s="1551">
        <v>44150</v>
      </c>
      <c r="FQT37" s="1551"/>
      <c r="FQU37" s="1551">
        <v>44150</v>
      </c>
      <c r="FQV37" s="1551">
        <v>44150</v>
      </c>
      <c r="FQW37" s="1551"/>
      <c r="FQX37" s="1551">
        <v>44150</v>
      </c>
      <c r="FQY37" s="1551"/>
      <c r="FQZ37" s="1551">
        <v>44150</v>
      </c>
      <c r="FRA37" s="1551"/>
      <c r="FRB37" s="1551">
        <v>44150</v>
      </c>
      <c r="FRC37" s="1551">
        <v>44150</v>
      </c>
      <c r="FRD37" s="1551"/>
      <c r="FRE37" s="1551">
        <v>44150</v>
      </c>
      <c r="FRF37" s="1551"/>
      <c r="FRG37" s="1551">
        <v>44150</v>
      </c>
      <c r="FRH37" s="1551"/>
      <c r="FRI37" s="1551">
        <v>44150</v>
      </c>
      <c r="FRJ37" s="1551">
        <v>44150</v>
      </c>
      <c r="FRK37" s="1551"/>
      <c r="FRL37" s="1551">
        <v>44150</v>
      </c>
      <c r="FRM37" s="1551"/>
      <c r="FRN37" s="1551">
        <v>44150</v>
      </c>
      <c r="FRO37" s="1551"/>
      <c r="FRP37" s="1551">
        <v>44150</v>
      </c>
      <c r="FRQ37" s="1551">
        <v>44150</v>
      </c>
      <c r="FRR37" s="1551"/>
      <c r="FRS37" s="1551">
        <v>44150</v>
      </c>
      <c r="FRT37" s="1551"/>
      <c r="FRU37" s="1551">
        <v>44150</v>
      </c>
      <c r="FRV37" s="1551"/>
      <c r="FRW37" s="1551">
        <v>44150</v>
      </c>
      <c r="FRX37" s="1551">
        <v>44150</v>
      </c>
      <c r="FRY37" s="1551"/>
      <c r="FRZ37" s="1551">
        <v>44150</v>
      </c>
      <c r="FSA37" s="1551"/>
      <c r="FSB37" s="1551">
        <v>44150</v>
      </c>
      <c r="FSC37" s="1551"/>
      <c r="FSD37" s="1551">
        <v>44150</v>
      </c>
      <c r="FSE37" s="1551">
        <v>44150</v>
      </c>
      <c r="FSF37" s="1551"/>
      <c r="FSG37" s="1551">
        <v>44150</v>
      </c>
      <c r="FSH37" s="1551"/>
      <c r="FSI37" s="1551">
        <v>44150</v>
      </c>
      <c r="FSJ37" s="1551"/>
      <c r="FSK37" s="1551">
        <v>44150</v>
      </c>
      <c r="FSL37" s="1551">
        <v>44150</v>
      </c>
      <c r="FSM37" s="1551"/>
      <c r="FSN37" s="1551">
        <v>44150</v>
      </c>
      <c r="FSO37" s="1551"/>
      <c r="FSP37" s="1551">
        <v>44150</v>
      </c>
      <c r="FSQ37" s="1551"/>
      <c r="FSR37" s="1551">
        <v>44150</v>
      </c>
      <c r="FSS37" s="1551">
        <v>44150</v>
      </c>
      <c r="FST37" s="1551"/>
      <c r="FSU37" s="1551">
        <v>44150</v>
      </c>
      <c r="FSV37" s="1551"/>
      <c r="FSW37" s="1551">
        <v>44150</v>
      </c>
      <c r="FSX37" s="1551"/>
      <c r="FSY37" s="1551">
        <v>44150</v>
      </c>
      <c r="FSZ37" s="1551">
        <v>44150</v>
      </c>
      <c r="FTA37" s="1551"/>
      <c r="FTB37" s="1551">
        <v>44150</v>
      </c>
      <c r="FTC37" s="1551"/>
      <c r="FTD37" s="1551">
        <v>44150</v>
      </c>
      <c r="FTE37" s="1551"/>
      <c r="FTF37" s="1551">
        <v>44150</v>
      </c>
      <c r="FTG37" s="1551">
        <v>44150</v>
      </c>
      <c r="FTH37" s="1551"/>
      <c r="FTI37" s="1551">
        <v>44150</v>
      </c>
      <c r="FTJ37" s="1551"/>
      <c r="FTK37" s="1551">
        <v>44150</v>
      </c>
      <c r="FTL37" s="1551"/>
      <c r="FTM37" s="1551">
        <v>44150</v>
      </c>
      <c r="FTN37" s="1551">
        <v>44150</v>
      </c>
      <c r="FTO37" s="1551"/>
      <c r="FTP37" s="1551">
        <v>44150</v>
      </c>
      <c r="FTQ37" s="1551"/>
      <c r="FTR37" s="1551">
        <v>44150</v>
      </c>
      <c r="FTS37" s="1551"/>
      <c r="FTT37" s="1551">
        <v>44150</v>
      </c>
      <c r="FTU37" s="1551">
        <v>44150</v>
      </c>
      <c r="FTV37" s="1551"/>
      <c r="FTW37" s="1551">
        <v>44150</v>
      </c>
      <c r="FTX37" s="1551"/>
      <c r="FTY37" s="1551">
        <v>44150</v>
      </c>
      <c r="FTZ37" s="1551"/>
      <c r="FUA37" s="1551">
        <v>44150</v>
      </c>
      <c r="FUB37" s="1551">
        <v>44150</v>
      </c>
      <c r="FUC37" s="1551"/>
      <c r="FUD37" s="1551">
        <v>44150</v>
      </c>
      <c r="FUE37" s="1551"/>
      <c r="FUF37" s="1551">
        <v>44150</v>
      </c>
      <c r="FUG37" s="1551"/>
      <c r="FUH37" s="1551">
        <v>44150</v>
      </c>
      <c r="FUI37" s="1551">
        <v>44150</v>
      </c>
      <c r="FUJ37" s="1551"/>
      <c r="FUK37" s="1551">
        <v>44150</v>
      </c>
      <c r="FUL37" s="1551"/>
      <c r="FUM37" s="1551">
        <v>44150</v>
      </c>
      <c r="FUN37" s="1551"/>
      <c r="FUO37" s="1551">
        <v>44150</v>
      </c>
      <c r="FUP37" s="1551">
        <v>44150</v>
      </c>
      <c r="FUQ37" s="1551"/>
      <c r="FUR37" s="1551">
        <v>44150</v>
      </c>
      <c r="FUS37" s="1551"/>
      <c r="FUT37" s="1551">
        <v>44150</v>
      </c>
      <c r="FUU37" s="1551"/>
      <c r="FUV37" s="1551">
        <v>44150</v>
      </c>
      <c r="FUW37" s="1551">
        <v>44150</v>
      </c>
      <c r="FUX37" s="1551"/>
      <c r="FUY37" s="1551">
        <v>44150</v>
      </c>
      <c r="FUZ37" s="1551"/>
      <c r="FVA37" s="1551">
        <v>44150</v>
      </c>
      <c r="FVB37" s="1551"/>
      <c r="FVC37" s="1551">
        <v>44150</v>
      </c>
      <c r="FVD37" s="1551">
        <v>44150</v>
      </c>
      <c r="FVE37" s="1551"/>
      <c r="FVF37" s="1551">
        <v>44150</v>
      </c>
      <c r="FVG37" s="1551"/>
      <c r="FVH37" s="1551">
        <v>44150</v>
      </c>
      <c r="FVI37" s="1551"/>
      <c r="FVJ37" s="1551">
        <v>44150</v>
      </c>
      <c r="FVK37" s="1551">
        <v>44150</v>
      </c>
      <c r="FVL37" s="1551"/>
      <c r="FVM37" s="1551">
        <v>44150</v>
      </c>
      <c r="FVN37" s="1551"/>
      <c r="FVO37" s="1551">
        <v>44150</v>
      </c>
      <c r="FVP37" s="1551"/>
      <c r="FVQ37" s="1551">
        <v>44150</v>
      </c>
      <c r="FVR37" s="1551">
        <v>44150</v>
      </c>
      <c r="FVS37" s="1551"/>
      <c r="FVT37" s="1551">
        <v>44150</v>
      </c>
      <c r="FVU37" s="1551"/>
      <c r="FVV37" s="1551">
        <v>44150</v>
      </c>
      <c r="FVW37" s="1551"/>
      <c r="FVX37" s="1551">
        <v>44150</v>
      </c>
      <c r="FVY37" s="1551">
        <v>44150</v>
      </c>
      <c r="FVZ37" s="1551"/>
      <c r="FWA37" s="1551">
        <v>44150</v>
      </c>
      <c r="FWB37" s="1551"/>
      <c r="FWC37" s="1551">
        <v>44150</v>
      </c>
      <c r="FWD37" s="1551"/>
      <c r="FWE37" s="1551">
        <v>44150</v>
      </c>
      <c r="FWF37" s="1551">
        <v>44150</v>
      </c>
      <c r="FWG37" s="1551"/>
      <c r="FWH37" s="1551">
        <v>44150</v>
      </c>
      <c r="FWI37" s="1551"/>
      <c r="FWJ37" s="1551">
        <v>44150</v>
      </c>
      <c r="FWK37" s="1551"/>
      <c r="FWL37" s="1551">
        <v>44150</v>
      </c>
      <c r="FWM37" s="1551">
        <v>44150</v>
      </c>
      <c r="FWN37" s="1551"/>
      <c r="FWO37" s="1551">
        <v>44150</v>
      </c>
      <c r="FWP37" s="1551"/>
      <c r="FWQ37" s="1551">
        <v>44150</v>
      </c>
      <c r="FWR37" s="1551"/>
      <c r="FWS37" s="1551">
        <v>44150</v>
      </c>
      <c r="FWT37" s="1551">
        <v>44150</v>
      </c>
      <c r="FWU37" s="1551"/>
      <c r="FWV37" s="1551">
        <v>44150</v>
      </c>
      <c r="FWW37" s="1551"/>
      <c r="FWX37" s="1551">
        <v>44150</v>
      </c>
      <c r="FWY37" s="1551"/>
      <c r="FWZ37" s="1551">
        <v>44150</v>
      </c>
      <c r="FXA37" s="1551">
        <v>44150</v>
      </c>
      <c r="FXB37" s="1551"/>
      <c r="FXC37" s="1551">
        <v>44150</v>
      </c>
      <c r="FXD37" s="1551"/>
      <c r="FXE37" s="1551">
        <v>44150</v>
      </c>
      <c r="FXF37" s="1551"/>
      <c r="FXG37" s="1551">
        <v>44150</v>
      </c>
      <c r="FXH37" s="1551">
        <v>44150</v>
      </c>
      <c r="FXI37" s="1551"/>
      <c r="FXJ37" s="1551">
        <v>44150</v>
      </c>
      <c r="FXK37" s="1551"/>
      <c r="FXL37" s="1551">
        <v>44150</v>
      </c>
      <c r="FXM37" s="1551"/>
      <c r="FXN37" s="1551">
        <v>44150</v>
      </c>
      <c r="FXO37" s="1551">
        <v>44150</v>
      </c>
      <c r="FXP37" s="1551"/>
      <c r="FXQ37" s="1551">
        <v>44150</v>
      </c>
      <c r="FXR37" s="1551"/>
      <c r="FXS37" s="1551">
        <v>44150</v>
      </c>
      <c r="FXT37" s="1551"/>
      <c r="FXU37" s="1551">
        <v>44150</v>
      </c>
      <c r="FXV37" s="1551">
        <v>44150</v>
      </c>
      <c r="FXW37" s="1551"/>
      <c r="FXX37" s="1551">
        <v>44150</v>
      </c>
      <c r="FXY37" s="1551"/>
      <c r="FXZ37" s="1551">
        <v>44150</v>
      </c>
      <c r="FYA37" s="1551"/>
      <c r="FYB37" s="1551">
        <v>44150</v>
      </c>
      <c r="FYC37" s="1551">
        <v>44150</v>
      </c>
      <c r="FYD37" s="1551"/>
      <c r="FYE37" s="1551">
        <v>44150</v>
      </c>
      <c r="FYF37" s="1551"/>
      <c r="FYG37" s="1551">
        <v>44150</v>
      </c>
      <c r="FYH37" s="1551"/>
      <c r="FYI37" s="1551">
        <v>44150</v>
      </c>
      <c r="FYJ37" s="1551">
        <v>44150</v>
      </c>
      <c r="FYK37" s="1551"/>
      <c r="FYL37" s="1551">
        <v>44150</v>
      </c>
      <c r="FYM37" s="1551"/>
      <c r="FYN37" s="1551">
        <v>44150</v>
      </c>
      <c r="FYO37" s="1551"/>
      <c r="FYP37" s="1551">
        <v>44150</v>
      </c>
      <c r="FYQ37" s="1551">
        <v>44150</v>
      </c>
      <c r="FYR37" s="1551"/>
      <c r="FYS37" s="1551">
        <v>44150</v>
      </c>
      <c r="FYT37" s="1551"/>
      <c r="FYU37" s="1551">
        <v>44150</v>
      </c>
      <c r="FYV37" s="1551"/>
      <c r="FYW37" s="1551">
        <v>44150</v>
      </c>
      <c r="FYX37" s="1551">
        <v>44150</v>
      </c>
      <c r="FYY37" s="1551"/>
      <c r="FYZ37" s="1551">
        <v>44150</v>
      </c>
      <c r="FZA37" s="1551"/>
      <c r="FZB37" s="1551">
        <v>44150</v>
      </c>
      <c r="FZC37" s="1551"/>
      <c r="FZD37" s="1551">
        <v>44150</v>
      </c>
      <c r="FZE37" s="1551">
        <v>44150</v>
      </c>
      <c r="FZF37" s="1551"/>
      <c r="FZG37" s="1551">
        <v>44150</v>
      </c>
      <c r="FZH37" s="1551"/>
      <c r="FZI37" s="1551">
        <v>44150</v>
      </c>
      <c r="FZJ37" s="1551"/>
      <c r="FZK37" s="1551">
        <v>44150</v>
      </c>
      <c r="FZL37" s="1551">
        <v>44150</v>
      </c>
      <c r="FZM37" s="1551"/>
      <c r="FZN37" s="1551">
        <v>44150</v>
      </c>
      <c r="FZO37" s="1551"/>
      <c r="FZP37" s="1551">
        <v>44150</v>
      </c>
      <c r="FZQ37" s="1551"/>
      <c r="FZR37" s="1551">
        <v>44150</v>
      </c>
      <c r="FZS37" s="1551">
        <v>44150</v>
      </c>
      <c r="FZT37" s="1551"/>
      <c r="FZU37" s="1551">
        <v>44150</v>
      </c>
      <c r="FZV37" s="1551"/>
      <c r="FZW37" s="1551">
        <v>44150</v>
      </c>
      <c r="FZX37" s="1551"/>
      <c r="FZY37" s="1551">
        <v>44150</v>
      </c>
      <c r="FZZ37" s="1551">
        <v>44150</v>
      </c>
      <c r="GAA37" s="1551"/>
      <c r="GAB37" s="1551">
        <v>44150</v>
      </c>
      <c r="GAC37" s="1551"/>
      <c r="GAD37" s="1551">
        <v>44150</v>
      </c>
      <c r="GAE37" s="1551"/>
      <c r="GAF37" s="1551">
        <v>44150</v>
      </c>
      <c r="GAG37" s="1551">
        <v>44150</v>
      </c>
      <c r="GAH37" s="1551"/>
      <c r="GAI37" s="1551">
        <v>44150</v>
      </c>
      <c r="GAJ37" s="1551"/>
      <c r="GAK37" s="1551">
        <v>44150</v>
      </c>
      <c r="GAL37" s="1551"/>
      <c r="GAM37" s="1551">
        <v>44150</v>
      </c>
      <c r="GAN37" s="1551">
        <v>44150</v>
      </c>
      <c r="GAO37" s="1551"/>
      <c r="GAP37" s="1551">
        <v>44150</v>
      </c>
      <c r="GAQ37" s="1551"/>
      <c r="GAR37" s="1551">
        <v>44150</v>
      </c>
      <c r="GAS37" s="1551"/>
      <c r="GAT37" s="1551">
        <v>44150</v>
      </c>
      <c r="GAU37" s="1551">
        <v>44150</v>
      </c>
      <c r="GAV37" s="1551"/>
      <c r="GAW37" s="1551">
        <v>44150</v>
      </c>
      <c r="GAX37" s="1551"/>
      <c r="GAY37" s="1551">
        <v>44150</v>
      </c>
      <c r="GAZ37" s="1551"/>
      <c r="GBA37" s="1551">
        <v>44150</v>
      </c>
      <c r="GBB37" s="1551">
        <v>44150</v>
      </c>
      <c r="GBC37" s="1551"/>
      <c r="GBD37" s="1551">
        <v>44150</v>
      </c>
      <c r="GBE37" s="1551"/>
      <c r="GBF37" s="1551">
        <v>44150</v>
      </c>
      <c r="GBG37" s="1551"/>
      <c r="GBH37" s="1551">
        <v>44150</v>
      </c>
      <c r="GBI37" s="1551">
        <v>44150</v>
      </c>
      <c r="GBJ37" s="1551"/>
      <c r="GBK37" s="1551">
        <v>44150</v>
      </c>
      <c r="GBL37" s="1551"/>
      <c r="GBM37" s="1551">
        <v>44150</v>
      </c>
      <c r="GBN37" s="1551"/>
      <c r="GBO37" s="1551">
        <v>44150</v>
      </c>
      <c r="GBP37" s="1551">
        <v>44150</v>
      </c>
      <c r="GBQ37" s="1551"/>
      <c r="GBR37" s="1551">
        <v>44150</v>
      </c>
      <c r="GBS37" s="1551"/>
      <c r="GBT37" s="1551">
        <v>44150</v>
      </c>
      <c r="GBU37" s="1551"/>
      <c r="GBV37" s="1551">
        <v>44150</v>
      </c>
      <c r="GBW37" s="1551">
        <v>44150</v>
      </c>
      <c r="GBX37" s="1551"/>
      <c r="GBY37" s="1551">
        <v>44150</v>
      </c>
      <c r="GBZ37" s="1551"/>
      <c r="GCA37" s="1551">
        <v>44150</v>
      </c>
      <c r="GCB37" s="1551"/>
      <c r="GCC37" s="1551">
        <v>44150</v>
      </c>
      <c r="GCD37" s="1551">
        <v>44150</v>
      </c>
      <c r="GCE37" s="1551"/>
      <c r="GCF37" s="1551">
        <v>44150</v>
      </c>
      <c r="GCG37" s="1551"/>
      <c r="GCH37" s="1551">
        <v>44150</v>
      </c>
      <c r="GCI37" s="1551"/>
      <c r="GCJ37" s="1551">
        <v>44150</v>
      </c>
      <c r="GCK37" s="1551">
        <v>44150</v>
      </c>
      <c r="GCL37" s="1551"/>
      <c r="GCM37" s="1551">
        <v>44150</v>
      </c>
      <c r="GCN37" s="1551"/>
      <c r="GCO37" s="1551">
        <v>44150</v>
      </c>
      <c r="GCP37" s="1551"/>
      <c r="GCQ37" s="1551">
        <v>44150</v>
      </c>
      <c r="GCR37" s="1551">
        <v>44150</v>
      </c>
      <c r="GCS37" s="1551"/>
      <c r="GCT37" s="1551">
        <v>44150</v>
      </c>
      <c r="GCU37" s="1551"/>
      <c r="GCV37" s="1551">
        <v>44150</v>
      </c>
      <c r="GCW37" s="1551"/>
      <c r="GCX37" s="1551">
        <v>44150</v>
      </c>
      <c r="GCY37" s="1551">
        <v>44150</v>
      </c>
      <c r="GCZ37" s="1551"/>
      <c r="GDA37" s="1551">
        <v>44150</v>
      </c>
      <c r="GDB37" s="1551"/>
      <c r="GDC37" s="1551">
        <v>44150</v>
      </c>
      <c r="GDD37" s="1551"/>
      <c r="GDE37" s="1551">
        <v>44150</v>
      </c>
      <c r="GDF37" s="1551">
        <v>44150</v>
      </c>
      <c r="GDG37" s="1551"/>
      <c r="GDH37" s="1551">
        <v>44150</v>
      </c>
      <c r="GDI37" s="1551"/>
      <c r="GDJ37" s="1551">
        <v>44150</v>
      </c>
      <c r="GDK37" s="1551"/>
      <c r="GDL37" s="1551">
        <v>44150</v>
      </c>
      <c r="GDM37" s="1551">
        <v>44150</v>
      </c>
      <c r="GDN37" s="1551"/>
      <c r="GDO37" s="1551">
        <v>44150</v>
      </c>
      <c r="GDP37" s="1551"/>
      <c r="GDQ37" s="1551">
        <v>44150</v>
      </c>
      <c r="GDR37" s="1551"/>
      <c r="GDS37" s="1551">
        <v>44150</v>
      </c>
      <c r="GDT37" s="1551">
        <v>44150</v>
      </c>
      <c r="GDU37" s="1551"/>
      <c r="GDV37" s="1551">
        <v>44150</v>
      </c>
      <c r="GDW37" s="1551"/>
      <c r="GDX37" s="1551">
        <v>44150</v>
      </c>
      <c r="GDY37" s="1551"/>
      <c r="GDZ37" s="1551">
        <v>44150</v>
      </c>
      <c r="GEA37" s="1551">
        <v>44150</v>
      </c>
      <c r="GEB37" s="1551"/>
      <c r="GEC37" s="1551">
        <v>44150</v>
      </c>
      <c r="GED37" s="1551"/>
      <c r="GEE37" s="1551">
        <v>44150</v>
      </c>
      <c r="GEF37" s="1551"/>
      <c r="GEG37" s="1551">
        <v>44150</v>
      </c>
      <c r="GEH37" s="1551">
        <v>44150</v>
      </c>
      <c r="GEI37" s="1551"/>
      <c r="GEJ37" s="1551">
        <v>44150</v>
      </c>
      <c r="GEK37" s="1551"/>
      <c r="GEL37" s="1551">
        <v>44150</v>
      </c>
      <c r="GEM37" s="1551"/>
      <c r="GEN37" s="1551">
        <v>44150</v>
      </c>
      <c r="GEO37" s="1551">
        <v>44150</v>
      </c>
      <c r="GEP37" s="1551"/>
      <c r="GEQ37" s="1551">
        <v>44150</v>
      </c>
      <c r="GER37" s="1551"/>
      <c r="GES37" s="1551">
        <v>44150</v>
      </c>
      <c r="GET37" s="1551"/>
      <c r="GEU37" s="1551">
        <v>44150</v>
      </c>
      <c r="GEV37" s="1551">
        <v>44150</v>
      </c>
      <c r="GEW37" s="1551"/>
      <c r="GEX37" s="1551">
        <v>44150</v>
      </c>
      <c r="GEY37" s="1551"/>
      <c r="GEZ37" s="1551">
        <v>44150</v>
      </c>
      <c r="GFA37" s="1551"/>
      <c r="GFB37" s="1551">
        <v>44150</v>
      </c>
      <c r="GFC37" s="1551">
        <v>44150</v>
      </c>
      <c r="GFD37" s="1551"/>
      <c r="GFE37" s="1551">
        <v>44150</v>
      </c>
      <c r="GFF37" s="1551"/>
      <c r="GFG37" s="1551">
        <v>44150</v>
      </c>
      <c r="GFH37" s="1551"/>
      <c r="GFI37" s="1551">
        <v>44150</v>
      </c>
      <c r="GFJ37" s="1551">
        <v>44150</v>
      </c>
      <c r="GFK37" s="1551"/>
      <c r="GFL37" s="1551">
        <v>44150</v>
      </c>
      <c r="GFM37" s="1551"/>
      <c r="GFN37" s="1551">
        <v>44150</v>
      </c>
      <c r="GFO37" s="1551"/>
      <c r="GFP37" s="1551">
        <v>44150</v>
      </c>
      <c r="GFQ37" s="1551">
        <v>44150</v>
      </c>
      <c r="GFR37" s="1551"/>
      <c r="GFS37" s="1551">
        <v>44150</v>
      </c>
      <c r="GFT37" s="1551"/>
      <c r="GFU37" s="1551">
        <v>44150</v>
      </c>
      <c r="GFV37" s="1551"/>
      <c r="GFW37" s="1551">
        <v>44150</v>
      </c>
      <c r="GFX37" s="1551">
        <v>44150</v>
      </c>
      <c r="GFY37" s="1551"/>
      <c r="GFZ37" s="1551">
        <v>44150</v>
      </c>
      <c r="GGA37" s="1551"/>
      <c r="GGB37" s="1551">
        <v>44150</v>
      </c>
      <c r="GGC37" s="1551"/>
      <c r="GGD37" s="1551">
        <v>44150</v>
      </c>
      <c r="GGE37" s="1551">
        <v>44150</v>
      </c>
      <c r="GGF37" s="1551"/>
      <c r="GGG37" s="1551">
        <v>44150</v>
      </c>
      <c r="GGH37" s="1551"/>
      <c r="GGI37" s="1551">
        <v>44150</v>
      </c>
      <c r="GGJ37" s="1551"/>
      <c r="GGK37" s="1551">
        <v>44150</v>
      </c>
      <c r="GGL37" s="1551">
        <v>44150</v>
      </c>
      <c r="GGM37" s="1551"/>
      <c r="GGN37" s="1551">
        <v>44150</v>
      </c>
      <c r="GGO37" s="1551"/>
      <c r="GGP37" s="1551">
        <v>44150</v>
      </c>
      <c r="GGQ37" s="1551"/>
      <c r="GGR37" s="1551">
        <v>44150</v>
      </c>
      <c r="GGS37" s="1551">
        <v>44150</v>
      </c>
      <c r="GGT37" s="1551"/>
      <c r="GGU37" s="1551">
        <v>44150</v>
      </c>
      <c r="GGV37" s="1551"/>
      <c r="GGW37" s="1551">
        <v>44150</v>
      </c>
      <c r="GGX37" s="1551"/>
      <c r="GGY37" s="1551">
        <v>44150</v>
      </c>
      <c r="GGZ37" s="1551">
        <v>44150</v>
      </c>
      <c r="GHA37" s="1551"/>
      <c r="GHB37" s="1551">
        <v>44150</v>
      </c>
      <c r="GHC37" s="1551"/>
      <c r="GHD37" s="1551">
        <v>44150</v>
      </c>
      <c r="GHE37" s="1551"/>
      <c r="GHF37" s="1551">
        <v>44150</v>
      </c>
      <c r="GHG37" s="1551">
        <v>44150</v>
      </c>
      <c r="GHH37" s="1551"/>
      <c r="GHI37" s="1551">
        <v>44150</v>
      </c>
      <c r="GHJ37" s="1551"/>
      <c r="GHK37" s="1551">
        <v>44150</v>
      </c>
      <c r="GHL37" s="1551"/>
      <c r="GHM37" s="1551">
        <v>44150</v>
      </c>
      <c r="GHN37" s="1551">
        <v>44150</v>
      </c>
      <c r="GHO37" s="1551"/>
      <c r="GHP37" s="1551">
        <v>44150</v>
      </c>
      <c r="GHQ37" s="1551"/>
      <c r="GHR37" s="1551">
        <v>44150</v>
      </c>
      <c r="GHS37" s="1551"/>
      <c r="GHT37" s="1551">
        <v>44150</v>
      </c>
      <c r="GHU37" s="1551">
        <v>44150</v>
      </c>
      <c r="GHV37" s="1551"/>
      <c r="GHW37" s="1551">
        <v>44150</v>
      </c>
      <c r="GHX37" s="1551"/>
      <c r="GHY37" s="1551">
        <v>44150</v>
      </c>
      <c r="GHZ37" s="1551"/>
      <c r="GIA37" s="1551">
        <v>44150</v>
      </c>
      <c r="GIB37" s="1551">
        <v>44150</v>
      </c>
      <c r="GIC37" s="1551"/>
      <c r="GID37" s="1551">
        <v>44150</v>
      </c>
      <c r="GIE37" s="1551"/>
      <c r="GIF37" s="1551">
        <v>44150</v>
      </c>
      <c r="GIG37" s="1551"/>
      <c r="GIH37" s="1551">
        <v>44150</v>
      </c>
      <c r="GII37" s="1551">
        <v>44150</v>
      </c>
      <c r="GIJ37" s="1551"/>
      <c r="GIK37" s="1551">
        <v>44150</v>
      </c>
      <c r="GIL37" s="1551"/>
      <c r="GIM37" s="1551">
        <v>44150</v>
      </c>
      <c r="GIN37" s="1551"/>
      <c r="GIO37" s="1551">
        <v>44150</v>
      </c>
      <c r="GIP37" s="1551">
        <v>44150</v>
      </c>
      <c r="GIQ37" s="1551"/>
      <c r="GIR37" s="1551">
        <v>44150</v>
      </c>
      <c r="GIS37" s="1551"/>
      <c r="GIT37" s="1551">
        <v>44150</v>
      </c>
      <c r="GIU37" s="1551"/>
      <c r="GIV37" s="1551">
        <v>44150</v>
      </c>
      <c r="GIW37" s="1551">
        <v>44150</v>
      </c>
      <c r="GIX37" s="1551"/>
      <c r="GIY37" s="1551">
        <v>44150</v>
      </c>
      <c r="GIZ37" s="1551"/>
      <c r="GJA37" s="1551">
        <v>44150</v>
      </c>
      <c r="GJB37" s="1551"/>
      <c r="GJC37" s="1551">
        <v>44150</v>
      </c>
      <c r="GJD37" s="1551">
        <v>44150</v>
      </c>
      <c r="GJE37" s="1551"/>
      <c r="GJF37" s="1551">
        <v>44150</v>
      </c>
      <c r="GJG37" s="1551"/>
      <c r="GJH37" s="1551">
        <v>44150</v>
      </c>
      <c r="GJI37" s="1551"/>
      <c r="GJJ37" s="1551">
        <v>44150</v>
      </c>
      <c r="GJK37" s="1551">
        <v>44150</v>
      </c>
      <c r="GJL37" s="1551"/>
      <c r="GJM37" s="1551">
        <v>44150</v>
      </c>
      <c r="GJN37" s="1551"/>
      <c r="GJO37" s="1551">
        <v>44150</v>
      </c>
      <c r="GJP37" s="1551"/>
      <c r="GJQ37" s="1551">
        <v>44150</v>
      </c>
      <c r="GJR37" s="1551">
        <v>44150</v>
      </c>
      <c r="GJS37" s="1551"/>
      <c r="GJT37" s="1551">
        <v>44150</v>
      </c>
      <c r="GJU37" s="1551"/>
      <c r="GJV37" s="1551">
        <v>44150</v>
      </c>
      <c r="GJW37" s="1551"/>
      <c r="GJX37" s="1551">
        <v>44150</v>
      </c>
      <c r="GJY37" s="1551">
        <v>44150</v>
      </c>
      <c r="GJZ37" s="1551"/>
      <c r="GKA37" s="1551">
        <v>44150</v>
      </c>
      <c r="GKB37" s="1551"/>
      <c r="GKC37" s="1551">
        <v>44150</v>
      </c>
      <c r="GKD37" s="1551"/>
      <c r="GKE37" s="1551">
        <v>44150</v>
      </c>
      <c r="GKF37" s="1551">
        <v>44150</v>
      </c>
      <c r="GKG37" s="1551"/>
      <c r="GKH37" s="1551">
        <v>44150</v>
      </c>
      <c r="GKI37" s="1551"/>
      <c r="GKJ37" s="1551">
        <v>44150</v>
      </c>
      <c r="GKK37" s="1551"/>
      <c r="GKL37" s="1551">
        <v>44150</v>
      </c>
      <c r="GKM37" s="1551">
        <v>44150</v>
      </c>
      <c r="GKN37" s="1551"/>
      <c r="GKO37" s="1551">
        <v>44150</v>
      </c>
      <c r="GKP37" s="1551"/>
      <c r="GKQ37" s="1551">
        <v>44150</v>
      </c>
      <c r="GKR37" s="1551"/>
      <c r="GKS37" s="1551">
        <v>44150</v>
      </c>
      <c r="GKT37" s="1551">
        <v>44150</v>
      </c>
      <c r="GKU37" s="1551"/>
      <c r="GKV37" s="1551">
        <v>44150</v>
      </c>
      <c r="GKW37" s="1551"/>
      <c r="GKX37" s="1551">
        <v>44150</v>
      </c>
      <c r="GKY37" s="1551"/>
      <c r="GKZ37" s="1551">
        <v>44150</v>
      </c>
      <c r="GLA37" s="1551">
        <v>44150</v>
      </c>
      <c r="GLB37" s="1551"/>
      <c r="GLC37" s="1551">
        <v>44150</v>
      </c>
      <c r="GLD37" s="1551"/>
      <c r="GLE37" s="1551">
        <v>44150</v>
      </c>
      <c r="GLF37" s="1551"/>
      <c r="GLG37" s="1551">
        <v>44150</v>
      </c>
      <c r="GLH37" s="1551">
        <v>44150</v>
      </c>
      <c r="GLI37" s="1551"/>
      <c r="GLJ37" s="1551">
        <v>44150</v>
      </c>
      <c r="GLK37" s="1551"/>
      <c r="GLL37" s="1551">
        <v>44150</v>
      </c>
      <c r="GLM37" s="1551"/>
      <c r="GLN37" s="1551">
        <v>44150</v>
      </c>
      <c r="GLO37" s="1551">
        <v>44150</v>
      </c>
      <c r="GLP37" s="1551"/>
      <c r="GLQ37" s="1551">
        <v>44150</v>
      </c>
      <c r="GLR37" s="1551"/>
      <c r="GLS37" s="1551">
        <v>44150</v>
      </c>
      <c r="GLT37" s="1551"/>
      <c r="GLU37" s="1551">
        <v>44150</v>
      </c>
      <c r="GLV37" s="1551">
        <v>44150</v>
      </c>
      <c r="GLW37" s="1551"/>
      <c r="GLX37" s="1551">
        <v>44150</v>
      </c>
      <c r="GLY37" s="1551"/>
      <c r="GLZ37" s="1551">
        <v>44150</v>
      </c>
      <c r="GMA37" s="1551"/>
      <c r="GMB37" s="1551">
        <v>44150</v>
      </c>
      <c r="GMC37" s="1551">
        <v>44150</v>
      </c>
      <c r="GMD37" s="1551"/>
      <c r="GME37" s="1551">
        <v>44150</v>
      </c>
      <c r="GMF37" s="1551"/>
      <c r="GMG37" s="1551">
        <v>44150</v>
      </c>
      <c r="GMH37" s="1551"/>
      <c r="GMI37" s="1551">
        <v>44150</v>
      </c>
      <c r="GMJ37" s="1551">
        <v>44150</v>
      </c>
      <c r="GMK37" s="1551"/>
      <c r="GML37" s="1551">
        <v>44150</v>
      </c>
      <c r="GMM37" s="1551"/>
      <c r="GMN37" s="1551">
        <v>44150</v>
      </c>
      <c r="GMO37" s="1551"/>
      <c r="GMP37" s="1551">
        <v>44150</v>
      </c>
      <c r="GMQ37" s="1551">
        <v>44150</v>
      </c>
      <c r="GMR37" s="1551"/>
      <c r="GMS37" s="1551">
        <v>44150</v>
      </c>
      <c r="GMT37" s="1551"/>
      <c r="GMU37" s="1551">
        <v>44150</v>
      </c>
      <c r="GMV37" s="1551"/>
      <c r="GMW37" s="1551">
        <v>44150</v>
      </c>
      <c r="GMX37" s="1551">
        <v>44150</v>
      </c>
      <c r="GMY37" s="1551"/>
      <c r="GMZ37" s="1551">
        <v>44150</v>
      </c>
      <c r="GNA37" s="1551"/>
      <c r="GNB37" s="1551">
        <v>44150</v>
      </c>
      <c r="GNC37" s="1551"/>
      <c r="GND37" s="1551">
        <v>44150</v>
      </c>
      <c r="GNE37" s="1551">
        <v>44150</v>
      </c>
      <c r="GNF37" s="1551"/>
      <c r="GNG37" s="1551">
        <v>44150</v>
      </c>
      <c r="GNH37" s="1551"/>
      <c r="GNI37" s="1551">
        <v>44150</v>
      </c>
      <c r="GNJ37" s="1551"/>
      <c r="GNK37" s="1551">
        <v>44150</v>
      </c>
      <c r="GNL37" s="1551">
        <v>44150</v>
      </c>
      <c r="GNM37" s="1551"/>
      <c r="GNN37" s="1551">
        <v>44150</v>
      </c>
      <c r="GNO37" s="1551"/>
      <c r="GNP37" s="1551">
        <v>44150</v>
      </c>
      <c r="GNQ37" s="1551"/>
      <c r="GNR37" s="1551">
        <v>44150</v>
      </c>
      <c r="GNS37" s="1551">
        <v>44150</v>
      </c>
      <c r="GNT37" s="1551"/>
      <c r="GNU37" s="1551">
        <v>44150</v>
      </c>
      <c r="GNV37" s="1551"/>
      <c r="GNW37" s="1551">
        <v>44150</v>
      </c>
      <c r="GNX37" s="1551"/>
      <c r="GNY37" s="1551">
        <v>44150</v>
      </c>
      <c r="GNZ37" s="1551">
        <v>44150</v>
      </c>
      <c r="GOA37" s="1551"/>
      <c r="GOB37" s="1551">
        <v>44150</v>
      </c>
      <c r="GOC37" s="1551"/>
      <c r="GOD37" s="1551">
        <v>44150</v>
      </c>
      <c r="GOE37" s="1551"/>
      <c r="GOF37" s="1551">
        <v>44150</v>
      </c>
      <c r="GOG37" s="1551">
        <v>44150</v>
      </c>
      <c r="GOH37" s="1551"/>
      <c r="GOI37" s="1551">
        <v>44150</v>
      </c>
      <c r="GOJ37" s="1551"/>
      <c r="GOK37" s="1551">
        <v>44150</v>
      </c>
      <c r="GOL37" s="1551"/>
      <c r="GOM37" s="1551">
        <v>44150</v>
      </c>
      <c r="GON37" s="1551">
        <v>44150</v>
      </c>
      <c r="GOO37" s="1551"/>
      <c r="GOP37" s="1551">
        <v>44150</v>
      </c>
      <c r="GOQ37" s="1551"/>
      <c r="GOR37" s="1551">
        <v>44150</v>
      </c>
      <c r="GOS37" s="1551"/>
      <c r="GOT37" s="1551">
        <v>44150</v>
      </c>
      <c r="GOU37" s="1551">
        <v>44150</v>
      </c>
      <c r="GOV37" s="1551"/>
      <c r="GOW37" s="1551">
        <v>44150</v>
      </c>
      <c r="GOX37" s="1551"/>
      <c r="GOY37" s="1551">
        <v>44150</v>
      </c>
      <c r="GOZ37" s="1551"/>
      <c r="GPA37" s="1551">
        <v>44150</v>
      </c>
      <c r="GPB37" s="1551">
        <v>44150</v>
      </c>
      <c r="GPC37" s="1551"/>
      <c r="GPD37" s="1551">
        <v>44150</v>
      </c>
      <c r="GPE37" s="1551"/>
      <c r="GPF37" s="1551">
        <v>44150</v>
      </c>
      <c r="GPG37" s="1551"/>
      <c r="GPH37" s="1551">
        <v>44150</v>
      </c>
      <c r="GPI37" s="1551">
        <v>44150</v>
      </c>
      <c r="GPJ37" s="1551"/>
      <c r="GPK37" s="1551">
        <v>44150</v>
      </c>
      <c r="GPL37" s="1551"/>
      <c r="GPM37" s="1551">
        <v>44150</v>
      </c>
      <c r="GPN37" s="1551"/>
      <c r="GPO37" s="1551">
        <v>44150</v>
      </c>
      <c r="GPP37" s="1551">
        <v>44150</v>
      </c>
      <c r="GPQ37" s="1551"/>
      <c r="GPR37" s="1551">
        <v>44150</v>
      </c>
      <c r="GPS37" s="1551"/>
      <c r="GPT37" s="1551">
        <v>44150</v>
      </c>
      <c r="GPU37" s="1551"/>
      <c r="GPV37" s="1551">
        <v>44150</v>
      </c>
      <c r="GPW37" s="1551">
        <v>44150</v>
      </c>
      <c r="GPX37" s="1551"/>
      <c r="GPY37" s="1551">
        <v>44150</v>
      </c>
      <c r="GPZ37" s="1551"/>
      <c r="GQA37" s="1551">
        <v>44150</v>
      </c>
      <c r="GQB37" s="1551"/>
      <c r="GQC37" s="1551">
        <v>44150</v>
      </c>
      <c r="GQD37" s="1551">
        <v>44150</v>
      </c>
      <c r="GQE37" s="1551"/>
      <c r="GQF37" s="1551">
        <v>44150</v>
      </c>
      <c r="GQG37" s="1551"/>
      <c r="GQH37" s="1551">
        <v>44150</v>
      </c>
      <c r="GQI37" s="1551"/>
      <c r="GQJ37" s="1551">
        <v>44150</v>
      </c>
      <c r="GQK37" s="1551">
        <v>44150</v>
      </c>
      <c r="GQL37" s="1551"/>
      <c r="GQM37" s="1551">
        <v>44150</v>
      </c>
      <c r="GQN37" s="1551"/>
      <c r="GQO37" s="1551">
        <v>44150</v>
      </c>
      <c r="GQP37" s="1551"/>
      <c r="GQQ37" s="1551">
        <v>44150</v>
      </c>
      <c r="GQR37" s="1551">
        <v>44150</v>
      </c>
      <c r="GQS37" s="1551"/>
      <c r="GQT37" s="1551">
        <v>44150</v>
      </c>
      <c r="GQU37" s="1551"/>
      <c r="GQV37" s="1551">
        <v>44150</v>
      </c>
      <c r="GQW37" s="1551"/>
      <c r="GQX37" s="1551">
        <v>44150</v>
      </c>
      <c r="GQY37" s="1551">
        <v>44150</v>
      </c>
      <c r="GQZ37" s="1551"/>
      <c r="GRA37" s="1551">
        <v>44150</v>
      </c>
      <c r="GRB37" s="1551"/>
      <c r="GRC37" s="1551">
        <v>44150</v>
      </c>
      <c r="GRD37" s="1551"/>
      <c r="GRE37" s="1551">
        <v>44150</v>
      </c>
      <c r="GRF37" s="1551">
        <v>44150</v>
      </c>
      <c r="GRG37" s="1551"/>
      <c r="GRH37" s="1551">
        <v>44150</v>
      </c>
      <c r="GRI37" s="1551"/>
      <c r="GRJ37" s="1551">
        <v>44150</v>
      </c>
      <c r="GRK37" s="1551"/>
      <c r="GRL37" s="1551">
        <v>44150</v>
      </c>
      <c r="GRM37" s="1551">
        <v>44150</v>
      </c>
      <c r="GRN37" s="1551"/>
      <c r="GRO37" s="1551">
        <v>44150</v>
      </c>
      <c r="GRP37" s="1551"/>
      <c r="GRQ37" s="1551">
        <v>44150</v>
      </c>
      <c r="GRR37" s="1551"/>
      <c r="GRS37" s="1551">
        <v>44150</v>
      </c>
      <c r="GRT37" s="1551">
        <v>44150</v>
      </c>
      <c r="GRU37" s="1551"/>
      <c r="GRV37" s="1551">
        <v>44150</v>
      </c>
      <c r="GRW37" s="1551"/>
      <c r="GRX37" s="1551">
        <v>44150</v>
      </c>
      <c r="GRY37" s="1551"/>
      <c r="GRZ37" s="1551">
        <v>44150</v>
      </c>
      <c r="GSA37" s="1551">
        <v>44150</v>
      </c>
      <c r="GSB37" s="1551"/>
      <c r="GSC37" s="1551">
        <v>44150</v>
      </c>
      <c r="GSD37" s="1551"/>
      <c r="GSE37" s="1551">
        <v>44150</v>
      </c>
      <c r="GSF37" s="1551"/>
      <c r="GSG37" s="1551">
        <v>44150</v>
      </c>
      <c r="GSH37" s="1551">
        <v>44150</v>
      </c>
      <c r="GSI37" s="1551"/>
      <c r="GSJ37" s="1551">
        <v>44150</v>
      </c>
      <c r="GSK37" s="1551"/>
      <c r="GSL37" s="1551">
        <v>44150</v>
      </c>
      <c r="GSM37" s="1551"/>
      <c r="GSN37" s="1551">
        <v>44150</v>
      </c>
      <c r="GSO37" s="1551">
        <v>44150</v>
      </c>
      <c r="GSP37" s="1551"/>
      <c r="GSQ37" s="1551">
        <v>44150</v>
      </c>
      <c r="GSR37" s="1551"/>
      <c r="GSS37" s="1551">
        <v>44150</v>
      </c>
      <c r="GST37" s="1551"/>
      <c r="GSU37" s="1551">
        <v>44150</v>
      </c>
      <c r="GSV37" s="1551">
        <v>44150</v>
      </c>
      <c r="GSW37" s="1551"/>
      <c r="GSX37" s="1551">
        <v>44150</v>
      </c>
      <c r="GSY37" s="1551"/>
      <c r="GSZ37" s="1551">
        <v>44150</v>
      </c>
      <c r="GTA37" s="1551"/>
      <c r="GTB37" s="1551">
        <v>44150</v>
      </c>
      <c r="GTC37" s="1551">
        <v>44150</v>
      </c>
      <c r="GTD37" s="1551"/>
      <c r="GTE37" s="1551">
        <v>44150</v>
      </c>
      <c r="GTF37" s="1551"/>
      <c r="GTG37" s="1551">
        <v>44150</v>
      </c>
      <c r="GTH37" s="1551"/>
      <c r="GTI37" s="1551">
        <v>44150</v>
      </c>
      <c r="GTJ37" s="1551">
        <v>44150</v>
      </c>
      <c r="GTK37" s="1551"/>
      <c r="GTL37" s="1551">
        <v>44150</v>
      </c>
      <c r="GTM37" s="1551"/>
      <c r="GTN37" s="1551">
        <v>44150</v>
      </c>
      <c r="GTO37" s="1551"/>
      <c r="GTP37" s="1551">
        <v>44150</v>
      </c>
      <c r="GTQ37" s="1551">
        <v>44150</v>
      </c>
      <c r="GTR37" s="1551"/>
      <c r="GTS37" s="1551">
        <v>44150</v>
      </c>
      <c r="GTT37" s="1551"/>
      <c r="GTU37" s="1551">
        <v>44150</v>
      </c>
      <c r="GTV37" s="1551"/>
      <c r="GTW37" s="1551">
        <v>44150</v>
      </c>
      <c r="GTX37" s="1551">
        <v>44150</v>
      </c>
      <c r="GTY37" s="1551"/>
      <c r="GTZ37" s="1551">
        <v>44150</v>
      </c>
      <c r="GUA37" s="1551"/>
      <c r="GUB37" s="1551">
        <v>44150</v>
      </c>
      <c r="GUC37" s="1551"/>
      <c r="GUD37" s="1551">
        <v>44150</v>
      </c>
      <c r="GUE37" s="1551">
        <v>44150</v>
      </c>
      <c r="GUF37" s="1551"/>
      <c r="GUG37" s="1551">
        <v>44150</v>
      </c>
      <c r="GUH37" s="1551"/>
      <c r="GUI37" s="1551">
        <v>44150</v>
      </c>
      <c r="GUJ37" s="1551"/>
      <c r="GUK37" s="1551">
        <v>44150</v>
      </c>
      <c r="GUL37" s="1551">
        <v>44150</v>
      </c>
      <c r="GUM37" s="1551"/>
      <c r="GUN37" s="1551">
        <v>44150</v>
      </c>
      <c r="GUO37" s="1551"/>
      <c r="GUP37" s="1551">
        <v>44150</v>
      </c>
      <c r="GUQ37" s="1551"/>
      <c r="GUR37" s="1551">
        <v>44150</v>
      </c>
      <c r="GUS37" s="1551">
        <v>44150</v>
      </c>
      <c r="GUT37" s="1551"/>
      <c r="GUU37" s="1551">
        <v>44150</v>
      </c>
      <c r="GUV37" s="1551"/>
      <c r="GUW37" s="1551">
        <v>44150</v>
      </c>
      <c r="GUX37" s="1551"/>
      <c r="GUY37" s="1551">
        <v>44150</v>
      </c>
      <c r="GUZ37" s="1551">
        <v>44150</v>
      </c>
      <c r="GVA37" s="1551"/>
      <c r="GVB37" s="1551">
        <v>44150</v>
      </c>
      <c r="GVC37" s="1551"/>
      <c r="GVD37" s="1551">
        <v>44150</v>
      </c>
      <c r="GVE37" s="1551"/>
      <c r="GVF37" s="1551">
        <v>44150</v>
      </c>
      <c r="GVG37" s="1551">
        <v>44150</v>
      </c>
      <c r="GVH37" s="1551"/>
      <c r="GVI37" s="1551">
        <v>44150</v>
      </c>
      <c r="GVJ37" s="1551"/>
      <c r="GVK37" s="1551">
        <v>44150</v>
      </c>
      <c r="GVL37" s="1551"/>
      <c r="GVM37" s="1551">
        <v>44150</v>
      </c>
      <c r="GVN37" s="1551">
        <v>44150</v>
      </c>
      <c r="GVO37" s="1551"/>
      <c r="GVP37" s="1551">
        <v>44150</v>
      </c>
      <c r="GVQ37" s="1551"/>
      <c r="GVR37" s="1551">
        <v>44150</v>
      </c>
      <c r="GVS37" s="1551"/>
      <c r="GVT37" s="1551">
        <v>44150</v>
      </c>
      <c r="GVU37" s="1551">
        <v>44150</v>
      </c>
      <c r="GVV37" s="1551"/>
      <c r="GVW37" s="1551">
        <v>44150</v>
      </c>
      <c r="GVX37" s="1551"/>
      <c r="GVY37" s="1551">
        <v>44150</v>
      </c>
      <c r="GVZ37" s="1551"/>
      <c r="GWA37" s="1551">
        <v>44150</v>
      </c>
      <c r="GWB37" s="1551">
        <v>44150</v>
      </c>
      <c r="GWC37" s="1551"/>
      <c r="GWD37" s="1551">
        <v>44150</v>
      </c>
      <c r="GWE37" s="1551"/>
      <c r="GWF37" s="1551">
        <v>44150</v>
      </c>
      <c r="GWG37" s="1551"/>
      <c r="GWH37" s="1551">
        <v>44150</v>
      </c>
      <c r="GWI37" s="1551">
        <v>44150</v>
      </c>
      <c r="GWJ37" s="1551"/>
      <c r="GWK37" s="1551">
        <v>44150</v>
      </c>
      <c r="GWL37" s="1551"/>
      <c r="GWM37" s="1551">
        <v>44150</v>
      </c>
      <c r="GWN37" s="1551"/>
      <c r="GWO37" s="1551">
        <v>44150</v>
      </c>
      <c r="GWP37" s="1551">
        <v>44150</v>
      </c>
      <c r="GWQ37" s="1551"/>
      <c r="GWR37" s="1551">
        <v>44150</v>
      </c>
      <c r="GWS37" s="1551"/>
      <c r="GWT37" s="1551">
        <v>44150</v>
      </c>
      <c r="GWU37" s="1551"/>
      <c r="GWV37" s="1551">
        <v>44150</v>
      </c>
      <c r="GWW37" s="1551">
        <v>44150</v>
      </c>
      <c r="GWX37" s="1551"/>
      <c r="GWY37" s="1551">
        <v>44150</v>
      </c>
      <c r="GWZ37" s="1551"/>
      <c r="GXA37" s="1551">
        <v>44150</v>
      </c>
      <c r="GXB37" s="1551"/>
      <c r="GXC37" s="1551">
        <v>44150</v>
      </c>
      <c r="GXD37" s="1551">
        <v>44150</v>
      </c>
      <c r="GXE37" s="1551"/>
      <c r="GXF37" s="1551">
        <v>44150</v>
      </c>
      <c r="GXG37" s="1551"/>
      <c r="GXH37" s="1551">
        <v>44150</v>
      </c>
      <c r="GXI37" s="1551"/>
      <c r="GXJ37" s="1551">
        <v>44150</v>
      </c>
      <c r="GXK37" s="1551">
        <v>44150</v>
      </c>
      <c r="GXL37" s="1551"/>
      <c r="GXM37" s="1551">
        <v>44150</v>
      </c>
      <c r="GXN37" s="1551"/>
      <c r="GXO37" s="1551">
        <v>44150</v>
      </c>
      <c r="GXP37" s="1551"/>
      <c r="GXQ37" s="1551">
        <v>44150</v>
      </c>
      <c r="GXR37" s="1551">
        <v>44150</v>
      </c>
      <c r="GXS37" s="1551"/>
      <c r="GXT37" s="1551">
        <v>44150</v>
      </c>
      <c r="GXU37" s="1551"/>
      <c r="GXV37" s="1551">
        <v>44150</v>
      </c>
      <c r="GXW37" s="1551"/>
      <c r="GXX37" s="1551">
        <v>44150</v>
      </c>
      <c r="GXY37" s="1551">
        <v>44150</v>
      </c>
      <c r="GXZ37" s="1551"/>
      <c r="GYA37" s="1551">
        <v>44150</v>
      </c>
      <c r="GYB37" s="1551"/>
      <c r="GYC37" s="1551">
        <v>44150</v>
      </c>
      <c r="GYD37" s="1551"/>
      <c r="GYE37" s="1551">
        <v>44150</v>
      </c>
      <c r="GYF37" s="1551">
        <v>44150</v>
      </c>
      <c r="GYG37" s="1551"/>
      <c r="GYH37" s="1551">
        <v>44150</v>
      </c>
      <c r="GYI37" s="1551"/>
      <c r="GYJ37" s="1551">
        <v>44150</v>
      </c>
      <c r="GYK37" s="1551"/>
      <c r="GYL37" s="1551">
        <v>44150</v>
      </c>
      <c r="GYM37" s="1551">
        <v>44150</v>
      </c>
      <c r="GYN37" s="1551"/>
      <c r="GYO37" s="1551">
        <v>44150</v>
      </c>
      <c r="GYP37" s="1551"/>
      <c r="GYQ37" s="1551">
        <v>44150</v>
      </c>
      <c r="GYR37" s="1551"/>
      <c r="GYS37" s="1551">
        <v>44150</v>
      </c>
      <c r="GYT37" s="1551">
        <v>44150</v>
      </c>
      <c r="GYU37" s="1551"/>
      <c r="GYV37" s="1551">
        <v>44150</v>
      </c>
      <c r="GYW37" s="1551"/>
      <c r="GYX37" s="1551">
        <v>44150</v>
      </c>
      <c r="GYY37" s="1551"/>
      <c r="GYZ37" s="1551">
        <v>44150</v>
      </c>
      <c r="GZA37" s="1551">
        <v>44150</v>
      </c>
      <c r="GZB37" s="1551"/>
      <c r="GZC37" s="1551">
        <v>44150</v>
      </c>
      <c r="GZD37" s="1551"/>
      <c r="GZE37" s="1551">
        <v>44150</v>
      </c>
      <c r="GZF37" s="1551"/>
      <c r="GZG37" s="1551">
        <v>44150</v>
      </c>
      <c r="GZH37" s="1551">
        <v>44150</v>
      </c>
      <c r="GZI37" s="1551"/>
      <c r="GZJ37" s="1551">
        <v>44150</v>
      </c>
      <c r="GZK37" s="1551"/>
      <c r="GZL37" s="1551">
        <v>44150</v>
      </c>
      <c r="GZM37" s="1551"/>
      <c r="GZN37" s="1551">
        <v>44150</v>
      </c>
      <c r="GZO37" s="1551">
        <v>44150</v>
      </c>
      <c r="GZP37" s="1551"/>
      <c r="GZQ37" s="1551">
        <v>44150</v>
      </c>
      <c r="GZR37" s="1551"/>
      <c r="GZS37" s="1551">
        <v>44150</v>
      </c>
      <c r="GZT37" s="1551"/>
      <c r="GZU37" s="1551">
        <v>44150</v>
      </c>
      <c r="GZV37" s="1551">
        <v>44150</v>
      </c>
      <c r="GZW37" s="1551"/>
      <c r="GZX37" s="1551">
        <v>44150</v>
      </c>
      <c r="GZY37" s="1551"/>
      <c r="GZZ37" s="1551">
        <v>44150</v>
      </c>
      <c r="HAA37" s="1551"/>
      <c r="HAB37" s="1551">
        <v>44150</v>
      </c>
      <c r="HAC37" s="1551">
        <v>44150</v>
      </c>
      <c r="HAD37" s="1551"/>
      <c r="HAE37" s="1551">
        <v>44150</v>
      </c>
      <c r="HAF37" s="1551"/>
      <c r="HAG37" s="1551">
        <v>44150</v>
      </c>
      <c r="HAH37" s="1551"/>
      <c r="HAI37" s="1551">
        <v>44150</v>
      </c>
      <c r="HAJ37" s="1551">
        <v>44150</v>
      </c>
      <c r="HAK37" s="1551"/>
      <c r="HAL37" s="1551">
        <v>44150</v>
      </c>
      <c r="HAM37" s="1551"/>
      <c r="HAN37" s="1551">
        <v>44150</v>
      </c>
      <c r="HAO37" s="1551"/>
      <c r="HAP37" s="1551">
        <v>44150</v>
      </c>
      <c r="HAQ37" s="1551">
        <v>44150</v>
      </c>
      <c r="HAR37" s="1551"/>
      <c r="HAS37" s="1551">
        <v>44150</v>
      </c>
      <c r="HAT37" s="1551"/>
      <c r="HAU37" s="1551">
        <v>44150</v>
      </c>
      <c r="HAV37" s="1551"/>
      <c r="HAW37" s="1551">
        <v>44150</v>
      </c>
      <c r="HAX37" s="1551">
        <v>44150</v>
      </c>
      <c r="HAY37" s="1551"/>
      <c r="HAZ37" s="1551">
        <v>44150</v>
      </c>
      <c r="HBA37" s="1551"/>
      <c r="HBB37" s="1551">
        <v>44150</v>
      </c>
      <c r="HBC37" s="1551"/>
      <c r="HBD37" s="1551">
        <v>44150</v>
      </c>
      <c r="HBE37" s="1551">
        <v>44150</v>
      </c>
      <c r="HBF37" s="1551"/>
      <c r="HBG37" s="1551">
        <v>44150</v>
      </c>
      <c r="HBH37" s="1551"/>
      <c r="HBI37" s="1551">
        <v>44150</v>
      </c>
      <c r="HBJ37" s="1551"/>
      <c r="HBK37" s="1551">
        <v>44150</v>
      </c>
      <c r="HBL37" s="1551">
        <v>44150</v>
      </c>
      <c r="HBM37" s="1551"/>
      <c r="HBN37" s="1551">
        <v>44150</v>
      </c>
      <c r="HBO37" s="1551"/>
      <c r="HBP37" s="1551">
        <v>44150</v>
      </c>
      <c r="HBQ37" s="1551"/>
      <c r="HBR37" s="1551">
        <v>44150</v>
      </c>
      <c r="HBS37" s="1551">
        <v>44150</v>
      </c>
      <c r="HBT37" s="1551"/>
      <c r="HBU37" s="1551">
        <v>44150</v>
      </c>
      <c r="HBV37" s="1551"/>
      <c r="HBW37" s="1551">
        <v>44150</v>
      </c>
      <c r="HBX37" s="1551"/>
      <c r="HBY37" s="1551">
        <v>44150</v>
      </c>
      <c r="HBZ37" s="1551">
        <v>44150</v>
      </c>
      <c r="HCA37" s="1551"/>
      <c r="HCB37" s="1551">
        <v>44150</v>
      </c>
      <c r="HCC37" s="1551"/>
      <c r="HCD37" s="1551">
        <v>44150</v>
      </c>
      <c r="HCE37" s="1551"/>
      <c r="HCF37" s="1551">
        <v>44150</v>
      </c>
      <c r="HCG37" s="1551">
        <v>44150</v>
      </c>
      <c r="HCH37" s="1551"/>
      <c r="HCI37" s="1551">
        <v>44150</v>
      </c>
      <c r="HCJ37" s="1551"/>
      <c r="HCK37" s="1551">
        <v>44150</v>
      </c>
      <c r="HCL37" s="1551"/>
      <c r="HCM37" s="1551">
        <v>44150</v>
      </c>
      <c r="HCN37" s="1551">
        <v>44150</v>
      </c>
      <c r="HCO37" s="1551"/>
      <c r="HCP37" s="1551">
        <v>44150</v>
      </c>
      <c r="HCQ37" s="1551"/>
      <c r="HCR37" s="1551">
        <v>44150</v>
      </c>
      <c r="HCS37" s="1551"/>
      <c r="HCT37" s="1551">
        <v>44150</v>
      </c>
      <c r="HCU37" s="1551">
        <v>44150</v>
      </c>
      <c r="HCV37" s="1551"/>
      <c r="HCW37" s="1551">
        <v>44150</v>
      </c>
      <c r="HCX37" s="1551"/>
      <c r="HCY37" s="1551">
        <v>44150</v>
      </c>
      <c r="HCZ37" s="1551"/>
      <c r="HDA37" s="1551">
        <v>44150</v>
      </c>
      <c r="HDB37" s="1551">
        <v>44150</v>
      </c>
      <c r="HDC37" s="1551"/>
      <c r="HDD37" s="1551">
        <v>44150</v>
      </c>
      <c r="HDE37" s="1551"/>
      <c r="HDF37" s="1551">
        <v>44150</v>
      </c>
      <c r="HDG37" s="1551"/>
      <c r="HDH37" s="1551">
        <v>44150</v>
      </c>
      <c r="HDI37" s="1551">
        <v>44150</v>
      </c>
      <c r="HDJ37" s="1551"/>
      <c r="HDK37" s="1551">
        <v>44150</v>
      </c>
      <c r="HDL37" s="1551"/>
      <c r="HDM37" s="1551">
        <v>44150</v>
      </c>
      <c r="HDN37" s="1551"/>
      <c r="HDO37" s="1551">
        <v>44150</v>
      </c>
      <c r="HDP37" s="1551">
        <v>44150</v>
      </c>
      <c r="HDQ37" s="1551"/>
      <c r="HDR37" s="1551">
        <v>44150</v>
      </c>
      <c r="HDS37" s="1551"/>
      <c r="HDT37" s="1551">
        <v>44150</v>
      </c>
      <c r="HDU37" s="1551"/>
      <c r="HDV37" s="1551">
        <v>44150</v>
      </c>
      <c r="HDW37" s="1551">
        <v>44150</v>
      </c>
      <c r="HDX37" s="1551"/>
      <c r="HDY37" s="1551">
        <v>44150</v>
      </c>
      <c r="HDZ37" s="1551"/>
      <c r="HEA37" s="1551">
        <v>44150</v>
      </c>
      <c r="HEB37" s="1551"/>
      <c r="HEC37" s="1551">
        <v>44150</v>
      </c>
      <c r="HED37" s="1551">
        <v>44150</v>
      </c>
      <c r="HEE37" s="1551"/>
      <c r="HEF37" s="1551">
        <v>44150</v>
      </c>
      <c r="HEG37" s="1551"/>
      <c r="HEH37" s="1551">
        <v>44150</v>
      </c>
      <c r="HEI37" s="1551"/>
      <c r="HEJ37" s="1551">
        <v>44150</v>
      </c>
      <c r="HEK37" s="1551">
        <v>44150</v>
      </c>
      <c r="HEL37" s="1551"/>
      <c r="HEM37" s="1551">
        <v>44150</v>
      </c>
      <c r="HEN37" s="1551"/>
      <c r="HEO37" s="1551">
        <v>44150</v>
      </c>
      <c r="HEP37" s="1551"/>
      <c r="HEQ37" s="1551">
        <v>44150</v>
      </c>
      <c r="HER37" s="1551">
        <v>44150</v>
      </c>
      <c r="HES37" s="1551"/>
      <c r="HET37" s="1551">
        <v>44150</v>
      </c>
      <c r="HEU37" s="1551"/>
      <c r="HEV37" s="1551">
        <v>44150</v>
      </c>
      <c r="HEW37" s="1551"/>
      <c r="HEX37" s="1551">
        <v>44150</v>
      </c>
      <c r="HEY37" s="1551">
        <v>44150</v>
      </c>
      <c r="HEZ37" s="1551"/>
      <c r="HFA37" s="1551">
        <v>44150</v>
      </c>
      <c r="HFB37" s="1551"/>
      <c r="HFC37" s="1551">
        <v>44150</v>
      </c>
      <c r="HFD37" s="1551"/>
      <c r="HFE37" s="1551">
        <v>44150</v>
      </c>
      <c r="HFF37" s="1551">
        <v>44150</v>
      </c>
      <c r="HFG37" s="1551"/>
      <c r="HFH37" s="1551">
        <v>44150</v>
      </c>
      <c r="HFI37" s="1551"/>
      <c r="HFJ37" s="1551">
        <v>44150</v>
      </c>
      <c r="HFK37" s="1551"/>
      <c r="HFL37" s="1551">
        <v>44150</v>
      </c>
      <c r="HFM37" s="1551">
        <v>44150</v>
      </c>
      <c r="HFN37" s="1551"/>
      <c r="HFO37" s="1551">
        <v>44150</v>
      </c>
      <c r="HFP37" s="1551"/>
      <c r="HFQ37" s="1551">
        <v>44150</v>
      </c>
      <c r="HFR37" s="1551"/>
      <c r="HFS37" s="1551">
        <v>44150</v>
      </c>
      <c r="HFT37" s="1551">
        <v>44150</v>
      </c>
      <c r="HFU37" s="1551"/>
      <c r="HFV37" s="1551">
        <v>44150</v>
      </c>
      <c r="HFW37" s="1551"/>
      <c r="HFX37" s="1551">
        <v>44150</v>
      </c>
      <c r="HFY37" s="1551"/>
      <c r="HFZ37" s="1551">
        <v>44150</v>
      </c>
      <c r="HGA37" s="1551">
        <v>44150</v>
      </c>
      <c r="HGB37" s="1551"/>
      <c r="HGC37" s="1551">
        <v>44150</v>
      </c>
      <c r="HGD37" s="1551"/>
      <c r="HGE37" s="1551">
        <v>44150</v>
      </c>
      <c r="HGF37" s="1551"/>
      <c r="HGG37" s="1551">
        <v>44150</v>
      </c>
      <c r="HGH37" s="1551">
        <v>44150</v>
      </c>
      <c r="HGI37" s="1551"/>
      <c r="HGJ37" s="1551">
        <v>44150</v>
      </c>
      <c r="HGK37" s="1551"/>
      <c r="HGL37" s="1551">
        <v>44150</v>
      </c>
      <c r="HGM37" s="1551"/>
      <c r="HGN37" s="1551">
        <v>44150</v>
      </c>
      <c r="HGO37" s="1551">
        <v>44150</v>
      </c>
      <c r="HGP37" s="1551"/>
      <c r="HGQ37" s="1551">
        <v>44150</v>
      </c>
      <c r="HGR37" s="1551"/>
      <c r="HGS37" s="1551">
        <v>44150</v>
      </c>
      <c r="HGT37" s="1551"/>
      <c r="HGU37" s="1551">
        <v>44150</v>
      </c>
      <c r="HGV37" s="1551">
        <v>44150</v>
      </c>
      <c r="HGW37" s="1551"/>
      <c r="HGX37" s="1551">
        <v>44150</v>
      </c>
      <c r="HGY37" s="1551"/>
      <c r="HGZ37" s="1551">
        <v>44150</v>
      </c>
      <c r="HHA37" s="1551"/>
      <c r="HHB37" s="1551">
        <v>44150</v>
      </c>
      <c r="HHC37" s="1551">
        <v>44150</v>
      </c>
      <c r="HHD37" s="1551"/>
      <c r="HHE37" s="1551">
        <v>44150</v>
      </c>
      <c r="HHF37" s="1551"/>
      <c r="HHG37" s="1551">
        <v>44150</v>
      </c>
      <c r="HHH37" s="1551"/>
      <c r="HHI37" s="1551">
        <v>44150</v>
      </c>
      <c r="HHJ37" s="1551">
        <v>44150</v>
      </c>
      <c r="HHK37" s="1551"/>
      <c r="HHL37" s="1551">
        <v>44150</v>
      </c>
      <c r="HHM37" s="1551"/>
      <c r="HHN37" s="1551">
        <v>44150</v>
      </c>
      <c r="HHO37" s="1551"/>
      <c r="HHP37" s="1551">
        <v>44150</v>
      </c>
      <c r="HHQ37" s="1551">
        <v>44150</v>
      </c>
      <c r="HHR37" s="1551"/>
      <c r="HHS37" s="1551">
        <v>44150</v>
      </c>
      <c r="HHT37" s="1551"/>
      <c r="HHU37" s="1551">
        <v>44150</v>
      </c>
      <c r="HHV37" s="1551"/>
      <c r="HHW37" s="1551">
        <v>44150</v>
      </c>
      <c r="HHX37" s="1551">
        <v>44150</v>
      </c>
      <c r="HHY37" s="1551"/>
      <c r="HHZ37" s="1551">
        <v>44150</v>
      </c>
      <c r="HIA37" s="1551"/>
      <c r="HIB37" s="1551">
        <v>44150</v>
      </c>
      <c r="HIC37" s="1551"/>
      <c r="HID37" s="1551">
        <v>44150</v>
      </c>
      <c r="HIE37" s="1551">
        <v>44150</v>
      </c>
      <c r="HIF37" s="1551"/>
      <c r="HIG37" s="1551">
        <v>44150</v>
      </c>
      <c r="HIH37" s="1551"/>
      <c r="HII37" s="1551">
        <v>44150</v>
      </c>
      <c r="HIJ37" s="1551"/>
      <c r="HIK37" s="1551">
        <v>44150</v>
      </c>
      <c r="HIL37" s="1551">
        <v>44150</v>
      </c>
      <c r="HIM37" s="1551"/>
      <c r="HIN37" s="1551">
        <v>44150</v>
      </c>
      <c r="HIO37" s="1551"/>
      <c r="HIP37" s="1551">
        <v>44150</v>
      </c>
      <c r="HIQ37" s="1551"/>
      <c r="HIR37" s="1551">
        <v>44150</v>
      </c>
      <c r="HIS37" s="1551">
        <v>44150</v>
      </c>
      <c r="HIT37" s="1551"/>
      <c r="HIU37" s="1551">
        <v>44150</v>
      </c>
      <c r="HIV37" s="1551"/>
      <c r="HIW37" s="1551">
        <v>44150</v>
      </c>
      <c r="HIX37" s="1551"/>
      <c r="HIY37" s="1551">
        <v>44150</v>
      </c>
      <c r="HIZ37" s="1551">
        <v>44150</v>
      </c>
      <c r="HJA37" s="1551"/>
      <c r="HJB37" s="1551">
        <v>44150</v>
      </c>
      <c r="HJC37" s="1551"/>
      <c r="HJD37" s="1551">
        <v>44150</v>
      </c>
      <c r="HJE37" s="1551"/>
      <c r="HJF37" s="1551">
        <v>44150</v>
      </c>
      <c r="HJG37" s="1551">
        <v>44150</v>
      </c>
      <c r="HJH37" s="1551"/>
      <c r="HJI37" s="1551">
        <v>44150</v>
      </c>
      <c r="HJJ37" s="1551"/>
      <c r="HJK37" s="1551">
        <v>44150</v>
      </c>
      <c r="HJL37" s="1551"/>
      <c r="HJM37" s="1551">
        <v>44150</v>
      </c>
      <c r="HJN37" s="1551">
        <v>44150</v>
      </c>
      <c r="HJO37" s="1551"/>
      <c r="HJP37" s="1551">
        <v>44150</v>
      </c>
      <c r="HJQ37" s="1551"/>
      <c r="HJR37" s="1551">
        <v>44150</v>
      </c>
      <c r="HJS37" s="1551"/>
      <c r="HJT37" s="1551">
        <v>44150</v>
      </c>
      <c r="HJU37" s="1551">
        <v>44150</v>
      </c>
      <c r="HJV37" s="1551"/>
      <c r="HJW37" s="1551">
        <v>44150</v>
      </c>
      <c r="HJX37" s="1551"/>
      <c r="HJY37" s="1551">
        <v>44150</v>
      </c>
      <c r="HJZ37" s="1551"/>
      <c r="HKA37" s="1551">
        <v>44150</v>
      </c>
      <c r="HKB37" s="1551">
        <v>44150</v>
      </c>
      <c r="HKC37" s="1551"/>
      <c r="HKD37" s="1551">
        <v>44150</v>
      </c>
      <c r="HKE37" s="1551"/>
      <c r="HKF37" s="1551">
        <v>44150</v>
      </c>
      <c r="HKG37" s="1551"/>
      <c r="HKH37" s="1551">
        <v>44150</v>
      </c>
      <c r="HKI37" s="1551">
        <v>44150</v>
      </c>
      <c r="HKJ37" s="1551"/>
      <c r="HKK37" s="1551">
        <v>44150</v>
      </c>
      <c r="HKL37" s="1551"/>
      <c r="HKM37" s="1551">
        <v>44150</v>
      </c>
      <c r="HKN37" s="1551"/>
      <c r="HKO37" s="1551">
        <v>44150</v>
      </c>
      <c r="HKP37" s="1551">
        <v>44150</v>
      </c>
      <c r="HKQ37" s="1551"/>
      <c r="HKR37" s="1551">
        <v>44150</v>
      </c>
      <c r="HKS37" s="1551"/>
      <c r="HKT37" s="1551">
        <v>44150</v>
      </c>
      <c r="HKU37" s="1551"/>
      <c r="HKV37" s="1551">
        <v>44150</v>
      </c>
      <c r="HKW37" s="1551">
        <v>44150</v>
      </c>
      <c r="HKX37" s="1551"/>
      <c r="HKY37" s="1551">
        <v>44150</v>
      </c>
      <c r="HKZ37" s="1551"/>
      <c r="HLA37" s="1551">
        <v>44150</v>
      </c>
      <c r="HLB37" s="1551"/>
      <c r="HLC37" s="1551">
        <v>44150</v>
      </c>
      <c r="HLD37" s="1551">
        <v>44150</v>
      </c>
      <c r="HLE37" s="1551"/>
      <c r="HLF37" s="1551">
        <v>44150</v>
      </c>
      <c r="HLG37" s="1551"/>
      <c r="HLH37" s="1551">
        <v>44150</v>
      </c>
      <c r="HLI37" s="1551"/>
      <c r="HLJ37" s="1551">
        <v>44150</v>
      </c>
      <c r="HLK37" s="1551">
        <v>44150</v>
      </c>
      <c r="HLL37" s="1551"/>
      <c r="HLM37" s="1551">
        <v>44150</v>
      </c>
      <c r="HLN37" s="1551"/>
      <c r="HLO37" s="1551">
        <v>44150</v>
      </c>
      <c r="HLP37" s="1551"/>
      <c r="HLQ37" s="1551">
        <v>44150</v>
      </c>
      <c r="HLR37" s="1551">
        <v>44150</v>
      </c>
      <c r="HLS37" s="1551"/>
      <c r="HLT37" s="1551">
        <v>44150</v>
      </c>
      <c r="HLU37" s="1551"/>
      <c r="HLV37" s="1551">
        <v>44150</v>
      </c>
      <c r="HLW37" s="1551"/>
      <c r="HLX37" s="1551">
        <v>44150</v>
      </c>
      <c r="HLY37" s="1551">
        <v>44150</v>
      </c>
      <c r="HLZ37" s="1551"/>
      <c r="HMA37" s="1551">
        <v>44150</v>
      </c>
      <c r="HMB37" s="1551"/>
      <c r="HMC37" s="1551">
        <v>44150</v>
      </c>
      <c r="HMD37" s="1551"/>
      <c r="HME37" s="1551">
        <v>44150</v>
      </c>
      <c r="HMF37" s="1551">
        <v>44150</v>
      </c>
      <c r="HMG37" s="1551"/>
      <c r="HMH37" s="1551">
        <v>44150</v>
      </c>
      <c r="HMI37" s="1551"/>
      <c r="HMJ37" s="1551">
        <v>44150</v>
      </c>
      <c r="HMK37" s="1551"/>
      <c r="HML37" s="1551">
        <v>44150</v>
      </c>
      <c r="HMM37" s="1551">
        <v>44150</v>
      </c>
      <c r="HMN37" s="1551"/>
      <c r="HMO37" s="1551">
        <v>44150</v>
      </c>
      <c r="HMP37" s="1551"/>
      <c r="HMQ37" s="1551">
        <v>44150</v>
      </c>
      <c r="HMR37" s="1551"/>
      <c r="HMS37" s="1551">
        <v>44150</v>
      </c>
      <c r="HMT37" s="1551">
        <v>44150</v>
      </c>
      <c r="HMU37" s="1551"/>
      <c r="HMV37" s="1551">
        <v>44150</v>
      </c>
      <c r="HMW37" s="1551"/>
      <c r="HMX37" s="1551">
        <v>44150</v>
      </c>
      <c r="HMY37" s="1551"/>
      <c r="HMZ37" s="1551">
        <v>44150</v>
      </c>
      <c r="HNA37" s="1551">
        <v>44150</v>
      </c>
      <c r="HNB37" s="1551"/>
      <c r="HNC37" s="1551">
        <v>44150</v>
      </c>
      <c r="HND37" s="1551"/>
      <c r="HNE37" s="1551">
        <v>44150</v>
      </c>
      <c r="HNF37" s="1551"/>
      <c r="HNG37" s="1551">
        <v>44150</v>
      </c>
      <c r="HNH37" s="1551">
        <v>44150</v>
      </c>
      <c r="HNI37" s="1551"/>
      <c r="HNJ37" s="1551">
        <v>44150</v>
      </c>
      <c r="HNK37" s="1551"/>
      <c r="HNL37" s="1551">
        <v>44150</v>
      </c>
      <c r="HNM37" s="1551"/>
      <c r="HNN37" s="1551">
        <v>44150</v>
      </c>
      <c r="HNO37" s="1551">
        <v>44150</v>
      </c>
      <c r="HNP37" s="1551"/>
      <c r="HNQ37" s="1551">
        <v>44150</v>
      </c>
      <c r="HNR37" s="1551"/>
      <c r="HNS37" s="1551">
        <v>44150</v>
      </c>
      <c r="HNT37" s="1551"/>
      <c r="HNU37" s="1551">
        <v>44150</v>
      </c>
      <c r="HNV37" s="1551">
        <v>44150</v>
      </c>
      <c r="HNW37" s="1551"/>
      <c r="HNX37" s="1551">
        <v>44150</v>
      </c>
      <c r="HNY37" s="1551"/>
      <c r="HNZ37" s="1551">
        <v>44150</v>
      </c>
      <c r="HOA37" s="1551"/>
      <c r="HOB37" s="1551">
        <v>44150</v>
      </c>
      <c r="HOC37" s="1551">
        <v>44150</v>
      </c>
      <c r="HOD37" s="1551"/>
      <c r="HOE37" s="1551">
        <v>44150</v>
      </c>
      <c r="HOF37" s="1551"/>
      <c r="HOG37" s="1551">
        <v>44150</v>
      </c>
      <c r="HOH37" s="1551"/>
      <c r="HOI37" s="1551">
        <v>44150</v>
      </c>
      <c r="HOJ37" s="1551">
        <v>44150</v>
      </c>
      <c r="HOK37" s="1551"/>
      <c r="HOL37" s="1551">
        <v>44150</v>
      </c>
      <c r="HOM37" s="1551"/>
      <c r="HON37" s="1551">
        <v>44150</v>
      </c>
      <c r="HOO37" s="1551"/>
      <c r="HOP37" s="1551">
        <v>44150</v>
      </c>
      <c r="HOQ37" s="1551">
        <v>44150</v>
      </c>
      <c r="HOR37" s="1551"/>
      <c r="HOS37" s="1551">
        <v>44150</v>
      </c>
      <c r="HOT37" s="1551"/>
      <c r="HOU37" s="1551">
        <v>44150</v>
      </c>
      <c r="HOV37" s="1551"/>
      <c r="HOW37" s="1551">
        <v>44150</v>
      </c>
      <c r="HOX37" s="1551">
        <v>44150</v>
      </c>
      <c r="HOY37" s="1551"/>
      <c r="HOZ37" s="1551">
        <v>44150</v>
      </c>
      <c r="HPA37" s="1551"/>
      <c r="HPB37" s="1551">
        <v>44150</v>
      </c>
      <c r="HPC37" s="1551"/>
      <c r="HPD37" s="1551">
        <v>44150</v>
      </c>
      <c r="HPE37" s="1551">
        <v>44150</v>
      </c>
      <c r="HPF37" s="1551"/>
      <c r="HPG37" s="1551">
        <v>44150</v>
      </c>
      <c r="HPH37" s="1551"/>
      <c r="HPI37" s="1551">
        <v>44150</v>
      </c>
      <c r="HPJ37" s="1551"/>
      <c r="HPK37" s="1551">
        <v>44150</v>
      </c>
      <c r="HPL37" s="1551">
        <v>44150</v>
      </c>
      <c r="HPM37" s="1551"/>
      <c r="HPN37" s="1551">
        <v>44150</v>
      </c>
      <c r="HPO37" s="1551"/>
      <c r="HPP37" s="1551">
        <v>44150</v>
      </c>
      <c r="HPQ37" s="1551"/>
      <c r="HPR37" s="1551">
        <v>44150</v>
      </c>
      <c r="HPS37" s="1551">
        <v>44150</v>
      </c>
      <c r="HPT37" s="1551"/>
      <c r="HPU37" s="1551">
        <v>44150</v>
      </c>
      <c r="HPV37" s="1551"/>
      <c r="HPW37" s="1551">
        <v>44150</v>
      </c>
      <c r="HPX37" s="1551"/>
      <c r="HPY37" s="1551">
        <v>44150</v>
      </c>
      <c r="HPZ37" s="1551">
        <v>44150</v>
      </c>
      <c r="HQA37" s="1551"/>
      <c r="HQB37" s="1551">
        <v>44150</v>
      </c>
      <c r="HQC37" s="1551"/>
      <c r="HQD37" s="1551">
        <v>44150</v>
      </c>
      <c r="HQE37" s="1551"/>
      <c r="HQF37" s="1551">
        <v>44150</v>
      </c>
      <c r="HQG37" s="1551">
        <v>44150</v>
      </c>
      <c r="HQH37" s="1551"/>
      <c r="HQI37" s="1551">
        <v>44150</v>
      </c>
      <c r="HQJ37" s="1551"/>
      <c r="HQK37" s="1551">
        <v>44150</v>
      </c>
      <c r="HQL37" s="1551"/>
      <c r="HQM37" s="1551">
        <v>44150</v>
      </c>
      <c r="HQN37" s="1551">
        <v>44150</v>
      </c>
      <c r="HQO37" s="1551"/>
      <c r="HQP37" s="1551">
        <v>44150</v>
      </c>
      <c r="HQQ37" s="1551"/>
      <c r="HQR37" s="1551">
        <v>44150</v>
      </c>
      <c r="HQS37" s="1551"/>
      <c r="HQT37" s="1551">
        <v>44150</v>
      </c>
      <c r="HQU37" s="1551">
        <v>44150</v>
      </c>
      <c r="HQV37" s="1551"/>
      <c r="HQW37" s="1551">
        <v>44150</v>
      </c>
      <c r="HQX37" s="1551"/>
      <c r="HQY37" s="1551">
        <v>44150</v>
      </c>
      <c r="HQZ37" s="1551"/>
      <c r="HRA37" s="1551">
        <v>44150</v>
      </c>
      <c r="HRB37" s="1551">
        <v>44150</v>
      </c>
      <c r="HRC37" s="1551"/>
      <c r="HRD37" s="1551">
        <v>44150</v>
      </c>
      <c r="HRE37" s="1551"/>
      <c r="HRF37" s="1551">
        <v>44150</v>
      </c>
      <c r="HRG37" s="1551"/>
      <c r="HRH37" s="1551">
        <v>44150</v>
      </c>
      <c r="HRI37" s="1551">
        <v>44150</v>
      </c>
      <c r="HRJ37" s="1551"/>
      <c r="HRK37" s="1551">
        <v>44150</v>
      </c>
      <c r="HRL37" s="1551"/>
      <c r="HRM37" s="1551">
        <v>44150</v>
      </c>
      <c r="HRN37" s="1551"/>
      <c r="HRO37" s="1551">
        <v>44150</v>
      </c>
      <c r="HRP37" s="1551">
        <v>44150</v>
      </c>
      <c r="HRQ37" s="1551"/>
      <c r="HRR37" s="1551">
        <v>44150</v>
      </c>
      <c r="HRS37" s="1551"/>
      <c r="HRT37" s="1551">
        <v>44150</v>
      </c>
      <c r="HRU37" s="1551"/>
      <c r="HRV37" s="1551">
        <v>44150</v>
      </c>
      <c r="HRW37" s="1551">
        <v>44150</v>
      </c>
      <c r="HRX37" s="1551"/>
      <c r="HRY37" s="1551">
        <v>44150</v>
      </c>
      <c r="HRZ37" s="1551"/>
      <c r="HSA37" s="1551">
        <v>44150</v>
      </c>
      <c r="HSB37" s="1551"/>
      <c r="HSC37" s="1551">
        <v>44150</v>
      </c>
      <c r="HSD37" s="1551">
        <v>44150</v>
      </c>
      <c r="HSE37" s="1551"/>
      <c r="HSF37" s="1551">
        <v>44150</v>
      </c>
      <c r="HSG37" s="1551"/>
      <c r="HSH37" s="1551">
        <v>44150</v>
      </c>
      <c r="HSI37" s="1551"/>
      <c r="HSJ37" s="1551">
        <v>44150</v>
      </c>
      <c r="HSK37" s="1551">
        <v>44150</v>
      </c>
      <c r="HSL37" s="1551"/>
      <c r="HSM37" s="1551">
        <v>44150</v>
      </c>
      <c r="HSN37" s="1551"/>
      <c r="HSO37" s="1551">
        <v>44150</v>
      </c>
      <c r="HSP37" s="1551"/>
      <c r="HSQ37" s="1551">
        <v>44150</v>
      </c>
      <c r="HSR37" s="1551">
        <v>44150</v>
      </c>
      <c r="HSS37" s="1551"/>
      <c r="HST37" s="1551">
        <v>44150</v>
      </c>
      <c r="HSU37" s="1551"/>
      <c r="HSV37" s="1551">
        <v>44150</v>
      </c>
      <c r="HSW37" s="1551"/>
      <c r="HSX37" s="1551">
        <v>44150</v>
      </c>
      <c r="HSY37" s="1551">
        <v>44150</v>
      </c>
      <c r="HSZ37" s="1551"/>
      <c r="HTA37" s="1551">
        <v>44150</v>
      </c>
      <c r="HTB37" s="1551"/>
      <c r="HTC37" s="1551">
        <v>44150</v>
      </c>
      <c r="HTD37" s="1551"/>
      <c r="HTE37" s="1551">
        <v>44150</v>
      </c>
      <c r="HTF37" s="1551">
        <v>44150</v>
      </c>
      <c r="HTG37" s="1551"/>
      <c r="HTH37" s="1551">
        <v>44150</v>
      </c>
      <c r="HTI37" s="1551"/>
      <c r="HTJ37" s="1551">
        <v>44150</v>
      </c>
      <c r="HTK37" s="1551"/>
      <c r="HTL37" s="1551">
        <v>44150</v>
      </c>
      <c r="HTM37" s="1551">
        <v>44150</v>
      </c>
      <c r="HTN37" s="1551"/>
      <c r="HTO37" s="1551">
        <v>44150</v>
      </c>
      <c r="HTP37" s="1551"/>
      <c r="HTQ37" s="1551">
        <v>44150</v>
      </c>
      <c r="HTR37" s="1551"/>
      <c r="HTS37" s="1551">
        <v>44150</v>
      </c>
      <c r="HTT37" s="1551">
        <v>44150</v>
      </c>
      <c r="HTU37" s="1551"/>
      <c r="HTV37" s="1551">
        <v>44150</v>
      </c>
      <c r="HTW37" s="1551"/>
      <c r="HTX37" s="1551">
        <v>44150</v>
      </c>
      <c r="HTY37" s="1551"/>
      <c r="HTZ37" s="1551">
        <v>44150</v>
      </c>
      <c r="HUA37" s="1551">
        <v>44150</v>
      </c>
      <c r="HUB37" s="1551"/>
      <c r="HUC37" s="1551">
        <v>44150</v>
      </c>
      <c r="HUD37" s="1551"/>
      <c r="HUE37" s="1551">
        <v>44150</v>
      </c>
      <c r="HUF37" s="1551"/>
      <c r="HUG37" s="1551">
        <v>44150</v>
      </c>
      <c r="HUH37" s="1551">
        <v>44150</v>
      </c>
      <c r="HUI37" s="1551"/>
      <c r="HUJ37" s="1551">
        <v>44150</v>
      </c>
      <c r="HUK37" s="1551"/>
      <c r="HUL37" s="1551">
        <v>44150</v>
      </c>
      <c r="HUM37" s="1551"/>
      <c r="HUN37" s="1551">
        <v>44150</v>
      </c>
      <c r="HUO37" s="1551">
        <v>44150</v>
      </c>
      <c r="HUP37" s="1551"/>
      <c r="HUQ37" s="1551">
        <v>44150</v>
      </c>
      <c r="HUR37" s="1551"/>
      <c r="HUS37" s="1551">
        <v>44150</v>
      </c>
      <c r="HUT37" s="1551"/>
      <c r="HUU37" s="1551">
        <v>44150</v>
      </c>
      <c r="HUV37" s="1551">
        <v>44150</v>
      </c>
      <c r="HUW37" s="1551"/>
      <c r="HUX37" s="1551">
        <v>44150</v>
      </c>
      <c r="HUY37" s="1551"/>
      <c r="HUZ37" s="1551">
        <v>44150</v>
      </c>
      <c r="HVA37" s="1551"/>
      <c r="HVB37" s="1551">
        <v>44150</v>
      </c>
      <c r="HVC37" s="1551">
        <v>44150</v>
      </c>
      <c r="HVD37" s="1551"/>
      <c r="HVE37" s="1551">
        <v>44150</v>
      </c>
      <c r="HVF37" s="1551"/>
      <c r="HVG37" s="1551">
        <v>44150</v>
      </c>
      <c r="HVH37" s="1551"/>
      <c r="HVI37" s="1551">
        <v>44150</v>
      </c>
      <c r="HVJ37" s="1551">
        <v>44150</v>
      </c>
      <c r="HVK37" s="1551"/>
      <c r="HVL37" s="1551">
        <v>44150</v>
      </c>
      <c r="HVM37" s="1551"/>
      <c r="HVN37" s="1551">
        <v>44150</v>
      </c>
      <c r="HVO37" s="1551"/>
      <c r="HVP37" s="1551">
        <v>44150</v>
      </c>
      <c r="HVQ37" s="1551">
        <v>44150</v>
      </c>
      <c r="HVR37" s="1551"/>
      <c r="HVS37" s="1551">
        <v>44150</v>
      </c>
      <c r="HVT37" s="1551"/>
      <c r="HVU37" s="1551">
        <v>44150</v>
      </c>
      <c r="HVV37" s="1551"/>
      <c r="HVW37" s="1551">
        <v>44150</v>
      </c>
      <c r="HVX37" s="1551">
        <v>44150</v>
      </c>
      <c r="HVY37" s="1551"/>
      <c r="HVZ37" s="1551">
        <v>44150</v>
      </c>
      <c r="HWA37" s="1551"/>
      <c r="HWB37" s="1551">
        <v>44150</v>
      </c>
      <c r="HWC37" s="1551"/>
      <c r="HWD37" s="1551">
        <v>44150</v>
      </c>
      <c r="HWE37" s="1551">
        <v>44150</v>
      </c>
      <c r="HWF37" s="1551"/>
      <c r="HWG37" s="1551">
        <v>44150</v>
      </c>
      <c r="HWH37" s="1551"/>
      <c r="HWI37" s="1551">
        <v>44150</v>
      </c>
      <c r="HWJ37" s="1551"/>
      <c r="HWK37" s="1551">
        <v>44150</v>
      </c>
      <c r="HWL37" s="1551">
        <v>44150</v>
      </c>
      <c r="HWM37" s="1551"/>
      <c r="HWN37" s="1551">
        <v>44150</v>
      </c>
      <c r="HWO37" s="1551"/>
      <c r="HWP37" s="1551">
        <v>44150</v>
      </c>
      <c r="HWQ37" s="1551"/>
      <c r="HWR37" s="1551">
        <v>44150</v>
      </c>
      <c r="HWS37" s="1551">
        <v>44150</v>
      </c>
      <c r="HWT37" s="1551"/>
      <c r="HWU37" s="1551">
        <v>44150</v>
      </c>
      <c r="HWV37" s="1551"/>
      <c r="HWW37" s="1551">
        <v>44150</v>
      </c>
      <c r="HWX37" s="1551"/>
      <c r="HWY37" s="1551">
        <v>44150</v>
      </c>
      <c r="HWZ37" s="1551">
        <v>44150</v>
      </c>
      <c r="HXA37" s="1551"/>
      <c r="HXB37" s="1551">
        <v>44150</v>
      </c>
      <c r="HXC37" s="1551"/>
      <c r="HXD37" s="1551">
        <v>44150</v>
      </c>
      <c r="HXE37" s="1551"/>
      <c r="HXF37" s="1551">
        <v>44150</v>
      </c>
      <c r="HXG37" s="1551">
        <v>44150</v>
      </c>
      <c r="HXH37" s="1551"/>
      <c r="HXI37" s="1551">
        <v>44150</v>
      </c>
      <c r="HXJ37" s="1551"/>
      <c r="HXK37" s="1551">
        <v>44150</v>
      </c>
      <c r="HXL37" s="1551"/>
      <c r="HXM37" s="1551">
        <v>44150</v>
      </c>
      <c r="HXN37" s="1551">
        <v>44150</v>
      </c>
      <c r="HXO37" s="1551"/>
      <c r="HXP37" s="1551">
        <v>44150</v>
      </c>
      <c r="HXQ37" s="1551"/>
      <c r="HXR37" s="1551">
        <v>44150</v>
      </c>
      <c r="HXS37" s="1551"/>
      <c r="HXT37" s="1551">
        <v>44150</v>
      </c>
      <c r="HXU37" s="1551">
        <v>44150</v>
      </c>
      <c r="HXV37" s="1551"/>
      <c r="HXW37" s="1551">
        <v>44150</v>
      </c>
      <c r="HXX37" s="1551"/>
      <c r="HXY37" s="1551">
        <v>44150</v>
      </c>
      <c r="HXZ37" s="1551"/>
      <c r="HYA37" s="1551">
        <v>44150</v>
      </c>
      <c r="HYB37" s="1551">
        <v>44150</v>
      </c>
      <c r="HYC37" s="1551"/>
      <c r="HYD37" s="1551">
        <v>44150</v>
      </c>
      <c r="HYE37" s="1551"/>
      <c r="HYF37" s="1551">
        <v>44150</v>
      </c>
      <c r="HYG37" s="1551"/>
      <c r="HYH37" s="1551">
        <v>44150</v>
      </c>
      <c r="HYI37" s="1551">
        <v>44150</v>
      </c>
      <c r="HYJ37" s="1551"/>
      <c r="HYK37" s="1551">
        <v>44150</v>
      </c>
      <c r="HYL37" s="1551"/>
      <c r="HYM37" s="1551">
        <v>44150</v>
      </c>
      <c r="HYN37" s="1551"/>
      <c r="HYO37" s="1551">
        <v>44150</v>
      </c>
      <c r="HYP37" s="1551">
        <v>44150</v>
      </c>
      <c r="HYQ37" s="1551"/>
      <c r="HYR37" s="1551">
        <v>44150</v>
      </c>
      <c r="HYS37" s="1551"/>
      <c r="HYT37" s="1551">
        <v>44150</v>
      </c>
      <c r="HYU37" s="1551"/>
      <c r="HYV37" s="1551">
        <v>44150</v>
      </c>
      <c r="HYW37" s="1551">
        <v>44150</v>
      </c>
      <c r="HYX37" s="1551"/>
      <c r="HYY37" s="1551">
        <v>44150</v>
      </c>
      <c r="HYZ37" s="1551"/>
      <c r="HZA37" s="1551">
        <v>44150</v>
      </c>
      <c r="HZB37" s="1551"/>
      <c r="HZC37" s="1551">
        <v>44150</v>
      </c>
      <c r="HZD37" s="1551">
        <v>44150</v>
      </c>
      <c r="HZE37" s="1551"/>
      <c r="HZF37" s="1551">
        <v>44150</v>
      </c>
      <c r="HZG37" s="1551"/>
      <c r="HZH37" s="1551">
        <v>44150</v>
      </c>
      <c r="HZI37" s="1551"/>
      <c r="HZJ37" s="1551">
        <v>44150</v>
      </c>
      <c r="HZK37" s="1551">
        <v>44150</v>
      </c>
      <c r="HZL37" s="1551"/>
      <c r="HZM37" s="1551">
        <v>44150</v>
      </c>
      <c r="HZN37" s="1551"/>
      <c r="HZO37" s="1551">
        <v>44150</v>
      </c>
      <c r="HZP37" s="1551"/>
      <c r="HZQ37" s="1551">
        <v>44150</v>
      </c>
      <c r="HZR37" s="1551">
        <v>44150</v>
      </c>
      <c r="HZS37" s="1551"/>
      <c r="HZT37" s="1551">
        <v>44150</v>
      </c>
      <c r="HZU37" s="1551"/>
      <c r="HZV37" s="1551">
        <v>44150</v>
      </c>
      <c r="HZW37" s="1551"/>
      <c r="HZX37" s="1551">
        <v>44150</v>
      </c>
      <c r="HZY37" s="1551">
        <v>44150</v>
      </c>
      <c r="HZZ37" s="1551"/>
      <c r="IAA37" s="1551">
        <v>44150</v>
      </c>
      <c r="IAB37" s="1551"/>
      <c r="IAC37" s="1551">
        <v>44150</v>
      </c>
      <c r="IAD37" s="1551"/>
      <c r="IAE37" s="1551">
        <v>44150</v>
      </c>
      <c r="IAF37" s="1551">
        <v>44150</v>
      </c>
      <c r="IAG37" s="1551"/>
      <c r="IAH37" s="1551">
        <v>44150</v>
      </c>
      <c r="IAI37" s="1551"/>
      <c r="IAJ37" s="1551">
        <v>44150</v>
      </c>
      <c r="IAK37" s="1551"/>
      <c r="IAL37" s="1551">
        <v>44150</v>
      </c>
      <c r="IAM37" s="1551">
        <v>44150</v>
      </c>
      <c r="IAN37" s="1551"/>
      <c r="IAO37" s="1551">
        <v>44150</v>
      </c>
      <c r="IAP37" s="1551"/>
      <c r="IAQ37" s="1551">
        <v>44150</v>
      </c>
      <c r="IAR37" s="1551"/>
      <c r="IAS37" s="1551">
        <v>44150</v>
      </c>
      <c r="IAT37" s="1551">
        <v>44150</v>
      </c>
      <c r="IAU37" s="1551"/>
      <c r="IAV37" s="1551">
        <v>44150</v>
      </c>
      <c r="IAW37" s="1551"/>
      <c r="IAX37" s="1551">
        <v>44150</v>
      </c>
      <c r="IAY37" s="1551"/>
      <c r="IAZ37" s="1551">
        <v>44150</v>
      </c>
      <c r="IBA37" s="1551">
        <v>44150</v>
      </c>
      <c r="IBB37" s="1551"/>
      <c r="IBC37" s="1551">
        <v>44150</v>
      </c>
      <c r="IBD37" s="1551"/>
      <c r="IBE37" s="1551">
        <v>44150</v>
      </c>
      <c r="IBF37" s="1551"/>
      <c r="IBG37" s="1551">
        <v>44150</v>
      </c>
      <c r="IBH37" s="1551">
        <v>44150</v>
      </c>
      <c r="IBI37" s="1551"/>
      <c r="IBJ37" s="1551">
        <v>44150</v>
      </c>
      <c r="IBK37" s="1551"/>
      <c r="IBL37" s="1551">
        <v>44150</v>
      </c>
      <c r="IBM37" s="1551"/>
      <c r="IBN37" s="1551">
        <v>44150</v>
      </c>
      <c r="IBO37" s="1551">
        <v>44150</v>
      </c>
      <c r="IBP37" s="1551"/>
      <c r="IBQ37" s="1551">
        <v>44150</v>
      </c>
      <c r="IBR37" s="1551"/>
      <c r="IBS37" s="1551">
        <v>44150</v>
      </c>
      <c r="IBT37" s="1551"/>
      <c r="IBU37" s="1551">
        <v>44150</v>
      </c>
      <c r="IBV37" s="1551">
        <v>44150</v>
      </c>
      <c r="IBW37" s="1551"/>
      <c r="IBX37" s="1551">
        <v>44150</v>
      </c>
      <c r="IBY37" s="1551"/>
      <c r="IBZ37" s="1551">
        <v>44150</v>
      </c>
      <c r="ICA37" s="1551"/>
      <c r="ICB37" s="1551">
        <v>44150</v>
      </c>
      <c r="ICC37" s="1551">
        <v>44150</v>
      </c>
      <c r="ICD37" s="1551"/>
      <c r="ICE37" s="1551">
        <v>44150</v>
      </c>
      <c r="ICF37" s="1551"/>
      <c r="ICG37" s="1551">
        <v>44150</v>
      </c>
      <c r="ICH37" s="1551"/>
      <c r="ICI37" s="1551">
        <v>44150</v>
      </c>
      <c r="ICJ37" s="1551">
        <v>44150</v>
      </c>
      <c r="ICK37" s="1551"/>
      <c r="ICL37" s="1551">
        <v>44150</v>
      </c>
      <c r="ICM37" s="1551"/>
      <c r="ICN37" s="1551">
        <v>44150</v>
      </c>
      <c r="ICO37" s="1551"/>
      <c r="ICP37" s="1551">
        <v>44150</v>
      </c>
      <c r="ICQ37" s="1551">
        <v>44150</v>
      </c>
      <c r="ICR37" s="1551"/>
      <c r="ICS37" s="1551">
        <v>44150</v>
      </c>
      <c r="ICT37" s="1551"/>
      <c r="ICU37" s="1551">
        <v>44150</v>
      </c>
      <c r="ICV37" s="1551"/>
      <c r="ICW37" s="1551">
        <v>44150</v>
      </c>
      <c r="ICX37" s="1551">
        <v>44150</v>
      </c>
      <c r="ICY37" s="1551"/>
      <c r="ICZ37" s="1551">
        <v>44150</v>
      </c>
      <c r="IDA37" s="1551"/>
      <c r="IDB37" s="1551">
        <v>44150</v>
      </c>
      <c r="IDC37" s="1551"/>
      <c r="IDD37" s="1551">
        <v>44150</v>
      </c>
      <c r="IDE37" s="1551">
        <v>44150</v>
      </c>
      <c r="IDF37" s="1551"/>
      <c r="IDG37" s="1551">
        <v>44150</v>
      </c>
      <c r="IDH37" s="1551"/>
      <c r="IDI37" s="1551">
        <v>44150</v>
      </c>
      <c r="IDJ37" s="1551"/>
      <c r="IDK37" s="1551">
        <v>44150</v>
      </c>
      <c r="IDL37" s="1551">
        <v>44150</v>
      </c>
      <c r="IDM37" s="1551"/>
      <c r="IDN37" s="1551">
        <v>44150</v>
      </c>
      <c r="IDO37" s="1551"/>
      <c r="IDP37" s="1551">
        <v>44150</v>
      </c>
      <c r="IDQ37" s="1551"/>
      <c r="IDR37" s="1551">
        <v>44150</v>
      </c>
      <c r="IDS37" s="1551">
        <v>44150</v>
      </c>
      <c r="IDT37" s="1551"/>
      <c r="IDU37" s="1551">
        <v>44150</v>
      </c>
      <c r="IDV37" s="1551"/>
      <c r="IDW37" s="1551">
        <v>44150</v>
      </c>
      <c r="IDX37" s="1551"/>
      <c r="IDY37" s="1551">
        <v>44150</v>
      </c>
      <c r="IDZ37" s="1551">
        <v>44150</v>
      </c>
      <c r="IEA37" s="1551"/>
      <c r="IEB37" s="1551">
        <v>44150</v>
      </c>
      <c r="IEC37" s="1551"/>
      <c r="IED37" s="1551">
        <v>44150</v>
      </c>
      <c r="IEE37" s="1551"/>
      <c r="IEF37" s="1551">
        <v>44150</v>
      </c>
      <c r="IEG37" s="1551">
        <v>44150</v>
      </c>
      <c r="IEH37" s="1551"/>
      <c r="IEI37" s="1551">
        <v>44150</v>
      </c>
      <c r="IEJ37" s="1551"/>
      <c r="IEK37" s="1551">
        <v>44150</v>
      </c>
      <c r="IEL37" s="1551"/>
      <c r="IEM37" s="1551">
        <v>44150</v>
      </c>
      <c r="IEN37" s="1551">
        <v>44150</v>
      </c>
      <c r="IEO37" s="1551"/>
      <c r="IEP37" s="1551">
        <v>44150</v>
      </c>
      <c r="IEQ37" s="1551"/>
      <c r="IER37" s="1551">
        <v>44150</v>
      </c>
      <c r="IES37" s="1551"/>
      <c r="IET37" s="1551">
        <v>44150</v>
      </c>
      <c r="IEU37" s="1551">
        <v>44150</v>
      </c>
      <c r="IEV37" s="1551"/>
      <c r="IEW37" s="1551">
        <v>44150</v>
      </c>
      <c r="IEX37" s="1551"/>
      <c r="IEY37" s="1551">
        <v>44150</v>
      </c>
      <c r="IEZ37" s="1551"/>
      <c r="IFA37" s="1551">
        <v>44150</v>
      </c>
      <c r="IFB37" s="1551">
        <v>44150</v>
      </c>
      <c r="IFC37" s="1551"/>
      <c r="IFD37" s="1551">
        <v>44150</v>
      </c>
      <c r="IFE37" s="1551"/>
      <c r="IFF37" s="1551">
        <v>44150</v>
      </c>
      <c r="IFG37" s="1551"/>
      <c r="IFH37" s="1551">
        <v>44150</v>
      </c>
      <c r="IFI37" s="1551">
        <v>44150</v>
      </c>
      <c r="IFJ37" s="1551"/>
      <c r="IFK37" s="1551">
        <v>44150</v>
      </c>
      <c r="IFL37" s="1551"/>
      <c r="IFM37" s="1551">
        <v>44150</v>
      </c>
      <c r="IFN37" s="1551"/>
      <c r="IFO37" s="1551">
        <v>44150</v>
      </c>
      <c r="IFP37" s="1551">
        <v>44150</v>
      </c>
      <c r="IFQ37" s="1551"/>
      <c r="IFR37" s="1551">
        <v>44150</v>
      </c>
      <c r="IFS37" s="1551"/>
      <c r="IFT37" s="1551">
        <v>44150</v>
      </c>
      <c r="IFU37" s="1551"/>
      <c r="IFV37" s="1551">
        <v>44150</v>
      </c>
      <c r="IFW37" s="1551">
        <v>44150</v>
      </c>
      <c r="IFX37" s="1551"/>
      <c r="IFY37" s="1551">
        <v>44150</v>
      </c>
      <c r="IFZ37" s="1551"/>
      <c r="IGA37" s="1551">
        <v>44150</v>
      </c>
      <c r="IGB37" s="1551"/>
      <c r="IGC37" s="1551">
        <v>44150</v>
      </c>
      <c r="IGD37" s="1551">
        <v>44150</v>
      </c>
      <c r="IGE37" s="1551"/>
      <c r="IGF37" s="1551">
        <v>44150</v>
      </c>
      <c r="IGG37" s="1551"/>
      <c r="IGH37" s="1551">
        <v>44150</v>
      </c>
      <c r="IGI37" s="1551"/>
      <c r="IGJ37" s="1551">
        <v>44150</v>
      </c>
      <c r="IGK37" s="1551">
        <v>44150</v>
      </c>
      <c r="IGL37" s="1551"/>
      <c r="IGM37" s="1551">
        <v>44150</v>
      </c>
      <c r="IGN37" s="1551"/>
      <c r="IGO37" s="1551">
        <v>44150</v>
      </c>
      <c r="IGP37" s="1551"/>
      <c r="IGQ37" s="1551">
        <v>44150</v>
      </c>
      <c r="IGR37" s="1551">
        <v>44150</v>
      </c>
      <c r="IGS37" s="1551"/>
      <c r="IGT37" s="1551">
        <v>44150</v>
      </c>
      <c r="IGU37" s="1551"/>
      <c r="IGV37" s="1551">
        <v>44150</v>
      </c>
      <c r="IGW37" s="1551"/>
      <c r="IGX37" s="1551">
        <v>44150</v>
      </c>
      <c r="IGY37" s="1551">
        <v>44150</v>
      </c>
      <c r="IGZ37" s="1551"/>
      <c r="IHA37" s="1551">
        <v>44150</v>
      </c>
      <c r="IHB37" s="1551"/>
      <c r="IHC37" s="1551">
        <v>44150</v>
      </c>
      <c r="IHD37" s="1551"/>
      <c r="IHE37" s="1551">
        <v>44150</v>
      </c>
      <c r="IHF37" s="1551">
        <v>44150</v>
      </c>
      <c r="IHG37" s="1551"/>
      <c r="IHH37" s="1551">
        <v>44150</v>
      </c>
      <c r="IHI37" s="1551"/>
      <c r="IHJ37" s="1551">
        <v>44150</v>
      </c>
      <c r="IHK37" s="1551"/>
      <c r="IHL37" s="1551">
        <v>44150</v>
      </c>
      <c r="IHM37" s="1551">
        <v>44150</v>
      </c>
      <c r="IHN37" s="1551"/>
      <c r="IHO37" s="1551">
        <v>44150</v>
      </c>
      <c r="IHP37" s="1551"/>
      <c r="IHQ37" s="1551">
        <v>44150</v>
      </c>
      <c r="IHR37" s="1551"/>
      <c r="IHS37" s="1551">
        <v>44150</v>
      </c>
      <c r="IHT37" s="1551">
        <v>44150</v>
      </c>
      <c r="IHU37" s="1551"/>
      <c r="IHV37" s="1551">
        <v>44150</v>
      </c>
      <c r="IHW37" s="1551"/>
      <c r="IHX37" s="1551">
        <v>44150</v>
      </c>
      <c r="IHY37" s="1551"/>
      <c r="IHZ37" s="1551">
        <v>44150</v>
      </c>
      <c r="IIA37" s="1551">
        <v>44150</v>
      </c>
      <c r="IIB37" s="1551"/>
      <c r="IIC37" s="1551">
        <v>44150</v>
      </c>
      <c r="IID37" s="1551"/>
      <c r="IIE37" s="1551">
        <v>44150</v>
      </c>
      <c r="IIF37" s="1551"/>
      <c r="IIG37" s="1551">
        <v>44150</v>
      </c>
      <c r="IIH37" s="1551">
        <v>44150</v>
      </c>
      <c r="III37" s="1551"/>
      <c r="IIJ37" s="1551">
        <v>44150</v>
      </c>
      <c r="IIK37" s="1551"/>
      <c r="IIL37" s="1551">
        <v>44150</v>
      </c>
      <c r="IIM37" s="1551"/>
      <c r="IIN37" s="1551">
        <v>44150</v>
      </c>
      <c r="IIO37" s="1551">
        <v>44150</v>
      </c>
      <c r="IIP37" s="1551"/>
      <c r="IIQ37" s="1551">
        <v>44150</v>
      </c>
      <c r="IIR37" s="1551"/>
      <c r="IIS37" s="1551">
        <v>44150</v>
      </c>
      <c r="IIT37" s="1551"/>
      <c r="IIU37" s="1551">
        <v>44150</v>
      </c>
      <c r="IIV37" s="1551">
        <v>44150</v>
      </c>
      <c r="IIW37" s="1551"/>
      <c r="IIX37" s="1551">
        <v>44150</v>
      </c>
      <c r="IIY37" s="1551"/>
      <c r="IIZ37" s="1551">
        <v>44150</v>
      </c>
      <c r="IJA37" s="1551"/>
      <c r="IJB37" s="1551">
        <v>44150</v>
      </c>
      <c r="IJC37" s="1551">
        <v>44150</v>
      </c>
      <c r="IJD37" s="1551"/>
      <c r="IJE37" s="1551">
        <v>44150</v>
      </c>
      <c r="IJF37" s="1551"/>
      <c r="IJG37" s="1551">
        <v>44150</v>
      </c>
      <c r="IJH37" s="1551"/>
      <c r="IJI37" s="1551">
        <v>44150</v>
      </c>
      <c r="IJJ37" s="1551">
        <v>44150</v>
      </c>
      <c r="IJK37" s="1551"/>
      <c r="IJL37" s="1551">
        <v>44150</v>
      </c>
      <c r="IJM37" s="1551"/>
      <c r="IJN37" s="1551">
        <v>44150</v>
      </c>
      <c r="IJO37" s="1551"/>
      <c r="IJP37" s="1551">
        <v>44150</v>
      </c>
      <c r="IJQ37" s="1551">
        <v>44150</v>
      </c>
      <c r="IJR37" s="1551"/>
      <c r="IJS37" s="1551">
        <v>44150</v>
      </c>
      <c r="IJT37" s="1551"/>
      <c r="IJU37" s="1551">
        <v>44150</v>
      </c>
      <c r="IJV37" s="1551"/>
      <c r="IJW37" s="1551">
        <v>44150</v>
      </c>
      <c r="IJX37" s="1551">
        <v>44150</v>
      </c>
      <c r="IJY37" s="1551"/>
      <c r="IJZ37" s="1551">
        <v>44150</v>
      </c>
      <c r="IKA37" s="1551"/>
      <c r="IKB37" s="1551">
        <v>44150</v>
      </c>
      <c r="IKC37" s="1551"/>
      <c r="IKD37" s="1551">
        <v>44150</v>
      </c>
      <c r="IKE37" s="1551">
        <v>44150</v>
      </c>
      <c r="IKF37" s="1551"/>
      <c r="IKG37" s="1551">
        <v>44150</v>
      </c>
      <c r="IKH37" s="1551"/>
      <c r="IKI37" s="1551">
        <v>44150</v>
      </c>
      <c r="IKJ37" s="1551"/>
      <c r="IKK37" s="1551">
        <v>44150</v>
      </c>
      <c r="IKL37" s="1551">
        <v>44150</v>
      </c>
      <c r="IKM37" s="1551"/>
      <c r="IKN37" s="1551">
        <v>44150</v>
      </c>
      <c r="IKO37" s="1551"/>
      <c r="IKP37" s="1551">
        <v>44150</v>
      </c>
      <c r="IKQ37" s="1551"/>
      <c r="IKR37" s="1551">
        <v>44150</v>
      </c>
      <c r="IKS37" s="1551">
        <v>44150</v>
      </c>
      <c r="IKT37" s="1551"/>
      <c r="IKU37" s="1551">
        <v>44150</v>
      </c>
      <c r="IKV37" s="1551"/>
      <c r="IKW37" s="1551">
        <v>44150</v>
      </c>
      <c r="IKX37" s="1551"/>
      <c r="IKY37" s="1551">
        <v>44150</v>
      </c>
      <c r="IKZ37" s="1551">
        <v>44150</v>
      </c>
      <c r="ILA37" s="1551"/>
      <c r="ILB37" s="1551">
        <v>44150</v>
      </c>
      <c r="ILC37" s="1551"/>
      <c r="ILD37" s="1551">
        <v>44150</v>
      </c>
      <c r="ILE37" s="1551"/>
      <c r="ILF37" s="1551">
        <v>44150</v>
      </c>
      <c r="ILG37" s="1551">
        <v>44150</v>
      </c>
      <c r="ILH37" s="1551"/>
      <c r="ILI37" s="1551">
        <v>44150</v>
      </c>
      <c r="ILJ37" s="1551"/>
      <c r="ILK37" s="1551">
        <v>44150</v>
      </c>
      <c r="ILL37" s="1551"/>
      <c r="ILM37" s="1551">
        <v>44150</v>
      </c>
      <c r="ILN37" s="1551">
        <v>44150</v>
      </c>
      <c r="ILO37" s="1551"/>
      <c r="ILP37" s="1551">
        <v>44150</v>
      </c>
      <c r="ILQ37" s="1551"/>
      <c r="ILR37" s="1551">
        <v>44150</v>
      </c>
      <c r="ILS37" s="1551"/>
      <c r="ILT37" s="1551">
        <v>44150</v>
      </c>
      <c r="ILU37" s="1551">
        <v>44150</v>
      </c>
      <c r="ILV37" s="1551"/>
      <c r="ILW37" s="1551">
        <v>44150</v>
      </c>
      <c r="ILX37" s="1551"/>
      <c r="ILY37" s="1551">
        <v>44150</v>
      </c>
      <c r="ILZ37" s="1551"/>
      <c r="IMA37" s="1551">
        <v>44150</v>
      </c>
      <c r="IMB37" s="1551">
        <v>44150</v>
      </c>
      <c r="IMC37" s="1551"/>
      <c r="IMD37" s="1551">
        <v>44150</v>
      </c>
      <c r="IME37" s="1551"/>
      <c r="IMF37" s="1551">
        <v>44150</v>
      </c>
      <c r="IMG37" s="1551"/>
      <c r="IMH37" s="1551">
        <v>44150</v>
      </c>
      <c r="IMI37" s="1551">
        <v>44150</v>
      </c>
      <c r="IMJ37" s="1551"/>
      <c r="IMK37" s="1551">
        <v>44150</v>
      </c>
      <c r="IML37" s="1551"/>
      <c r="IMM37" s="1551">
        <v>44150</v>
      </c>
      <c r="IMN37" s="1551"/>
      <c r="IMO37" s="1551">
        <v>44150</v>
      </c>
      <c r="IMP37" s="1551">
        <v>44150</v>
      </c>
      <c r="IMQ37" s="1551"/>
      <c r="IMR37" s="1551">
        <v>44150</v>
      </c>
      <c r="IMS37" s="1551"/>
      <c r="IMT37" s="1551">
        <v>44150</v>
      </c>
      <c r="IMU37" s="1551"/>
      <c r="IMV37" s="1551">
        <v>44150</v>
      </c>
      <c r="IMW37" s="1551">
        <v>44150</v>
      </c>
      <c r="IMX37" s="1551"/>
      <c r="IMY37" s="1551">
        <v>44150</v>
      </c>
      <c r="IMZ37" s="1551"/>
      <c r="INA37" s="1551">
        <v>44150</v>
      </c>
      <c r="INB37" s="1551"/>
      <c r="INC37" s="1551">
        <v>44150</v>
      </c>
      <c r="IND37" s="1551">
        <v>44150</v>
      </c>
      <c r="INE37" s="1551"/>
      <c r="INF37" s="1551">
        <v>44150</v>
      </c>
      <c r="ING37" s="1551"/>
      <c r="INH37" s="1551">
        <v>44150</v>
      </c>
      <c r="INI37" s="1551"/>
      <c r="INJ37" s="1551">
        <v>44150</v>
      </c>
      <c r="INK37" s="1551">
        <v>44150</v>
      </c>
      <c r="INL37" s="1551"/>
      <c r="INM37" s="1551">
        <v>44150</v>
      </c>
      <c r="INN37" s="1551"/>
      <c r="INO37" s="1551">
        <v>44150</v>
      </c>
      <c r="INP37" s="1551"/>
      <c r="INQ37" s="1551">
        <v>44150</v>
      </c>
      <c r="INR37" s="1551">
        <v>44150</v>
      </c>
      <c r="INS37" s="1551"/>
      <c r="INT37" s="1551">
        <v>44150</v>
      </c>
      <c r="INU37" s="1551"/>
      <c r="INV37" s="1551">
        <v>44150</v>
      </c>
      <c r="INW37" s="1551"/>
      <c r="INX37" s="1551">
        <v>44150</v>
      </c>
      <c r="INY37" s="1551">
        <v>44150</v>
      </c>
      <c r="INZ37" s="1551"/>
      <c r="IOA37" s="1551">
        <v>44150</v>
      </c>
      <c r="IOB37" s="1551"/>
      <c r="IOC37" s="1551">
        <v>44150</v>
      </c>
      <c r="IOD37" s="1551"/>
      <c r="IOE37" s="1551">
        <v>44150</v>
      </c>
      <c r="IOF37" s="1551">
        <v>44150</v>
      </c>
      <c r="IOG37" s="1551"/>
      <c r="IOH37" s="1551">
        <v>44150</v>
      </c>
      <c r="IOI37" s="1551"/>
      <c r="IOJ37" s="1551">
        <v>44150</v>
      </c>
      <c r="IOK37" s="1551"/>
      <c r="IOL37" s="1551">
        <v>44150</v>
      </c>
      <c r="IOM37" s="1551">
        <v>44150</v>
      </c>
      <c r="ION37" s="1551"/>
      <c r="IOO37" s="1551">
        <v>44150</v>
      </c>
      <c r="IOP37" s="1551"/>
      <c r="IOQ37" s="1551">
        <v>44150</v>
      </c>
      <c r="IOR37" s="1551"/>
      <c r="IOS37" s="1551">
        <v>44150</v>
      </c>
      <c r="IOT37" s="1551">
        <v>44150</v>
      </c>
      <c r="IOU37" s="1551"/>
      <c r="IOV37" s="1551">
        <v>44150</v>
      </c>
      <c r="IOW37" s="1551"/>
      <c r="IOX37" s="1551">
        <v>44150</v>
      </c>
      <c r="IOY37" s="1551"/>
      <c r="IOZ37" s="1551">
        <v>44150</v>
      </c>
      <c r="IPA37" s="1551">
        <v>44150</v>
      </c>
      <c r="IPB37" s="1551"/>
      <c r="IPC37" s="1551">
        <v>44150</v>
      </c>
      <c r="IPD37" s="1551"/>
      <c r="IPE37" s="1551">
        <v>44150</v>
      </c>
      <c r="IPF37" s="1551"/>
      <c r="IPG37" s="1551">
        <v>44150</v>
      </c>
      <c r="IPH37" s="1551">
        <v>44150</v>
      </c>
      <c r="IPI37" s="1551"/>
      <c r="IPJ37" s="1551">
        <v>44150</v>
      </c>
      <c r="IPK37" s="1551"/>
      <c r="IPL37" s="1551">
        <v>44150</v>
      </c>
      <c r="IPM37" s="1551"/>
      <c r="IPN37" s="1551">
        <v>44150</v>
      </c>
      <c r="IPO37" s="1551">
        <v>44150</v>
      </c>
      <c r="IPP37" s="1551"/>
      <c r="IPQ37" s="1551">
        <v>44150</v>
      </c>
      <c r="IPR37" s="1551"/>
      <c r="IPS37" s="1551">
        <v>44150</v>
      </c>
      <c r="IPT37" s="1551"/>
      <c r="IPU37" s="1551">
        <v>44150</v>
      </c>
      <c r="IPV37" s="1551">
        <v>44150</v>
      </c>
      <c r="IPW37" s="1551"/>
      <c r="IPX37" s="1551">
        <v>44150</v>
      </c>
      <c r="IPY37" s="1551"/>
      <c r="IPZ37" s="1551">
        <v>44150</v>
      </c>
      <c r="IQA37" s="1551"/>
      <c r="IQB37" s="1551">
        <v>44150</v>
      </c>
      <c r="IQC37" s="1551">
        <v>44150</v>
      </c>
      <c r="IQD37" s="1551"/>
      <c r="IQE37" s="1551">
        <v>44150</v>
      </c>
      <c r="IQF37" s="1551"/>
      <c r="IQG37" s="1551">
        <v>44150</v>
      </c>
      <c r="IQH37" s="1551"/>
      <c r="IQI37" s="1551">
        <v>44150</v>
      </c>
      <c r="IQJ37" s="1551">
        <v>44150</v>
      </c>
      <c r="IQK37" s="1551"/>
      <c r="IQL37" s="1551">
        <v>44150</v>
      </c>
      <c r="IQM37" s="1551"/>
      <c r="IQN37" s="1551">
        <v>44150</v>
      </c>
      <c r="IQO37" s="1551"/>
      <c r="IQP37" s="1551">
        <v>44150</v>
      </c>
      <c r="IQQ37" s="1551">
        <v>44150</v>
      </c>
      <c r="IQR37" s="1551"/>
      <c r="IQS37" s="1551">
        <v>44150</v>
      </c>
      <c r="IQT37" s="1551"/>
      <c r="IQU37" s="1551">
        <v>44150</v>
      </c>
      <c r="IQV37" s="1551"/>
      <c r="IQW37" s="1551">
        <v>44150</v>
      </c>
      <c r="IQX37" s="1551">
        <v>44150</v>
      </c>
      <c r="IQY37" s="1551"/>
      <c r="IQZ37" s="1551">
        <v>44150</v>
      </c>
      <c r="IRA37" s="1551"/>
      <c r="IRB37" s="1551">
        <v>44150</v>
      </c>
      <c r="IRC37" s="1551"/>
      <c r="IRD37" s="1551">
        <v>44150</v>
      </c>
      <c r="IRE37" s="1551">
        <v>44150</v>
      </c>
      <c r="IRF37" s="1551"/>
      <c r="IRG37" s="1551">
        <v>44150</v>
      </c>
      <c r="IRH37" s="1551"/>
      <c r="IRI37" s="1551">
        <v>44150</v>
      </c>
      <c r="IRJ37" s="1551"/>
      <c r="IRK37" s="1551">
        <v>44150</v>
      </c>
      <c r="IRL37" s="1551">
        <v>44150</v>
      </c>
      <c r="IRM37" s="1551"/>
      <c r="IRN37" s="1551">
        <v>44150</v>
      </c>
      <c r="IRO37" s="1551"/>
      <c r="IRP37" s="1551">
        <v>44150</v>
      </c>
      <c r="IRQ37" s="1551"/>
      <c r="IRR37" s="1551">
        <v>44150</v>
      </c>
      <c r="IRS37" s="1551">
        <v>44150</v>
      </c>
      <c r="IRT37" s="1551"/>
      <c r="IRU37" s="1551">
        <v>44150</v>
      </c>
      <c r="IRV37" s="1551"/>
      <c r="IRW37" s="1551">
        <v>44150</v>
      </c>
      <c r="IRX37" s="1551"/>
      <c r="IRY37" s="1551">
        <v>44150</v>
      </c>
      <c r="IRZ37" s="1551">
        <v>44150</v>
      </c>
      <c r="ISA37" s="1551"/>
      <c r="ISB37" s="1551">
        <v>44150</v>
      </c>
      <c r="ISC37" s="1551"/>
      <c r="ISD37" s="1551">
        <v>44150</v>
      </c>
      <c r="ISE37" s="1551"/>
      <c r="ISF37" s="1551">
        <v>44150</v>
      </c>
      <c r="ISG37" s="1551">
        <v>44150</v>
      </c>
      <c r="ISH37" s="1551"/>
      <c r="ISI37" s="1551">
        <v>44150</v>
      </c>
      <c r="ISJ37" s="1551"/>
      <c r="ISK37" s="1551">
        <v>44150</v>
      </c>
      <c r="ISL37" s="1551"/>
      <c r="ISM37" s="1551">
        <v>44150</v>
      </c>
      <c r="ISN37" s="1551">
        <v>44150</v>
      </c>
      <c r="ISO37" s="1551"/>
      <c r="ISP37" s="1551">
        <v>44150</v>
      </c>
      <c r="ISQ37" s="1551"/>
      <c r="ISR37" s="1551">
        <v>44150</v>
      </c>
      <c r="ISS37" s="1551"/>
      <c r="IST37" s="1551">
        <v>44150</v>
      </c>
      <c r="ISU37" s="1551">
        <v>44150</v>
      </c>
      <c r="ISV37" s="1551"/>
      <c r="ISW37" s="1551">
        <v>44150</v>
      </c>
      <c r="ISX37" s="1551"/>
      <c r="ISY37" s="1551">
        <v>44150</v>
      </c>
      <c r="ISZ37" s="1551"/>
      <c r="ITA37" s="1551">
        <v>44150</v>
      </c>
      <c r="ITB37" s="1551">
        <v>44150</v>
      </c>
      <c r="ITC37" s="1551"/>
      <c r="ITD37" s="1551">
        <v>44150</v>
      </c>
      <c r="ITE37" s="1551"/>
      <c r="ITF37" s="1551">
        <v>44150</v>
      </c>
      <c r="ITG37" s="1551"/>
      <c r="ITH37" s="1551">
        <v>44150</v>
      </c>
      <c r="ITI37" s="1551">
        <v>44150</v>
      </c>
      <c r="ITJ37" s="1551"/>
      <c r="ITK37" s="1551">
        <v>44150</v>
      </c>
      <c r="ITL37" s="1551"/>
      <c r="ITM37" s="1551">
        <v>44150</v>
      </c>
      <c r="ITN37" s="1551"/>
      <c r="ITO37" s="1551">
        <v>44150</v>
      </c>
      <c r="ITP37" s="1551">
        <v>44150</v>
      </c>
      <c r="ITQ37" s="1551"/>
      <c r="ITR37" s="1551">
        <v>44150</v>
      </c>
      <c r="ITS37" s="1551"/>
      <c r="ITT37" s="1551">
        <v>44150</v>
      </c>
      <c r="ITU37" s="1551"/>
      <c r="ITV37" s="1551">
        <v>44150</v>
      </c>
      <c r="ITW37" s="1551">
        <v>44150</v>
      </c>
      <c r="ITX37" s="1551"/>
      <c r="ITY37" s="1551">
        <v>44150</v>
      </c>
      <c r="ITZ37" s="1551"/>
      <c r="IUA37" s="1551">
        <v>44150</v>
      </c>
      <c r="IUB37" s="1551"/>
      <c r="IUC37" s="1551">
        <v>44150</v>
      </c>
      <c r="IUD37" s="1551">
        <v>44150</v>
      </c>
      <c r="IUE37" s="1551"/>
      <c r="IUF37" s="1551">
        <v>44150</v>
      </c>
      <c r="IUG37" s="1551"/>
      <c r="IUH37" s="1551">
        <v>44150</v>
      </c>
      <c r="IUI37" s="1551"/>
      <c r="IUJ37" s="1551">
        <v>44150</v>
      </c>
      <c r="IUK37" s="1551">
        <v>44150</v>
      </c>
      <c r="IUL37" s="1551"/>
      <c r="IUM37" s="1551">
        <v>44150</v>
      </c>
      <c r="IUN37" s="1551"/>
      <c r="IUO37" s="1551">
        <v>44150</v>
      </c>
      <c r="IUP37" s="1551"/>
      <c r="IUQ37" s="1551">
        <v>44150</v>
      </c>
      <c r="IUR37" s="1551">
        <v>44150</v>
      </c>
      <c r="IUS37" s="1551"/>
      <c r="IUT37" s="1551">
        <v>44150</v>
      </c>
      <c r="IUU37" s="1551"/>
      <c r="IUV37" s="1551">
        <v>44150</v>
      </c>
      <c r="IUW37" s="1551"/>
      <c r="IUX37" s="1551">
        <v>44150</v>
      </c>
      <c r="IUY37" s="1551">
        <v>44150</v>
      </c>
      <c r="IUZ37" s="1551"/>
      <c r="IVA37" s="1551">
        <v>44150</v>
      </c>
      <c r="IVB37" s="1551"/>
      <c r="IVC37" s="1551">
        <v>44150</v>
      </c>
      <c r="IVD37" s="1551"/>
      <c r="IVE37" s="1551">
        <v>44150</v>
      </c>
      <c r="IVF37" s="1551">
        <v>44150</v>
      </c>
      <c r="IVG37" s="1551"/>
      <c r="IVH37" s="1551">
        <v>44150</v>
      </c>
      <c r="IVI37" s="1551"/>
      <c r="IVJ37" s="1551">
        <v>44150</v>
      </c>
      <c r="IVK37" s="1551"/>
      <c r="IVL37" s="1551">
        <v>44150</v>
      </c>
      <c r="IVM37" s="1551">
        <v>44150</v>
      </c>
      <c r="IVN37" s="1551"/>
      <c r="IVO37" s="1551">
        <v>44150</v>
      </c>
      <c r="IVP37" s="1551"/>
      <c r="IVQ37" s="1551">
        <v>44150</v>
      </c>
      <c r="IVR37" s="1551"/>
      <c r="IVS37" s="1551">
        <v>44150</v>
      </c>
      <c r="IVT37" s="1551">
        <v>44150</v>
      </c>
      <c r="IVU37" s="1551"/>
      <c r="IVV37" s="1551">
        <v>44150</v>
      </c>
      <c r="IVW37" s="1551"/>
      <c r="IVX37" s="1551">
        <v>44150</v>
      </c>
      <c r="IVY37" s="1551"/>
      <c r="IVZ37" s="1551">
        <v>44150</v>
      </c>
      <c r="IWA37" s="1551">
        <v>44150</v>
      </c>
      <c r="IWB37" s="1551"/>
      <c r="IWC37" s="1551">
        <v>44150</v>
      </c>
      <c r="IWD37" s="1551"/>
      <c r="IWE37" s="1551">
        <v>44150</v>
      </c>
      <c r="IWF37" s="1551"/>
      <c r="IWG37" s="1551">
        <v>44150</v>
      </c>
      <c r="IWH37" s="1551">
        <v>44150</v>
      </c>
      <c r="IWI37" s="1551"/>
      <c r="IWJ37" s="1551">
        <v>44150</v>
      </c>
      <c r="IWK37" s="1551"/>
      <c r="IWL37" s="1551">
        <v>44150</v>
      </c>
      <c r="IWM37" s="1551"/>
      <c r="IWN37" s="1551">
        <v>44150</v>
      </c>
      <c r="IWO37" s="1551">
        <v>44150</v>
      </c>
      <c r="IWP37" s="1551"/>
      <c r="IWQ37" s="1551">
        <v>44150</v>
      </c>
      <c r="IWR37" s="1551"/>
      <c r="IWS37" s="1551">
        <v>44150</v>
      </c>
      <c r="IWT37" s="1551"/>
      <c r="IWU37" s="1551">
        <v>44150</v>
      </c>
      <c r="IWV37" s="1551">
        <v>44150</v>
      </c>
      <c r="IWW37" s="1551"/>
      <c r="IWX37" s="1551">
        <v>44150</v>
      </c>
      <c r="IWY37" s="1551"/>
      <c r="IWZ37" s="1551">
        <v>44150</v>
      </c>
      <c r="IXA37" s="1551"/>
      <c r="IXB37" s="1551">
        <v>44150</v>
      </c>
      <c r="IXC37" s="1551">
        <v>44150</v>
      </c>
      <c r="IXD37" s="1551"/>
      <c r="IXE37" s="1551">
        <v>44150</v>
      </c>
      <c r="IXF37" s="1551"/>
      <c r="IXG37" s="1551">
        <v>44150</v>
      </c>
      <c r="IXH37" s="1551"/>
      <c r="IXI37" s="1551">
        <v>44150</v>
      </c>
      <c r="IXJ37" s="1551">
        <v>44150</v>
      </c>
      <c r="IXK37" s="1551"/>
      <c r="IXL37" s="1551">
        <v>44150</v>
      </c>
      <c r="IXM37" s="1551"/>
      <c r="IXN37" s="1551">
        <v>44150</v>
      </c>
      <c r="IXO37" s="1551"/>
      <c r="IXP37" s="1551">
        <v>44150</v>
      </c>
      <c r="IXQ37" s="1551">
        <v>44150</v>
      </c>
      <c r="IXR37" s="1551"/>
      <c r="IXS37" s="1551">
        <v>44150</v>
      </c>
      <c r="IXT37" s="1551"/>
      <c r="IXU37" s="1551">
        <v>44150</v>
      </c>
      <c r="IXV37" s="1551"/>
      <c r="IXW37" s="1551">
        <v>44150</v>
      </c>
      <c r="IXX37" s="1551">
        <v>44150</v>
      </c>
      <c r="IXY37" s="1551"/>
      <c r="IXZ37" s="1551">
        <v>44150</v>
      </c>
      <c r="IYA37" s="1551"/>
      <c r="IYB37" s="1551">
        <v>44150</v>
      </c>
      <c r="IYC37" s="1551"/>
      <c r="IYD37" s="1551">
        <v>44150</v>
      </c>
      <c r="IYE37" s="1551">
        <v>44150</v>
      </c>
      <c r="IYF37" s="1551"/>
      <c r="IYG37" s="1551">
        <v>44150</v>
      </c>
      <c r="IYH37" s="1551"/>
      <c r="IYI37" s="1551">
        <v>44150</v>
      </c>
      <c r="IYJ37" s="1551"/>
      <c r="IYK37" s="1551">
        <v>44150</v>
      </c>
      <c r="IYL37" s="1551">
        <v>44150</v>
      </c>
      <c r="IYM37" s="1551"/>
      <c r="IYN37" s="1551">
        <v>44150</v>
      </c>
      <c r="IYO37" s="1551"/>
      <c r="IYP37" s="1551">
        <v>44150</v>
      </c>
      <c r="IYQ37" s="1551"/>
      <c r="IYR37" s="1551">
        <v>44150</v>
      </c>
      <c r="IYS37" s="1551">
        <v>44150</v>
      </c>
      <c r="IYT37" s="1551"/>
      <c r="IYU37" s="1551">
        <v>44150</v>
      </c>
      <c r="IYV37" s="1551"/>
      <c r="IYW37" s="1551">
        <v>44150</v>
      </c>
      <c r="IYX37" s="1551"/>
      <c r="IYY37" s="1551">
        <v>44150</v>
      </c>
      <c r="IYZ37" s="1551">
        <v>44150</v>
      </c>
      <c r="IZA37" s="1551"/>
      <c r="IZB37" s="1551">
        <v>44150</v>
      </c>
      <c r="IZC37" s="1551"/>
      <c r="IZD37" s="1551">
        <v>44150</v>
      </c>
      <c r="IZE37" s="1551"/>
      <c r="IZF37" s="1551">
        <v>44150</v>
      </c>
      <c r="IZG37" s="1551">
        <v>44150</v>
      </c>
      <c r="IZH37" s="1551"/>
      <c r="IZI37" s="1551">
        <v>44150</v>
      </c>
      <c r="IZJ37" s="1551"/>
      <c r="IZK37" s="1551">
        <v>44150</v>
      </c>
      <c r="IZL37" s="1551"/>
      <c r="IZM37" s="1551">
        <v>44150</v>
      </c>
      <c r="IZN37" s="1551">
        <v>44150</v>
      </c>
      <c r="IZO37" s="1551"/>
      <c r="IZP37" s="1551">
        <v>44150</v>
      </c>
      <c r="IZQ37" s="1551"/>
      <c r="IZR37" s="1551">
        <v>44150</v>
      </c>
      <c r="IZS37" s="1551"/>
      <c r="IZT37" s="1551">
        <v>44150</v>
      </c>
      <c r="IZU37" s="1551">
        <v>44150</v>
      </c>
      <c r="IZV37" s="1551"/>
      <c r="IZW37" s="1551">
        <v>44150</v>
      </c>
      <c r="IZX37" s="1551"/>
      <c r="IZY37" s="1551">
        <v>44150</v>
      </c>
      <c r="IZZ37" s="1551"/>
      <c r="JAA37" s="1551">
        <v>44150</v>
      </c>
      <c r="JAB37" s="1551">
        <v>44150</v>
      </c>
      <c r="JAC37" s="1551"/>
      <c r="JAD37" s="1551">
        <v>44150</v>
      </c>
      <c r="JAE37" s="1551"/>
      <c r="JAF37" s="1551">
        <v>44150</v>
      </c>
      <c r="JAG37" s="1551"/>
      <c r="JAH37" s="1551">
        <v>44150</v>
      </c>
      <c r="JAI37" s="1551">
        <v>44150</v>
      </c>
      <c r="JAJ37" s="1551"/>
      <c r="JAK37" s="1551">
        <v>44150</v>
      </c>
      <c r="JAL37" s="1551"/>
      <c r="JAM37" s="1551">
        <v>44150</v>
      </c>
      <c r="JAN37" s="1551"/>
      <c r="JAO37" s="1551">
        <v>44150</v>
      </c>
      <c r="JAP37" s="1551">
        <v>44150</v>
      </c>
      <c r="JAQ37" s="1551"/>
      <c r="JAR37" s="1551">
        <v>44150</v>
      </c>
      <c r="JAS37" s="1551"/>
      <c r="JAT37" s="1551">
        <v>44150</v>
      </c>
      <c r="JAU37" s="1551"/>
      <c r="JAV37" s="1551">
        <v>44150</v>
      </c>
      <c r="JAW37" s="1551">
        <v>44150</v>
      </c>
      <c r="JAX37" s="1551"/>
      <c r="JAY37" s="1551">
        <v>44150</v>
      </c>
      <c r="JAZ37" s="1551"/>
      <c r="JBA37" s="1551">
        <v>44150</v>
      </c>
      <c r="JBB37" s="1551"/>
      <c r="JBC37" s="1551">
        <v>44150</v>
      </c>
      <c r="JBD37" s="1551">
        <v>44150</v>
      </c>
      <c r="JBE37" s="1551"/>
      <c r="JBF37" s="1551">
        <v>44150</v>
      </c>
      <c r="JBG37" s="1551"/>
      <c r="JBH37" s="1551">
        <v>44150</v>
      </c>
      <c r="JBI37" s="1551"/>
      <c r="JBJ37" s="1551">
        <v>44150</v>
      </c>
      <c r="JBK37" s="1551">
        <v>44150</v>
      </c>
      <c r="JBL37" s="1551"/>
      <c r="JBM37" s="1551">
        <v>44150</v>
      </c>
      <c r="JBN37" s="1551"/>
      <c r="JBO37" s="1551">
        <v>44150</v>
      </c>
      <c r="JBP37" s="1551"/>
      <c r="JBQ37" s="1551">
        <v>44150</v>
      </c>
      <c r="JBR37" s="1551">
        <v>44150</v>
      </c>
      <c r="JBS37" s="1551"/>
      <c r="JBT37" s="1551">
        <v>44150</v>
      </c>
      <c r="JBU37" s="1551"/>
      <c r="JBV37" s="1551">
        <v>44150</v>
      </c>
      <c r="JBW37" s="1551"/>
      <c r="JBX37" s="1551">
        <v>44150</v>
      </c>
      <c r="JBY37" s="1551">
        <v>44150</v>
      </c>
      <c r="JBZ37" s="1551"/>
      <c r="JCA37" s="1551">
        <v>44150</v>
      </c>
      <c r="JCB37" s="1551"/>
      <c r="JCC37" s="1551">
        <v>44150</v>
      </c>
      <c r="JCD37" s="1551"/>
      <c r="JCE37" s="1551">
        <v>44150</v>
      </c>
      <c r="JCF37" s="1551">
        <v>44150</v>
      </c>
      <c r="JCG37" s="1551"/>
      <c r="JCH37" s="1551">
        <v>44150</v>
      </c>
      <c r="JCI37" s="1551"/>
      <c r="JCJ37" s="1551">
        <v>44150</v>
      </c>
      <c r="JCK37" s="1551"/>
      <c r="JCL37" s="1551">
        <v>44150</v>
      </c>
      <c r="JCM37" s="1551">
        <v>44150</v>
      </c>
      <c r="JCN37" s="1551"/>
      <c r="JCO37" s="1551">
        <v>44150</v>
      </c>
      <c r="JCP37" s="1551"/>
      <c r="JCQ37" s="1551">
        <v>44150</v>
      </c>
      <c r="JCR37" s="1551"/>
      <c r="JCS37" s="1551">
        <v>44150</v>
      </c>
      <c r="JCT37" s="1551">
        <v>44150</v>
      </c>
      <c r="JCU37" s="1551"/>
      <c r="JCV37" s="1551">
        <v>44150</v>
      </c>
      <c r="JCW37" s="1551"/>
      <c r="JCX37" s="1551">
        <v>44150</v>
      </c>
      <c r="JCY37" s="1551"/>
      <c r="JCZ37" s="1551">
        <v>44150</v>
      </c>
      <c r="JDA37" s="1551">
        <v>44150</v>
      </c>
      <c r="JDB37" s="1551"/>
      <c r="JDC37" s="1551">
        <v>44150</v>
      </c>
      <c r="JDD37" s="1551"/>
      <c r="JDE37" s="1551">
        <v>44150</v>
      </c>
      <c r="JDF37" s="1551"/>
      <c r="JDG37" s="1551">
        <v>44150</v>
      </c>
      <c r="JDH37" s="1551">
        <v>44150</v>
      </c>
      <c r="JDI37" s="1551"/>
      <c r="JDJ37" s="1551">
        <v>44150</v>
      </c>
      <c r="JDK37" s="1551"/>
      <c r="JDL37" s="1551">
        <v>44150</v>
      </c>
      <c r="JDM37" s="1551"/>
      <c r="JDN37" s="1551">
        <v>44150</v>
      </c>
      <c r="JDO37" s="1551">
        <v>44150</v>
      </c>
      <c r="JDP37" s="1551"/>
      <c r="JDQ37" s="1551">
        <v>44150</v>
      </c>
      <c r="JDR37" s="1551"/>
      <c r="JDS37" s="1551">
        <v>44150</v>
      </c>
      <c r="JDT37" s="1551"/>
      <c r="JDU37" s="1551">
        <v>44150</v>
      </c>
      <c r="JDV37" s="1551">
        <v>44150</v>
      </c>
      <c r="JDW37" s="1551"/>
      <c r="JDX37" s="1551">
        <v>44150</v>
      </c>
      <c r="JDY37" s="1551"/>
      <c r="JDZ37" s="1551">
        <v>44150</v>
      </c>
      <c r="JEA37" s="1551"/>
      <c r="JEB37" s="1551">
        <v>44150</v>
      </c>
      <c r="JEC37" s="1551">
        <v>44150</v>
      </c>
      <c r="JED37" s="1551"/>
      <c r="JEE37" s="1551">
        <v>44150</v>
      </c>
      <c r="JEF37" s="1551"/>
      <c r="JEG37" s="1551">
        <v>44150</v>
      </c>
      <c r="JEH37" s="1551"/>
      <c r="JEI37" s="1551">
        <v>44150</v>
      </c>
      <c r="JEJ37" s="1551">
        <v>44150</v>
      </c>
      <c r="JEK37" s="1551"/>
      <c r="JEL37" s="1551">
        <v>44150</v>
      </c>
      <c r="JEM37" s="1551"/>
      <c r="JEN37" s="1551">
        <v>44150</v>
      </c>
      <c r="JEO37" s="1551"/>
      <c r="JEP37" s="1551">
        <v>44150</v>
      </c>
      <c r="JEQ37" s="1551">
        <v>44150</v>
      </c>
      <c r="JER37" s="1551"/>
      <c r="JES37" s="1551">
        <v>44150</v>
      </c>
      <c r="JET37" s="1551"/>
      <c r="JEU37" s="1551">
        <v>44150</v>
      </c>
      <c r="JEV37" s="1551"/>
      <c r="JEW37" s="1551">
        <v>44150</v>
      </c>
      <c r="JEX37" s="1551">
        <v>44150</v>
      </c>
      <c r="JEY37" s="1551"/>
      <c r="JEZ37" s="1551">
        <v>44150</v>
      </c>
      <c r="JFA37" s="1551"/>
      <c r="JFB37" s="1551">
        <v>44150</v>
      </c>
      <c r="JFC37" s="1551"/>
      <c r="JFD37" s="1551">
        <v>44150</v>
      </c>
      <c r="JFE37" s="1551">
        <v>44150</v>
      </c>
      <c r="JFF37" s="1551"/>
      <c r="JFG37" s="1551">
        <v>44150</v>
      </c>
      <c r="JFH37" s="1551"/>
      <c r="JFI37" s="1551">
        <v>44150</v>
      </c>
      <c r="JFJ37" s="1551"/>
      <c r="JFK37" s="1551">
        <v>44150</v>
      </c>
      <c r="JFL37" s="1551">
        <v>44150</v>
      </c>
      <c r="JFM37" s="1551"/>
      <c r="JFN37" s="1551">
        <v>44150</v>
      </c>
      <c r="JFO37" s="1551"/>
      <c r="JFP37" s="1551">
        <v>44150</v>
      </c>
      <c r="JFQ37" s="1551"/>
      <c r="JFR37" s="1551">
        <v>44150</v>
      </c>
      <c r="JFS37" s="1551">
        <v>44150</v>
      </c>
      <c r="JFT37" s="1551"/>
      <c r="JFU37" s="1551">
        <v>44150</v>
      </c>
      <c r="JFV37" s="1551"/>
      <c r="JFW37" s="1551">
        <v>44150</v>
      </c>
      <c r="JFX37" s="1551"/>
      <c r="JFY37" s="1551">
        <v>44150</v>
      </c>
      <c r="JFZ37" s="1551">
        <v>44150</v>
      </c>
      <c r="JGA37" s="1551"/>
      <c r="JGB37" s="1551">
        <v>44150</v>
      </c>
      <c r="JGC37" s="1551"/>
      <c r="JGD37" s="1551">
        <v>44150</v>
      </c>
      <c r="JGE37" s="1551"/>
      <c r="JGF37" s="1551">
        <v>44150</v>
      </c>
      <c r="JGG37" s="1551">
        <v>44150</v>
      </c>
      <c r="JGH37" s="1551"/>
      <c r="JGI37" s="1551">
        <v>44150</v>
      </c>
      <c r="JGJ37" s="1551"/>
      <c r="JGK37" s="1551">
        <v>44150</v>
      </c>
      <c r="JGL37" s="1551"/>
      <c r="JGM37" s="1551">
        <v>44150</v>
      </c>
      <c r="JGN37" s="1551">
        <v>44150</v>
      </c>
      <c r="JGO37" s="1551"/>
      <c r="JGP37" s="1551">
        <v>44150</v>
      </c>
      <c r="JGQ37" s="1551"/>
      <c r="JGR37" s="1551">
        <v>44150</v>
      </c>
      <c r="JGS37" s="1551"/>
      <c r="JGT37" s="1551">
        <v>44150</v>
      </c>
      <c r="JGU37" s="1551">
        <v>44150</v>
      </c>
      <c r="JGV37" s="1551"/>
      <c r="JGW37" s="1551">
        <v>44150</v>
      </c>
      <c r="JGX37" s="1551"/>
      <c r="JGY37" s="1551">
        <v>44150</v>
      </c>
      <c r="JGZ37" s="1551"/>
      <c r="JHA37" s="1551">
        <v>44150</v>
      </c>
      <c r="JHB37" s="1551">
        <v>44150</v>
      </c>
      <c r="JHC37" s="1551"/>
      <c r="JHD37" s="1551">
        <v>44150</v>
      </c>
      <c r="JHE37" s="1551"/>
      <c r="JHF37" s="1551">
        <v>44150</v>
      </c>
      <c r="JHG37" s="1551"/>
      <c r="JHH37" s="1551">
        <v>44150</v>
      </c>
      <c r="JHI37" s="1551">
        <v>44150</v>
      </c>
      <c r="JHJ37" s="1551"/>
      <c r="JHK37" s="1551">
        <v>44150</v>
      </c>
      <c r="JHL37" s="1551"/>
      <c r="JHM37" s="1551">
        <v>44150</v>
      </c>
      <c r="JHN37" s="1551"/>
      <c r="JHO37" s="1551">
        <v>44150</v>
      </c>
      <c r="JHP37" s="1551">
        <v>44150</v>
      </c>
      <c r="JHQ37" s="1551"/>
      <c r="JHR37" s="1551">
        <v>44150</v>
      </c>
      <c r="JHS37" s="1551"/>
      <c r="JHT37" s="1551">
        <v>44150</v>
      </c>
      <c r="JHU37" s="1551"/>
      <c r="JHV37" s="1551">
        <v>44150</v>
      </c>
      <c r="JHW37" s="1551">
        <v>44150</v>
      </c>
      <c r="JHX37" s="1551"/>
      <c r="JHY37" s="1551">
        <v>44150</v>
      </c>
      <c r="JHZ37" s="1551"/>
      <c r="JIA37" s="1551">
        <v>44150</v>
      </c>
      <c r="JIB37" s="1551"/>
      <c r="JIC37" s="1551">
        <v>44150</v>
      </c>
      <c r="JID37" s="1551">
        <v>44150</v>
      </c>
      <c r="JIE37" s="1551"/>
      <c r="JIF37" s="1551">
        <v>44150</v>
      </c>
      <c r="JIG37" s="1551"/>
      <c r="JIH37" s="1551">
        <v>44150</v>
      </c>
      <c r="JII37" s="1551"/>
      <c r="JIJ37" s="1551">
        <v>44150</v>
      </c>
      <c r="JIK37" s="1551">
        <v>44150</v>
      </c>
      <c r="JIL37" s="1551"/>
      <c r="JIM37" s="1551">
        <v>44150</v>
      </c>
      <c r="JIN37" s="1551"/>
      <c r="JIO37" s="1551">
        <v>44150</v>
      </c>
      <c r="JIP37" s="1551"/>
      <c r="JIQ37" s="1551">
        <v>44150</v>
      </c>
      <c r="JIR37" s="1551">
        <v>44150</v>
      </c>
      <c r="JIS37" s="1551"/>
      <c r="JIT37" s="1551">
        <v>44150</v>
      </c>
      <c r="JIU37" s="1551"/>
      <c r="JIV37" s="1551">
        <v>44150</v>
      </c>
      <c r="JIW37" s="1551"/>
      <c r="JIX37" s="1551">
        <v>44150</v>
      </c>
      <c r="JIY37" s="1551">
        <v>44150</v>
      </c>
      <c r="JIZ37" s="1551"/>
      <c r="JJA37" s="1551">
        <v>44150</v>
      </c>
      <c r="JJB37" s="1551"/>
      <c r="JJC37" s="1551">
        <v>44150</v>
      </c>
      <c r="JJD37" s="1551"/>
      <c r="JJE37" s="1551">
        <v>44150</v>
      </c>
      <c r="JJF37" s="1551">
        <v>44150</v>
      </c>
      <c r="JJG37" s="1551"/>
      <c r="JJH37" s="1551">
        <v>44150</v>
      </c>
      <c r="JJI37" s="1551"/>
      <c r="JJJ37" s="1551">
        <v>44150</v>
      </c>
      <c r="JJK37" s="1551"/>
      <c r="JJL37" s="1551">
        <v>44150</v>
      </c>
      <c r="JJM37" s="1551">
        <v>44150</v>
      </c>
      <c r="JJN37" s="1551"/>
      <c r="JJO37" s="1551">
        <v>44150</v>
      </c>
      <c r="JJP37" s="1551"/>
      <c r="JJQ37" s="1551">
        <v>44150</v>
      </c>
      <c r="JJR37" s="1551"/>
      <c r="JJS37" s="1551">
        <v>44150</v>
      </c>
      <c r="JJT37" s="1551">
        <v>44150</v>
      </c>
      <c r="JJU37" s="1551"/>
      <c r="JJV37" s="1551">
        <v>44150</v>
      </c>
      <c r="JJW37" s="1551"/>
      <c r="JJX37" s="1551">
        <v>44150</v>
      </c>
      <c r="JJY37" s="1551"/>
      <c r="JJZ37" s="1551">
        <v>44150</v>
      </c>
      <c r="JKA37" s="1551">
        <v>44150</v>
      </c>
      <c r="JKB37" s="1551"/>
      <c r="JKC37" s="1551">
        <v>44150</v>
      </c>
      <c r="JKD37" s="1551"/>
      <c r="JKE37" s="1551">
        <v>44150</v>
      </c>
      <c r="JKF37" s="1551"/>
      <c r="JKG37" s="1551">
        <v>44150</v>
      </c>
      <c r="JKH37" s="1551">
        <v>44150</v>
      </c>
      <c r="JKI37" s="1551"/>
      <c r="JKJ37" s="1551">
        <v>44150</v>
      </c>
      <c r="JKK37" s="1551"/>
      <c r="JKL37" s="1551">
        <v>44150</v>
      </c>
      <c r="JKM37" s="1551"/>
      <c r="JKN37" s="1551">
        <v>44150</v>
      </c>
      <c r="JKO37" s="1551">
        <v>44150</v>
      </c>
      <c r="JKP37" s="1551"/>
      <c r="JKQ37" s="1551">
        <v>44150</v>
      </c>
      <c r="JKR37" s="1551"/>
      <c r="JKS37" s="1551">
        <v>44150</v>
      </c>
      <c r="JKT37" s="1551"/>
      <c r="JKU37" s="1551">
        <v>44150</v>
      </c>
      <c r="JKV37" s="1551">
        <v>44150</v>
      </c>
      <c r="JKW37" s="1551"/>
      <c r="JKX37" s="1551">
        <v>44150</v>
      </c>
      <c r="JKY37" s="1551"/>
      <c r="JKZ37" s="1551">
        <v>44150</v>
      </c>
      <c r="JLA37" s="1551"/>
      <c r="JLB37" s="1551">
        <v>44150</v>
      </c>
      <c r="JLC37" s="1551">
        <v>44150</v>
      </c>
      <c r="JLD37" s="1551"/>
      <c r="JLE37" s="1551">
        <v>44150</v>
      </c>
      <c r="JLF37" s="1551"/>
      <c r="JLG37" s="1551">
        <v>44150</v>
      </c>
      <c r="JLH37" s="1551"/>
      <c r="JLI37" s="1551">
        <v>44150</v>
      </c>
      <c r="JLJ37" s="1551">
        <v>44150</v>
      </c>
      <c r="JLK37" s="1551"/>
      <c r="JLL37" s="1551">
        <v>44150</v>
      </c>
      <c r="JLM37" s="1551"/>
      <c r="JLN37" s="1551">
        <v>44150</v>
      </c>
      <c r="JLO37" s="1551"/>
      <c r="JLP37" s="1551">
        <v>44150</v>
      </c>
      <c r="JLQ37" s="1551">
        <v>44150</v>
      </c>
      <c r="JLR37" s="1551"/>
      <c r="JLS37" s="1551">
        <v>44150</v>
      </c>
      <c r="JLT37" s="1551"/>
      <c r="JLU37" s="1551">
        <v>44150</v>
      </c>
      <c r="JLV37" s="1551"/>
      <c r="JLW37" s="1551">
        <v>44150</v>
      </c>
      <c r="JLX37" s="1551">
        <v>44150</v>
      </c>
      <c r="JLY37" s="1551"/>
      <c r="JLZ37" s="1551">
        <v>44150</v>
      </c>
      <c r="JMA37" s="1551"/>
      <c r="JMB37" s="1551">
        <v>44150</v>
      </c>
      <c r="JMC37" s="1551"/>
      <c r="JMD37" s="1551">
        <v>44150</v>
      </c>
      <c r="JME37" s="1551">
        <v>44150</v>
      </c>
      <c r="JMF37" s="1551"/>
      <c r="JMG37" s="1551">
        <v>44150</v>
      </c>
      <c r="JMH37" s="1551"/>
      <c r="JMI37" s="1551">
        <v>44150</v>
      </c>
      <c r="JMJ37" s="1551"/>
      <c r="JMK37" s="1551">
        <v>44150</v>
      </c>
      <c r="JML37" s="1551">
        <v>44150</v>
      </c>
      <c r="JMM37" s="1551"/>
      <c r="JMN37" s="1551">
        <v>44150</v>
      </c>
      <c r="JMO37" s="1551"/>
      <c r="JMP37" s="1551">
        <v>44150</v>
      </c>
      <c r="JMQ37" s="1551"/>
      <c r="JMR37" s="1551">
        <v>44150</v>
      </c>
      <c r="JMS37" s="1551">
        <v>44150</v>
      </c>
      <c r="JMT37" s="1551"/>
      <c r="JMU37" s="1551">
        <v>44150</v>
      </c>
      <c r="JMV37" s="1551"/>
      <c r="JMW37" s="1551">
        <v>44150</v>
      </c>
      <c r="JMX37" s="1551"/>
      <c r="JMY37" s="1551">
        <v>44150</v>
      </c>
      <c r="JMZ37" s="1551">
        <v>44150</v>
      </c>
      <c r="JNA37" s="1551"/>
      <c r="JNB37" s="1551">
        <v>44150</v>
      </c>
      <c r="JNC37" s="1551"/>
      <c r="JND37" s="1551">
        <v>44150</v>
      </c>
      <c r="JNE37" s="1551"/>
      <c r="JNF37" s="1551">
        <v>44150</v>
      </c>
      <c r="JNG37" s="1551">
        <v>44150</v>
      </c>
      <c r="JNH37" s="1551"/>
      <c r="JNI37" s="1551">
        <v>44150</v>
      </c>
      <c r="JNJ37" s="1551"/>
      <c r="JNK37" s="1551">
        <v>44150</v>
      </c>
      <c r="JNL37" s="1551"/>
      <c r="JNM37" s="1551">
        <v>44150</v>
      </c>
      <c r="JNN37" s="1551">
        <v>44150</v>
      </c>
      <c r="JNO37" s="1551"/>
      <c r="JNP37" s="1551">
        <v>44150</v>
      </c>
      <c r="JNQ37" s="1551"/>
      <c r="JNR37" s="1551">
        <v>44150</v>
      </c>
      <c r="JNS37" s="1551"/>
      <c r="JNT37" s="1551">
        <v>44150</v>
      </c>
      <c r="JNU37" s="1551">
        <v>44150</v>
      </c>
      <c r="JNV37" s="1551"/>
      <c r="JNW37" s="1551">
        <v>44150</v>
      </c>
      <c r="JNX37" s="1551"/>
      <c r="JNY37" s="1551">
        <v>44150</v>
      </c>
      <c r="JNZ37" s="1551"/>
      <c r="JOA37" s="1551">
        <v>44150</v>
      </c>
      <c r="JOB37" s="1551">
        <v>44150</v>
      </c>
      <c r="JOC37" s="1551"/>
      <c r="JOD37" s="1551">
        <v>44150</v>
      </c>
      <c r="JOE37" s="1551"/>
      <c r="JOF37" s="1551">
        <v>44150</v>
      </c>
      <c r="JOG37" s="1551"/>
      <c r="JOH37" s="1551">
        <v>44150</v>
      </c>
      <c r="JOI37" s="1551">
        <v>44150</v>
      </c>
      <c r="JOJ37" s="1551"/>
      <c r="JOK37" s="1551">
        <v>44150</v>
      </c>
      <c r="JOL37" s="1551"/>
      <c r="JOM37" s="1551">
        <v>44150</v>
      </c>
      <c r="JON37" s="1551"/>
      <c r="JOO37" s="1551">
        <v>44150</v>
      </c>
      <c r="JOP37" s="1551">
        <v>44150</v>
      </c>
      <c r="JOQ37" s="1551"/>
      <c r="JOR37" s="1551">
        <v>44150</v>
      </c>
      <c r="JOS37" s="1551"/>
      <c r="JOT37" s="1551">
        <v>44150</v>
      </c>
      <c r="JOU37" s="1551"/>
      <c r="JOV37" s="1551">
        <v>44150</v>
      </c>
      <c r="JOW37" s="1551">
        <v>44150</v>
      </c>
      <c r="JOX37" s="1551"/>
      <c r="JOY37" s="1551">
        <v>44150</v>
      </c>
      <c r="JOZ37" s="1551"/>
      <c r="JPA37" s="1551">
        <v>44150</v>
      </c>
      <c r="JPB37" s="1551"/>
      <c r="JPC37" s="1551">
        <v>44150</v>
      </c>
      <c r="JPD37" s="1551">
        <v>44150</v>
      </c>
      <c r="JPE37" s="1551"/>
      <c r="JPF37" s="1551">
        <v>44150</v>
      </c>
      <c r="JPG37" s="1551"/>
      <c r="JPH37" s="1551">
        <v>44150</v>
      </c>
      <c r="JPI37" s="1551"/>
      <c r="JPJ37" s="1551">
        <v>44150</v>
      </c>
      <c r="JPK37" s="1551">
        <v>44150</v>
      </c>
      <c r="JPL37" s="1551"/>
      <c r="JPM37" s="1551">
        <v>44150</v>
      </c>
      <c r="JPN37" s="1551"/>
      <c r="JPO37" s="1551">
        <v>44150</v>
      </c>
      <c r="JPP37" s="1551"/>
      <c r="JPQ37" s="1551">
        <v>44150</v>
      </c>
      <c r="JPR37" s="1551">
        <v>44150</v>
      </c>
      <c r="JPS37" s="1551"/>
      <c r="JPT37" s="1551">
        <v>44150</v>
      </c>
      <c r="JPU37" s="1551"/>
      <c r="JPV37" s="1551">
        <v>44150</v>
      </c>
      <c r="JPW37" s="1551"/>
      <c r="JPX37" s="1551">
        <v>44150</v>
      </c>
      <c r="JPY37" s="1551">
        <v>44150</v>
      </c>
      <c r="JPZ37" s="1551"/>
      <c r="JQA37" s="1551">
        <v>44150</v>
      </c>
      <c r="JQB37" s="1551"/>
      <c r="JQC37" s="1551">
        <v>44150</v>
      </c>
      <c r="JQD37" s="1551"/>
      <c r="JQE37" s="1551">
        <v>44150</v>
      </c>
      <c r="JQF37" s="1551">
        <v>44150</v>
      </c>
      <c r="JQG37" s="1551"/>
      <c r="JQH37" s="1551">
        <v>44150</v>
      </c>
      <c r="JQI37" s="1551"/>
      <c r="JQJ37" s="1551">
        <v>44150</v>
      </c>
      <c r="JQK37" s="1551"/>
      <c r="JQL37" s="1551">
        <v>44150</v>
      </c>
      <c r="JQM37" s="1551">
        <v>44150</v>
      </c>
      <c r="JQN37" s="1551"/>
      <c r="JQO37" s="1551">
        <v>44150</v>
      </c>
      <c r="JQP37" s="1551"/>
      <c r="JQQ37" s="1551">
        <v>44150</v>
      </c>
      <c r="JQR37" s="1551"/>
      <c r="JQS37" s="1551">
        <v>44150</v>
      </c>
      <c r="JQT37" s="1551">
        <v>44150</v>
      </c>
      <c r="JQU37" s="1551"/>
      <c r="JQV37" s="1551">
        <v>44150</v>
      </c>
      <c r="JQW37" s="1551"/>
      <c r="JQX37" s="1551">
        <v>44150</v>
      </c>
      <c r="JQY37" s="1551"/>
      <c r="JQZ37" s="1551">
        <v>44150</v>
      </c>
      <c r="JRA37" s="1551">
        <v>44150</v>
      </c>
      <c r="JRB37" s="1551"/>
      <c r="JRC37" s="1551">
        <v>44150</v>
      </c>
      <c r="JRD37" s="1551"/>
      <c r="JRE37" s="1551">
        <v>44150</v>
      </c>
      <c r="JRF37" s="1551"/>
      <c r="JRG37" s="1551">
        <v>44150</v>
      </c>
      <c r="JRH37" s="1551">
        <v>44150</v>
      </c>
      <c r="JRI37" s="1551"/>
      <c r="JRJ37" s="1551">
        <v>44150</v>
      </c>
      <c r="JRK37" s="1551"/>
      <c r="JRL37" s="1551">
        <v>44150</v>
      </c>
      <c r="JRM37" s="1551"/>
      <c r="JRN37" s="1551">
        <v>44150</v>
      </c>
      <c r="JRO37" s="1551">
        <v>44150</v>
      </c>
      <c r="JRP37" s="1551"/>
      <c r="JRQ37" s="1551">
        <v>44150</v>
      </c>
      <c r="JRR37" s="1551"/>
      <c r="JRS37" s="1551">
        <v>44150</v>
      </c>
      <c r="JRT37" s="1551"/>
      <c r="JRU37" s="1551">
        <v>44150</v>
      </c>
      <c r="JRV37" s="1551">
        <v>44150</v>
      </c>
      <c r="JRW37" s="1551"/>
      <c r="JRX37" s="1551">
        <v>44150</v>
      </c>
      <c r="JRY37" s="1551"/>
      <c r="JRZ37" s="1551">
        <v>44150</v>
      </c>
      <c r="JSA37" s="1551"/>
      <c r="JSB37" s="1551">
        <v>44150</v>
      </c>
      <c r="JSC37" s="1551">
        <v>44150</v>
      </c>
      <c r="JSD37" s="1551"/>
      <c r="JSE37" s="1551">
        <v>44150</v>
      </c>
      <c r="JSF37" s="1551"/>
      <c r="JSG37" s="1551">
        <v>44150</v>
      </c>
      <c r="JSH37" s="1551"/>
      <c r="JSI37" s="1551">
        <v>44150</v>
      </c>
      <c r="JSJ37" s="1551">
        <v>44150</v>
      </c>
      <c r="JSK37" s="1551"/>
      <c r="JSL37" s="1551">
        <v>44150</v>
      </c>
      <c r="JSM37" s="1551"/>
      <c r="JSN37" s="1551">
        <v>44150</v>
      </c>
      <c r="JSO37" s="1551"/>
      <c r="JSP37" s="1551">
        <v>44150</v>
      </c>
      <c r="JSQ37" s="1551">
        <v>44150</v>
      </c>
      <c r="JSR37" s="1551"/>
      <c r="JSS37" s="1551">
        <v>44150</v>
      </c>
      <c r="JST37" s="1551"/>
      <c r="JSU37" s="1551">
        <v>44150</v>
      </c>
      <c r="JSV37" s="1551"/>
      <c r="JSW37" s="1551">
        <v>44150</v>
      </c>
      <c r="JSX37" s="1551">
        <v>44150</v>
      </c>
      <c r="JSY37" s="1551"/>
      <c r="JSZ37" s="1551">
        <v>44150</v>
      </c>
      <c r="JTA37" s="1551"/>
      <c r="JTB37" s="1551">
        <v>44150</v>
      </c>
      <c r="JTC37" s="1551"/>
      <c r="JTD37" s="1551">
        <v>44150</v>
      </c>
      <c r="JTE37" s="1551">
        <v>44150</v>
      </c>
      <c r="JTF37" s="1551"/>
      <c r="JTG37" s="1551">
        <v>44150</v>
      </c>
      <c r="JTH37" s="1551"/>
      <c r="JTI37" s="1551">
        <v>44150</v>
      </c>
      <c r="JTJ37" s="1551"/>
      <c r="JTK37" s="1551">
        <v>44150</v>
      </c>
      <c r="JTL37" s="1551">
        <v>44150</v>
      </c>
      <c r="JTM37" s="1551"/>
      <c r="JTN37" s="1551">
        <v>44150</v>
      </c>
      <c r="JTO37" s="1551"/>
      <c r="JTP37" s="1551">
        <v>44150</v>
      </c>
      <c r="JTQ37" s="1551"/>
      <c r="JTR37" s="1551">
        <v>44150</v>
      </c>
      <c r="JTS37" s="1551">
        <v>44150</v>
      </c>
      <c r="JTT37" s="1551"/>
      <c r="JTU37" s="1551">
        <v>44150</v>
      </c>
      <c r="JTV37" s="1551"/>
      <c r="JTW37" s="1551">
        <v>44150</v>
      </c>
      <c r="JTX37" s="1551"/>
      <c r="JTY37" s="1551">
        <v>44150</v>
      </c>
      <c r="JTZ37" s="1551">
        <v>44150</v>
      </c>
      <c r="JUA37" s="1551"/>
      <c r="JUB37" s="1551">
        <v>44150</v>
      </c>
      <c r="JUC37" s="1551"/>
      <c r="JUD37" s="1551">
        <v>44150</v>
      </c>
      <c r="JUE37" s="1551"/>
      <c r="JUF37" s="1551">
        <v>44150</v>
      </c>
      <c r="JUG37" s="1551">
        <v>44150</v>
      </c>
      <c r="JUH37" s="1551"/>
      <c r="JUI37" s="1551">
        <v>44150</v>
      </c>
      <c r="JUJ37" s="1551"/>
      <c r="JUK37" s="1551">
        <v>44150</v>
      </c>
      <c r="JUL37" s="1551"/>
      <c r="JUM37" s="1551">
        <v>44150</v>
      </c>
      <c r="JUN37" s="1551">
        <v>44150</v>
      </c>
      <c r="JUO37" s="1551"/>
      <c r="JUP37" s="1551">
        <v>44150</v>
      </c>
      <c r="JUQ37" s="1551"/>
      <c r="JUR37" s="1551">
        <v>44150</v>
      </c>
      <c r="JUS37" s="1551"/>
      <c r="JUT37" s="1551">
        <v>44150</v>
      </c>
      <c r="JUU37" s="1551">
        <v>44150</v>
      </c>
      <c r="JUV37" s="1551"/>
      <c r="JUW37" s="1551">
        <v>44150</v>
      </c>
      <c r="JUX37" s="1551"/>
      <c r="JUY37" s="1551">
        <v>44150</v>
      </c>
      <c r="JUZ37" s="1551"/>
      <c r="JVA37" s="1551">
        <v>44150</v>
      </c>
      <c r="JVB37" s="1551">
        <v>44150</v>
      </c>
      <c r="JVC37" s="1551"/>
      <c r="JVD37" s="1551">
        <v>44150</v>
      </c>
      <c r="JVE37" s="1551"/>
      <c r="JVF37" s="1551">
        <v>44150</v>
      </c>
      <c r="JVG37" s="1551"/>
      <c r="JVH37" s="1551">
        <v>44150</v>
      </c>
      <c r="JVI37" s="1551">
        <v>44150</v>
      </c>
      <c r="JVJ37" s="1551"/>
      <c r="JVK37" s="1551">
        <v>44150</v>
      </c>
      <c r="JVL37" s="1551"/>
      <c r="JVM37" s="1551">
        <v>44150</v>
      </c>
      <c r="JVN37" s="1551"/>
      <c r="JVO37" s="1551">
        <v>44150</v>
      </c>
      <c r="JVP37" s="1551">
        <v>44150</v>
      </c>
      <c r="JVQ37" s="1551"/>
      <c r="JVR37" s="1551">
        <v>44150</v>
      </c>
      <c r="JVS37" s="1551"/>
      <c r="JVT37" s="1551">
        <v>44150</v>
      </c>
      <c r="JVU37" s="1551"/>
      <c r="JVV37" s="1551">
        <v>44150</v>
      </c>
      <c r="JVW37" s="1551">
        <v>44150</v>
      </c>
      <c r="JVX37" s="1551"/>
      <c r="JVY37" s="1551">
        <v>44150</v>
      </c>
      <c r="JVZ37" s="1551"/>
      <c r="JWA37" s="1551">
        <v>44150</v>
      </c>
      <c r="JWB37" s="1551"/>
      <c r="JWC37" s="1551">
        <v>44150</v>
      </c>
      <c r="JWD37" s="1551">
        <v>44150</v>
      </c>
      <c r="JWE37" s="1551"/>
      <c r="JWF37" s="1551">
        <v>44150</v>
      </c>
      <c r="JWG37" s="1551"/>
      <c r="JWH37" s="1551">
        <v>44150</v>
      </c>
      <c r="JWI37" s="1551"/>
      <c r="JWJ37" s="1551">
        <v>44150</v>
      </c>
      <c r="JWK37" s="1551">
        <v>44150</v>
      </c>
      <c r="JWL37" s="1551"/>
      <c r="JWM37" s="1551">
        <v>44150</v>
      </c>
      <c r="JWN37" s="1551"/>
      <c r="JWO37" s="1551">
        <v>44150</v>
      </c>
      <c r="JWP37" s="1551"/>
      <c r="JWQ37" s="1551">
        <v>44150</v>
      </c>
      <c r="JWR37" s="1551">
        <v>44150</v>
      </c>
      <c r="JWS37" s="1551"/>
      <c r="JWT37" s="1551">
        <v>44150</v>
      </c>
      <c r="JWU37" s="1551"/>
      <c r="JWV37" s="1551">
        <v>44150</v>
      </c>
      <c r="JWW37" s="1551"/>
      <c r="JWX37" s="1551">
        <v>44150</v>
      </c>
      <c r="JWY37" s="1551">
        <v>44150</v>
      </c>
      <c r="JWZ37" s="1551"/>
      <c r="JXA37" s="1551">
        <v>44150</v>
      </c>
      <c r="JXB37" s="1551"/>
      <c r="JXC37" s="1551">
        <v>44150</v>
      </c>
      <c r="JXD37" s="1551"/>
      <c r="JXE37" s="1551">
        <v>44150</v>
      </c>
      <c r="JXF37" s="1551">
        <v>44150</v>
      </c>
      <c r="JXG37" s="1551"/>
      <c r="JXH37" s="1551">
        <v>44150</v>
      </c>
      <c r="JXI37" s="1551"/>
      <c r="JXJ37" s="1551">
        <v>44150</v>
      </c>
      <c r="JXK37" s="1551"/>
      <c r="JXL37" s="1551">
        <v>44150</v>
      </c>
      <c r="JXM37" s="1551">
        <v>44150</v>
      </c>
      <c r="JXN37" s="1551"/>
      <c r="JXO37" s="1551">
        <v>44150</v>
      </c>
      <c r="JXP37" s="1551"/>
      <c r="JXQ37" s="1551">
        <v>44150</v>
      </c>
      <c r="JXR37" s="1551"/>
      <c r="JXS37" s="1551">
        <v>44150</v>
      </c>
      <c r="JXT37" s="1551">
        <v>44150</v>
      </c>
      <c r="JXU37" s="1551"/>
      <c r="JXV37" s="1551">
        <v>44150</v>
      </c>
      <c r="JXW37" s="1551"/>
      <c r="JXX37" s="1551">
        <v>44150</v>
      </c>
      <c r="JXY37" s="1551"/>
      <c r="JXZ37" s="1551">
        <v>44150</v>
      </c>
      <c r="JYA37" s="1551">
        <v>44150</v>
      </c>
      <c r="JYB37" s="1551"/>
      <c r="JYC37" s="1551">
        <v>44150</v>
      </c>
      <c r="JYD37" s="1551"/>
      <c r="JYE37" s="1551">
        <v>44150</v>
      </c>
      <c r="JYF37" s="1551"/>
      <c r="JYG37" s="1551">
        <v>44150</v>
      </c>
      <c r="JYH37" s="1551">
        <v>44150</v>
      </c>
      <c r="JYI37" s="1551"/>
      <c r="JYJ37" s="1551">
        <v>44150</v>
      </c>
      <c r="JYK37" s="1551"/>
      <c r="JYL37" s="1551">
        <v>44150</v>
      </c>
      <c r="JYM37" s="1551"/>
      <c r="JYN37" s="1551">
        <v>44150</v>
      </c>
      <c r="JYO37" s="1551">
        <v>44150</v>
      </c>
      <c r="JYP37" s="1551"/>
      <c r="JYQ37" s="1551">
        <v>44150</v>
      </c>
      <c r="JYR37" s="1551"/>
      <c r="JYS37" s="1551">
        <v>44150</v>
      </c>
      <c r="JYT37" s="1551"/>
      <c r="JYU37" s="1551">
        <v>44150</v>
      </c>
      <c r="JYV37" s="1551">
        <v>44150</v>
      </c>
      <c r="JYW37" s="1551"/>
      <c r="JYX37" s="1551">
        <v>44150</v>
      </c>
      <c r="JYY37" s="1551"/>
      <c r="JYZ37" s="1551">
        <v>44150</v>
      </c>
      <c r="JZA37" s="1551"/>
      <c r="JZB37" s="1551">
        <v>44150</v>
      </c>
      <c r="JZC37" s="1551">
        <v>44150</v>
      </c>
      <c r="JZD37" s="1551"/>
      <c r="JZE37" s="1551">
        <v>44150</v>
      </c>
      <c r="JZF37" s="1551"/>
      <c r="JZG37" s="1551">
        <v>44150</v>
      </c>
      <c r="JZH37" s="1551"/>
      <c r="JZI37" s="1551">
        <v>44150</v>
      </c>
      <c r="JZJ37" s="1551">
        <v>44150</v>
      </c>
      <c r="JZK37" s="1551"/>
      <c r="JZL37" s="1551">
        <v>44150</v>
      </c>
      <c r="JZM37" s="1551"/>
      <c r="JZN37" s="1551">
        <v>44150</v>
      </c>
      <c r="JZO37" s="1551"/>
      <c r="JZP37" s="1551">
        <v>44150</v>
      </c>
      <c r="JZQ37" s="1551">
        <v>44150</v>
      </c>
      <c r="JZR37" s="1551"/>
      <c r="JZS37" s="1551">
        <v>44150</v>
      </c>
      <c r="JZT37" s="1551"/>
      <c r="JZU37" s="1551">
        <v>44150</v>
      </c>
      <c r="JZV37" s="1551"/>
      <c r="JZW37" s="1551">
        <v>44150</v>
      </c>
      <c r="JZX37" s="1551">
        <v>44150</v>
      </c>
      <c r="JZY37" s="1551"/>
      <c r="JZZ37" s="1551">
        <v>44150</v>
      </c>
      <c r="KAA37" s="1551"/>
      <c r="KAB37" s="1551">
        <v>44150</v>
      </c>
      <c r="KAC37" s="1551"/>
      <c r="KAD37" s="1551">
        <v>44150</v>
      </c>
      <c r="KAE37" s="1551">
        <v>44150</v>
      </c>
      <c r="KAF37" s="1551"/>
      <c r="KAG37" s="1551">
        <v>44150</v>
      </c>
      <c r="KAH37" s="1551"/>
      <c r="KAI37" s="1551">
        <v>44150</v>
      </c>
      <c r="KAJ37" s="1551"/>
      <c r="KAK37" s="1551">
        <v>44150</v>
      </c>
      <c r="KAL37" s="1551">
        <v>44150</v>
      </c>
      <c r="KAM37" s="1551"/>
      <c r="KAN37" s="1551">
        <v>44150</v>
      </c>
      <c r="KAO37" s="1551"/>
      <c r="KAP37" s="1551">
        <v>44150</v>
      </c>
      <c r="KAQ37" s="1551"/>
      <c r="KAR37" s="1551">
        <v>44150</v>
      </c>
      <c r="KAS37" s="1551">
        <v>44150</v>
      </c>
      <c r="KAT37" s="1551"/>
      <c r="KAU37" s="1551">
        <v>44150</v>
      </c>
      <c r="KAV37" s="1551"/>
      <c r="KAW37" s="1551">
        <v>44150</v>
      </c>
      <c r="KAX37" s="1551"/>
      <c r="KAY37" s="1551">
        <v>44150</v>
      </c>
      <c r="KAZ37" s="1551">
        <v>44150</v>
      </c>
      <c r="KBA37" s="1551"/>
      <c r="KBB37" s="1551">
        <v>44150</v>
      </c>
      <c r="KBC37" s="1551"/>
      <c r="KBD37" s="1551">
        <v>44150</v>
      </c>
      <c r="KBE37" s="1551"/>
      <c r="KBF37" s="1551">
        <v>44150</v>
      </c>
      <c r="KBG37" s="1551">
        <v>44150</v>
      </c>
      <c r="KBH37" s="1551"/>
      <c r="KBI37" s="1551">
        <v>44150</v>
      </c>
      <c r="KBJ37" s="1551"/>
      <c r="KBK37" s="1551">
        <v>44150</v>
      </c>
      <c r="KBL37" s="1551"/>
      <c r="KBM37" s="1551">
        <v>44150</v>
      </c>
      <c r="KBN37" s="1551">
        <v>44150</v>
      </c>
      <c r="KBO37" s="1551"/>
      <c r="KBP37" s="1551">
        <v>44150</v>
      </c>
      <c r="KBQ37" s="1551"/>
      <c r="KBR37" s="1551">
        <v>44150</v>
      </c>
      <c r="KBS37" s="1551"/>
      <c r="KBT37" s="1551">
        <v>44150</v>
      </c>
      <c r="KBU37" s="1551">
        <v>44150</v>
      </c>
      <c r="KBV37" s="1551"/>
      <c r="KBW37" s="1551">
        <v>44150</v>
      </c>
      <c r="KBX37" s="1551"/>
      <c r="KBY37" s="1551">
        <v>44150</v>
      </c>
      <c r="KBZ37" s="1551"/>
      <c r="KCA37" s="1551">
        <v>44150</v>
      </c>
      <c r="KCB37" s="1551">
        <v>44150</v>
      </c>
      <c r="KCC37" s="1551"/>
      <c r="KCD37" s="1551">
        <v>44150</v>
      </c>
      <c r="KCE37" s="1551"/>
      <c r="KCF37" s="1551">
        <v>44150</v>
      </c>
      <c r="KCG37" s="1551"/>
      <c r="KCH37" s="1551">
        <v>44150</v>
      </c>
      <c r="KCI37" s="1551">
        <v>44150</v>
      </c>
      <c r="KCJ37" s="1551"/>
      <c r="KCK37" s="1551">
        <v>44150</v>
      </c>
      <c r="KCL37" s="1551"/>
      <c r="KCM37" s="1551">
        <v>44150</v>
      </c>
      <c r="KCN37" s="1551"/>
      <c r="KCO37" s="1551">
        <v>44150</v>
      </c>
      <c r="KCP37" s="1551">
        <v>44150</v>
      </c>
      <c r="KCQ37" s="1551"/>
      <c r="KCR37" s="1551">
        <v>44150</v>
      </c>
      <c r="KCS37" s="1551"/>
      <c r="KCT37" s="1551">
        <v>44150</v>
      </c>
      <c r="KCU37" s="1551"/>
      <c r="KCV37" s="1551">
        <v>44150</v>
      </c>
      <c r="KCW37" s="1551">
        <v>44150</v>
      </c>
      <c r="KCX37" s="1551"/>
      <c r="KCY37" s="1551">
        <v>44150</v>
      </c>
      <c r="KCZ37" s="1551"/>
      <c r="KDA37" s="1551">
        <v>44150</v>
      </c>
      <c r="KDB37" s="1551"/>
      <c r="KDC37" s="1551">
        <v>44150</v>
      </c>
      <c r="KDD37" s="1551">
        <v>44150</v>
      </c>
      <c r="KDE37" s="1551"/>
      <c r="KDF37" s="1551">
        <v>44150</v>
      </c>
      <c r="KDG37" s="1551"/>
      <c r="KDH37" s="1551">
        <v>44150</v>
      </c>
      <c r="KDI37" s="1551"/>
      <c r="KDJ37" s="1551">
        <v>44150</v>
      </c>
      <c r="KDK37" s="1551">
        <v>44150</v>
      </c>
      <c r="KDL37" s="1551"/>
      <c r="KDM37" s="1551">
        <v>44150</v>
      </c>
      <c r="KDN37" s="1551"/>
      <c r="KDO37" s="1551">
        <v>44150</v>
      </c>
      <c r="KDP37" s="1551"/>
      <c r="KDQ37" s="1551">
        <v>44150</v>
      </c>
      <c r="KDR37" s="1551">
        <v>44150</v>
      </c>
      <c r="KDS37" s="1551"/>
      <c r="KDT37" s="1551">
        <v>44150</v>
      </c>
      <c r="KDU37" s="1551"/>
      <c r="KDV37" s="1551">
        <v>44150</v>
      </c>
      <c r="KDW37" s="1551"/>
      <c r="KDX37" s="1551">
        <v>44150</v>
      </c>
      <c r="KDY37" s="1551">
        <v>44150</v>
      </c>
      <c r="KDZ37" s="1551"/>
      <c r="KEA37" s="1551">
        <v>44150</v>
      </c>
      <c r="KEB37" s="1551"/>
      <c r="KEC37" s="1551">
        <v>44150</v>
      </c>
      <c r="KED37" s="1551"/>
      <c r="KEE37" s="1551">
        <v>44150</v>
      </c>
      <c r="KEF37" s="1551">
        <v>44150</v>
      </c>
      <c r="KEG37" s="1551"/>
      <c r="KEH37" s="1551">
        <v>44150</v>
      </c>
      <c r="KEI37" s="1551"/>
      <c r="KEJ37" s="1551">
        <v>44150</v>
      </c>
      <c r="KEK37" s="1551"/>
      <c r="KEL37" s="1551">
        <v>44150</v>
      </c>
      <c r="KEM37" s="1551">
        <v>44150</v>
      </c>
      <c r="KEN37" s="1551"/>
      <c r="KEO37" s="1551">
        <v>44150</v>
      </c>
      <c r="KEP37" s="1551"/>
      <c r="KEQ37" s="1551">
        <v>44150</v>
      </c>
      <c r="KER37" s="1551"/>
      <c r="KES37" s="1551">
        <v>44150</v>
      </c>
      <c r="KET37" s="1551">
        <v>44150</v>
      </c>
      <c r="KEU37" s="1551"/>
      <c r="KEV37" s="1551">
        <v>44150</v>
      </c>
      <c r="KEW37" s="1551"/>
      <c r="KEX37" s="1551">
        <v>44150</v>
      </c>
      <c r="KEY37" s="1551"/>
      <c r="KEZ37" s="1551">
        <v>44150</v>
      </c>
      <c r="KFA37" s="1551">
        <v>44150</v>
      </c>
      <c r="KFB37" s="1551"/>
      <c r="KFC37" s="1551">
        <v>44150</v>
      </c>
      <c r="KFD37" s="1551"/>
      <c r="KFE37" s="1551">
        <v>44150</v>
      </c>
      <c r="KFF37" s="1551"/>
      <c r="KFG37" s="1551">
        <v>44150</v>
      </c>
      <c r="KFH37" s="1551">
        <v>44150</v>
      </c>
      <c r="KFI37" s="1551"/>
      <c r="KFJ37" s="1551">
        <v>44150</v>
      </c>
      <c r="KFK37" s="1551"/>
      <c r="KFL37" s="1551">
        <v>44150</v>
      </c>
      <c r="KFM37" s="1551"/>
      <c r="KFN37" s="1551">
        <v>44150</v>
      </c>
      <c r="KFO37" s="1551">
        <v>44150</v>
      </c>
      <c r="KFP37" s="1551"/>
      <c r="KFQ37" s="1551">
        <v>44150</v>
      </c>
      <c r="KFR37" s="1551"/>
      <c r="KFS37" s="1551">
        <v>44150</v>
      </c>
      <c r="KFT37" s="1551"/>
      <c r="KFU37" s="1551">
        <v>44150</v>
      </c>
      <c r="KFV37" s="1551">
        <v>44150</v>
      </c>
      <c r="KFW37" s="1551"/>
      <c r="KFX37" s="1551">
        <v>44150</v>
      </c>
      <c r="KFY37" s="1551"/>
      <c r="KFZ37" s="1551">
        <v>44150</v>
      </c>
      <c r="KGA37" s="1551"/>
      <c r="KGB37" s="1551">
        <v>44150</v>
      </c>
      <c r="KGC37" s="1551">
        <v>44150</v>
      </c>
      <c r="KGD37" s="1551"/>
      <c r="KGE37" s="1551">
        <v>44150</v>
      </c>
      <c r="KGF37" s="1551"/>
      <c r="KGG37" s="1551">
        <v>44150</v>
      </c>
      <c r="KGH37" s="1551"/>
      <c r="KGI37" s="1551">
        <v>44150</v>
      </c>
      <c r="KGJ37" s="1551">
        <v>44150</v>
      </c>
      <c r="KGK37" s="1551"/>
      <c r="KGL37" s="1551">
        <v>44150</v>
      </c>
      <c r="KGM37" s="1551"/>
      <c r="KGN37" s="1551">
        <v>44150</v>
      </c>
      <c r="KGO37" s="1551"/>
      <c r="KGP37" s="1551">
        <v>44150</v>
      </c>
      <c r="KGQ37" s="1551">
        <v>44150</v>
      </c>
      <c r="KGR37" s="1551"/>
      <c r="KGS37" s="1551">
        <v>44150</v>
      </c>
      <c r="KGT37" s="1551"/>
      <c r="KGU37" s="1551">
        <v>44150</v>
      </c>
      <c r="KGV37" s="1551"/>
      <c r="KGW37" s="1551">
        <v>44150</v>
      </c>
      <c r="KGX37" s="1551">
        <v>44150</v>
      </c>
      <c r="KGY37" s="1551"/>
      <c r="KGZ37" s="1551">
        <v>44150</v>
      </c>
      <c r="KHA37" s="1551"/>
      <c r="KHB37" s="1551">
        <v>44150</v>
      </c>
      <c r="KHC37" s="1551"/>
      <c r="KHD37" s="1551">
        <v>44150</v>
      </c>
      <c r="KHE37" s="1551">
        <v>44150</v>
      </c>
      <c r="KHF37" s="1551"/>
      <c r="KHG37" s="1551">
        <v>44150</v>
      </c>
      <c r="KHH37" s="1551"/>
      <c r="KHI37" s="1551">
        <v>44150</v>
      </c>
      <c r="KHJ37" s="1551"/>
      <c r="KHK37" s="1551">
        <v>44150</v>
      </c>
      <c r="KHL37" s="1551">
        <v>44150</v>
      </c>
      <c r="KHM37" s="1551"/>
      <c r="KHN37" s="1551">
        <v>44150</v>
      </c>
      <c r="KHO37" s="1551"/>
      <c r="KHP37" s="1551">
        <v>44150</v>
      </c>
      <c r="KHQ37" s="1551"/>
      <c r="KHR37" s="1551">
        <v>44150</v>
      </c>
      <c r="KHS37" s="1551">
        <v>44150</v>
      </c>
      <c r="KHT37" s="1551"/>
      <c r="KHU37" s="1551">
        <v>44150</v>
      </c>
      <c r="KHV37" s="1551"/>
      <c r="KHW37" s="1551">
        <v>44150</v>
      </c>
      <c r="KHX37" s="1551"/>
      <c r="KHY37" s="1551">
        <v>44150</v>
      </c>
      <c r="KHZ37" s="1551">
        <v>44150</v>
      </c>
      <c r="KIA37" s="1551"/>
      <c r="KIB37" s="1551">
        <v>44150</v>
      </c>
      <c r="KIC37" s="1551"/>
      <c r="KID37" s="1551">
        <v>44150</v>
      </c>
      <c r="KIE37" s="1551"/>
      <c r="KIF37" s="1551">
        <v>44150</v>
      </c>
      <c r="KIG37" s="1551">
        <v>44150</v>
      </c>
      <c r="KIH37" s="1551"/>
      <c r="KII37" s="1551">
        <v>44150</v>
      </c>
      <c r="KIJ37" s="1551"/>
      <c r="KIK37" s="1551">
        <v>44150</v>
      </c>
      <c r="KIL37" s="1551"/>
      <c r="KIM37" s="1551">
        <v>44150</v>
      </c>
      <c r="KIN37" s="1551">
        <v>44150</v>
      </c>
      <c r="KIO37" s="1551"/>
      <c r="KIP37" s="1551">
        <v>44150</v>
      </c>
      <c r="KIQ37" s="1551"/>
      <c r="KIR37" s="1551">
        <v>44150</v>
      </c>
      <c r="KIS37" s="1551"/>
      <c r="KIT37" s="1551">
        <v>44150</v>
      </c>
      <c r="KIU37" s="1551">
        <v>44150</v>
      </c>
      <c r="KIV37" s="1551"/>
      <c r="KIW37" s="1551">
        <v>44150</v>
      </c>
      <c r="KIX37" s="1551"/>
      <c r="KIY37" s="1551">
        <v>44150</v>
      </c>
      <c r="KIZ37" s="1551"/>
      <c r="KJA37" s="1551">
        <v>44150</v>
      </c>
      <c r="KJB37" s="1551">
        <v>44150</v>
      </c>
      <c r="KJC37" s="1551"/>
      <c r="KJD37" s="1551">
        <v>44150</v>
      </c>
      <c r="KJE37" s="1551"/>
      <c r="KJF37" s="1551">
        <v>44150</v>
      </c>
      <c r="KJG37" s="1551"/>
      <c r="KJH37" s="1551">
        <v>44150</v>
      </c>
      <c r="KJI37" s="1551">
        <v>44150</v>
      </c>
      <c r="KJJ37" s="1551"/>
      <c r="KJK37" s="1551">
        <v>44150</v>
      </c>
      <c r="KJL37" s="1551"/>
      <c r="KJM37" s="1551">
        <v>44150</v>
      </c>
      <c r="KJN37" s="1551"/>
      <c r="KJO37" s="1551">
        <v>44150</v>
      </c>
      <c r="KJP37" s="1551">
        <v>44150</v>
      </c>
      <c r="KJQ37" s="1551"/>
      <c r="KJR37" s="1551">
        <v>44150</v>
      </c>
      <c r="KJS37" s="1551"/>
      <c r="KJT37" s="1551">
        <v>44150</v>
      </c>
      <c r="KJU37" s="1551"/>
      <c r="KJV37" s="1551">
        <v>44150</v>
      </c>
      <c r="KJW37" s="1551">
        <v>44150</v>
      </c>
      <c r="KJX37" s="1551"/>
      <c r="KJY37" s="1551">
        <v>44150</v>
      </c>
      <c r="KJZ37" s="1551"/>
      <c r="KKA37" s="1551">
        <v>44150</v>
      </c>
      <c r="KKB37" s="1551"/>
      <c r="KKC37" s="1551">
        <v>44150</v>
      </c>
      <c r="KKD37" s="1551">
        <v>44150</v>
      </c>
      <c r="KKE37" s="1551"/>
      <c r="KKF37" s="1551">
        <v>44150</v>
      </c>
      <c r="KKG37" s="1551"/>
      <c r="KKH37" s="1551">
        <v>44150</v>
      </c>
      <c r="KKI37" s="1551"/>
      <c r="KKJ37" s="1551">
        <v>44150</v>
      </c>
      <c r="KKK37" s="1551">
        <v>44150</v>
      </c>
      <c r="KKL37" s="1551"/>
      <c r="KKM37" s="1551">
        <v>44150</v>
      </c>
      <c r="KKN37" s="1551"/>
      <c r="KKO37" s="1551">
        <v>44150</v>
      </c>
      <c r="KKP37" s="1551"/>
      <c r="KKQ37" s="1551">
        <v>44150</v>
      </c>
      <c r="KKR37" s="1551">
        <v>44150</v>
      </c>
      <c r="KKS37" s="1551"/>
      <c r="KKT37" s="1551">
        <v>44150</v>
      </c>
      <c r="KKU37" s="1551"/>
      <c r="KKV37" s="1551">
        <v>44150</v>
      </c>
      <c r="KKW37" s="1551"/>
      <c r="KKX37" s="1551">
        <v>44150</v>
      </c>
      <c r="KKY37" s="1551">
        <v>44150</v>
      </c>
      <c r="KKZ37" s="1551"/>
      <c r="KLA37" s="1551">
        <v>44150</v>
      </c>
      <c r="KLB37" s="1551"/>
      <c r="KLC37" s="1551">
        <v>44150</v>
      </c>
      <c r="KLD37" s="1551"/>
      <c r="KLE37" s="1551">
        <v>44150</v>
      </c>
      <c r="KLF37" s="1551">
        <v>44150</v>
      </c>
      <c r="KLG37" s="1551"/>
      <c r="KLH37" s="1551">
        <v>44150</v>
      </c>
      <c r="KLI37" s="1551"/>
      <c r="KLJ37" s="1551">
        <v>44150</v>
      </c>
      <c r="KLK37" s="1551"/>
      <c r="KLL37" s="1551">
        <v>44150</v>
      </c>
      <c r="KLM37" s="1551">
        <v>44150</v>
      </c>
      <c r="KLN37" s="1551"/>
      <c r="KLO37" s="1551">
        <v>44150</v>
      </c>
      <c r="KLP37" s="1551"/>
      <c r="KLQ37" s="1551">
        <v>44150</v>
      </c>
      <c r="KLR37" s="1551"/>
      <c r="KLS37" s="1551">
        <v>44150</v>
      </c>
      <c r="KLT37" s="1551">
        <v>44150</v>
      </c>
      <c r="KLU37" s="1551"/>
      <c r="KLV37" s="1551">
        <v>44150</v>
      </c>
      <c r="KLW37" s="1551"/>
      <c r="KLX37" s="1551">
        <v>44150</v>
      </c>
      <c r="KLY37" s="1551"/>
      <c r="KLZ37" s="1551">
        <v>44150</v>
      </c>
      <c r="KMA37" s="1551">
        <v>44150</v>
      </c>
      <c r="KMB37" s="1551"/>
      <c r="KMC37" s="1551">
        <v>44150</v>
      </c>
      <c r="KMD37" s="1551"/>
      <c r="KME37" s="1551">
        <v>44150</v>
      </c>
      <c r="KMF37" s="1551"/>
      <c r="KMG37" s="1551">
        <v>44150</v>
      </c>
      <c r="KMH37" s="1551">
        <v>44150</v>
      </c>
      <c r="KMI37" s="1551"/>
      <c r="KMJ37" s="1551">
        <v>44150</v>
      </c>
      <c r="KMK37" s="1551"/>
      <c r="KML37" s="1551">
        <v>44150</v>
      </c>
      <c r="KMM37" s="1551"/>
      <c r="KMN37" s="1551">
        <v>44150</v>
      </c>
      <c r="KMO37" s="1551">
        <v>44150</v>
      </c>
      <c r="KMP37" s="1551"/>
      <c r="KMQ37" s="1551">
        <v>44150</v>
      </c>
      <c r="KMR37" s="1551"/>
      <c r="KMS37" s="1551">
        <v>44150</v>
      </c>
      <c r="KMT37" s="1551"/>
      <c r="KMU37" s="1551">
        <v>44150</v>
      </c>
      <c r="KMV37" s="1551">
        <v>44150</v>
      </c>
      <c r="KMW37" s="1551"/>
      <c r="KMX37" s="1551">
        <v>44150</v>
      </c>
      <c r="KMY37" s="1551"/>
      <c r="KMZ37" s="1551">
        <v>44150</v>
      </c>
      <c r="KNA37" s="1551"/>
      <c r="KNB37" s="1551">
        <v>44150</v>
      </c>
      <c r="KNC37" s="1551">
        <v>44150</v>
      </c>
      <c r="KND37" s="1551"/>
      <c r="KNE37" s="1551">
        <v>44150</v>
      </c>
      <c r="KNF37" s="1551"/>
      <c r="KNG37" s="1551">
        <v>44150</v>
      </c>
      <c r="KNH37" s="1551"/>
      <c r="KNI37" s="1551">
        <v>44150</v>
      </c>
      <c r="KNJ37" s="1551">
        <v>44150</v>
      </c>
      <c r="KNK37" s="1551"/>
      <c r="KNL37" s="1551">
        <v>44150</v>
      </c>
      <c r="KNM37" s="1551"/>
      <c r="KNN37" s="1551">
        <v>44150</v>
      </c>
      <c r="KNO37" s="1551"/>
      <c r="KNP37" s="1551">
        <v>44150</v>
      </c>
      <c r="KNQ37" s="1551">
        <v>44150</v>
      </c>
      <c r="KNR37" s="1551"/>
      <c r="KNS37" s="1551">
        <v>44150</v>
      </c>
      <c r="KNT37" s="1551"/>
      <c r="KNU37" s="1551">
        <v>44150</v>
      </c>
      <c r="KNV37" s="1551"/>
      <c r="KNW37" s="1551">
        <v>44150</v>
      </c>
      <c r="KNX37" s="1551">
        <v>44150</v>
      </c>
      <c r="KNY37" s="1551"/>
      <c r="KNZ37" s="1551">
        <v>44150</v>
      </c>
      <c r="KOA37" s="1551"/>
      <c r="KOB37" s="1551">
        <v>44150</v>
      </c>
      <c r="KOC37" s="1551"/>
      <c r="KOD37" s="1551">
        <v>44150</v>
      </c>
      <c r="KOE37" s="1551">
        <v>44150</v>
      </c>
      <c r="KOF37" s="1551"/>
      <c r="KOG37" s="1551">
        <v>44150</v>
      </c>
      <c r="KOH37" s="1551"/>
      <c r="KOI37" s="1551">
        <v>44150</v>
      </c>
      <c r="KOJ37" s="1551"/>
      <c r="KOK37" s="1551">
        <v>44150</v>
      </c>
      <c r="KOL37" s="1551">
        <v>44150</v>
      </c>
      <c r="KOM37" s="1551"/>
      <c r="KON37" s="1551">
        <v>44150</v>
      </c>
      <c r="KOO37" s="1551"/>
      <c r="KOP37" s="1551">
        <v>44150</v>
      </c>
      <c r="KOQ37" s="1551"/>
      <c r="KOR37" s="1551">
        <v>44150</v>
      </c>
      <c r="KOS37" s="1551">
        <v>44150</v>
      </c>
      <c r="KOT37" s="1551"/>
      <c r="KOU37" s="1551">
        <v>44150</v>
      </c>
      <c r="KOV37" s="1551"/>
      <c r="KOW37" s="1551">
        <v>44150</v>
      </c>
      <c r="KOX37" s="1551"/>
      <c r="KOY37" s="1551">
        <v>44150</v>
      </c>
      <c r="KOZ37" s="1551">
        <v>44150</v>
      </c>
      <c r="KPA37" s="1551"/>
      <c r="KPB37" s="1551">
        <v>44150</v>
      </c>
      <c r="KPC37" s="1551"/>
      <c r="KPD37" s="1551">
        <v>44150</v>
      </c>
      <c r="KPE37" s="1551"/>
      <c r="KPF37" s="1551">
        <v>44150</v>
      </c>
      <c r="KPG37" s="1551">
        <v>44150</v>
      </c>
      <c r="KPH37" s="1551"/>
      <c r="KPI37" s="1551">
        <v>44150</v>
      </c>
      <c r="KPJ37" s="1551"/>
      <c r="KPK37" s="1551">
        <v>44150</v>
      </c>
      <c r="KPL37" s="1551"/>
      <c r="KPM37" s="1551">
        <v>44150</v>
      </c>
      <c r="KPN37" s="1551">
        <v>44150</v>
      </c>
      <c r="KPO37" s="1551"/>
      <c r="KPP37" s="1551">
        <v>44150</v>
      </c>
      <c r="KPQ37" s="1551"/>
      <c r="KPR37" s="1551">
        <v>44150</v>
      </c>
      <c r="KPS37" s="1551"/>
      <c r="KPT37" s="1551">
        <v>44150</v>
      </c>
      <c r="KPU37" s="1551">
        <v>44150</v>
      </c>
      <c r="KPV37" s="1551"/>
      <c r="KPW37" s="1551">
        <v>44150</v>
      </c>
      <c r="KPX37" s="1551"/>
      <c r="KPY37" s="1551">
        <v>44150</v>
      </c>
      <c r="KPZ37" s="1551"/>
      <c r="KQA37" s="1551">
        <v>44150</v>
      </c>
      <c r="KQB37" s="1551">
        <v>44150</v>
      </c>
      <c r="KQC37" s="1551"/>
      <c r="KQD37" s="1551">
        <v>44150</v>
      </c>
      <c r="KQE37" s="1551"/>
      <c r="KQF37" s="1551">
        <v>44150</v>
      </c>
      <c r="KQG37" s="1551"/>
      <c r="KQH37" s="1551">
        <v>44150</v>
      </c>
      <c r="KQI37" s="1551">
        <v>44150</v>
      </c>
      <c r="KQJ37" s="1551"/>
      <c r="KQK37" s="1551">
        <v>44150</v>
      </c>
      <c r="KQL37" s="1551"/>
      <c r="KQM37" s="1551">
        <v>44150</v>
      </c>
      <c r="KQN37" s="1551"/>
      <c r="KQO37" s="1551">
        <v>44150</v>
      </c>
      <c r="KQP37" s="1551">
        <v>44150</v>
      </c>
      <c r="KQQ37" s="1551"/>
      <c r="KQR37" s="1551">
        <v>44150</v>
      </c>
      <c r="KQS37" s="1551"/>
      <c r="KQT37" s="1551">
        <v>44150</v>
      </c>
      <c r="KQU37" s="1551"/>
      <c r="KQV37" s="1551">
        <v>44150</v>
      </c>
      <c r="KQW37" s="1551">
        <v>44150</v>
      </c>
      <c r="KQX37" s="1551"/>
      <c r="KQY37" s="1551">
        <v>44150</v>
      </c>
      <c r="KQZ37" s="1551"/>
      <c r="KRA37" s="1551">
        <v>44150</v>
      </c>
      <c r="KRB37" s="1551"/>
      <c r="KRC37" s="1551">
        <v>44150</v>
      </c>
      <c r="KRD37" s="1551">
        <v>44150</v>
      </c>
      <c r="KRE37" s="1551"/>
      <c r="KRF37" s="1551">
        <v>44150</v>
      </c>
      <c r="KRG37" s="1551"/>
      <c r="KRH37" s="1551">
        <v>44150</v>
      </c>
      <c r="KRI37" s="1551"/>
      <c r="KRJ37" s="1551">
        <v>44150</v>
      </c>
      <c r="KRK37" s="1551">
        <v>44150</v>
      </c>
      <c r="KRL37" s="1551"/>
      <c r="KRM37" s="1551">
        <v>44150</v>
      </c>
      <c r="KRN37" s="1551"/>
      <c r="KRO37" s="1551">
        <v>44150</v>
      </c>
      <c r="KRP37" s="1551"/>
      <c r="KRQ37" s="1551">
        <v>44150</v>
      </c>
      <c r="KRR37" s="1551">
        <v>44150</v>
      </c>
      <c r="KRS37" s="1551"/>
      <c r="KRT37" s="1551">
        <v>44150</v>
      </c>
      <c r="KRU37" s="1551"/>
      <c r="KRV37" s="1551">
        <v>44150</v>
      </c>
      <c r="KRW37" s="1551"/>
      <c r="KRX37" s="1551">
        <v>44150</v>
      </c>
      <c r="KRY37" s="1551">
        <v>44150</v>
      </c>
      <c r="KRZ37" s="1551"/>
      <c r="KSA37" s="1551">
        <v>44150</v>
      </c>
      <c r="KSB37" s="1551"/>
      <c r="KSC37" s="1551">
        <v>44150</v>
      </c>
      <c r="KSD37" s="1551"/>
      <c r="KSE37" s="1551">
        <v>44150</v>
      </c>
      <c r="KSF37" s="1551">
        <v>44150</v>
      </c>
      <c r="KSG37" s="1551"/>
      <c r="KSH37" s="1551">
        <v>44150</v>
      </c>
      <c r="KSI37" s="1551"/>
      <c r="KSJ37" s="1551">
        <v>44150</v>
      </c>
      <c r="KSK37" s="1551"/>
      <c r="KSL37" s="1551">
        <v>44150</v>
      </c>
      <c r="KSM37" s="1551">
        <v>44150</v>
      </c>
      <c r="KSN37" s="1551"/>
      <c r="KSO37" s="1551">
        <v>44150</v>
      </c>
      <c r="KSP37" s="1551"/>
      <c r="KSQ37" s="1551">
        <v>44150</v>
      </c>
      <c r="KSR37" s="1551"/>
      <c r="KSS37" s="1551">
        <v>44150</v>
      </c>
      <c r="KST37" s="1551">
        <v>44150</v>
      </c>
      <c r="KSU37" s="1551"/>
      <c r="KSV37" s="1551">
        <v>44150</v>
      </c>
      <c r="KSW37" s="1551"/>
      <c r="KSX37" s="1551">
        <v>44150</v>
      </c>
      <c r="KSY37" s="1551"/>
      <c r="KSZ37" s="1551">
        <v>44150</v>
      </c>
      <c r="KTA37" s="1551">
        <v>44150</v>
      </c>
      <c r="KTB37" s="1551"/>
      <c r="KTC37" s="1551">
        <v>44150</v>
      </c>
      <c r="KTD37" s="1551"/>
      <c r="KTE37" s="1551">
        <v>44150</v>
      </c>
      <c r="KTF37" s="1551"/>
      <c r="KTG37" s="1551">
        <v>44150</v>
      </c>
      <c r="KTH37" s="1551">
        <v>44150</v>
      </c>
      <c r="KTI37" s="1551"/>
      <c r="KTJ37" s="1551">
        <v>44150</v>
      </c>
      <c r="KTK37" s="1551"/>
      <c r="KTL37" s="1551">
        <v>44150</v>
      </c>
      <c r="KTM37" s="1551"/>
      <c r="KTN37" s="1551">
        <v>44150</v>
      </c>
      <c r="KTO37" s="1551">
        <v>44150</v>
      </c>
      <c r="KTP37" s="1551"/>
      <c r="KTQ37" s="1551">
        <v>44150</v>
      </c>
      <c r="KTR37" s="1551"/>
      <c r="KTS37" s="1551">
        <v>44150</v>
      </c>
      <c r="KTT37" s="1551"/>
      <c r="KTU37" s="1551">
        <v>44150</v>
      </c>
      <c r="KTV37" s="1551">
        <v>44150</v>
      </c>
      <c r="KTW37" s="1551"/>
      <c r="KTX37" s="1551">
        <v>44150</v>
      </c>
      <c r="KTY37" s="1551"/>
      <c r="KTZ37" s="1551">
        <v>44150</v>
      </c>
      <c r="KUA37" s="1551"/>
      <c r="KUB37" s="1551">
        <v>44150</v>
      </c>
      <c r="KUC37" s="1551">
        <v>44150</v>
      </c>
      <c r="KUD37" s="1551"/>
      <c r="KUE37" s="1551">
        <v>44150</v>
      </c>
      <c r="KUF37" s="1551"/>
      <c r="KUG37" s="1551">
        <v>44150</v>
      </c>
      <c r="KUH37" s="1551"/>
      <c r="KUI37" s="1551">
        <v>44150</v>
      </c>
      <c r="KUJ37" s="1551">
        <v>44150</v>
      </c>
      <c r="KUK37" s="1551"/>
      <c r="KUL37" s="1551">
        <v>44150</v>
      </c>
      <c r="KUM37" s="1551"/>
      <c r="KUN37" s="1551">
        <v>44150</v>
      </c>
      <c r="KUO37" s="1551"/>
      <c r="KUP37" s="1551">
        <v>44150</v>
      </c>
      <c r="KUQ37" s="1551">
        <v>44150</v>
      </c>
      <c r="KUR37" s="1551"/>
      <c r="KUS37" s="1551">
        <v>44150</v>
      </c>
      <c r="KUT37" s="1551"/>
      <c r="KUU37" s="1551">
        <v>44150</v>
      </c>
      <c r="KUV37" s="1551"/>
      <c r="KUW37" s="1551">
        <v>44150</v>
      </c>
      <c r="KUX37" s="1551">
        <v>44150</v>
      </c>
      <c r="KUY37" s="1551"/>
      <c r="KUZ37" s="1551">
        <v>44150</v>
      </c>
      <c r="KVA37" s="1551"/>
      <c r="KVB37" s="1551">
        <v>44150</v>
      </c>
      <c r="KVC37" s="1551"/>
      <c r="KVD37" s="1551">
        <v>44150</v>
      </c>
      <c r="KVE37" s="1551">
        <v>44150</v>
      </c>
      <c r="KVF37" s="1551"/>
      <c r="KVG37" s="1551">
        <v>44150</v>
      </c>
      <c r="KVH37" s="1551"/>
      <c r="KVI37" s="1551">
        <v>44150</v>
      </c>
      <c r="KVJ37" s="1551"/>
      <c r="KVK37" s="1551">
        <v>44150</v>
      </c>
      <c r="KVL37" s="1551">
        <v>44150</v>
      </c>
      <c r="KVM37" s="1551"/>
      <c r="KVN37" s="1551">
        <v>44150</v>
      </c>
      <c r="KVO37" s="1551"/>
      <c r="KVP37" s="1551">
        <v>44150</v>
      </c>
      <c r="KVQ37" s="1551"/>
      <c r="KVR37" s="1551">
        <v>44150</v>
      </c>
      <c r="KVS37" s="1551">
        <v>44150</v>
      </c>
      <c r="KVT37" s="1551"/>
      <c r="KVU37" s="1551">
        <v>44150</v>
      </c>
      <c r="KVV37" s="1551"/>
      <c r="KVW37" s="1551">
        <v>44150</v>
      </c>
      <c r="KVX37" s="1551"/>
      <c r="KVY37" s="1551">
        <v>44150</v>
      </c>
      <c r="KVZ37" s="1551">
        <v>44150</v>
      </c>
      <c r="KWA37" s="1551"/>
      <c r="KWB37" s="1551">
        <v>44150</v>
      </c>
      <c r="KWC37" s="1551"/>
      <c r="KWD37" s="1551">
        <v>44150</v>
      </c>
      <c r="KWE37" s="1551"/>
      <c r="KWF37" s="1551">
        <v>44150</v>
      </c>
      <c r="KWG37" s="1551">
        <v>44150</v>
      </c>
      <c r="KWH37" s="1551"/>
      <c r="KWI37" s="1551">
        <v>44150</v>
      </c>
      <c r="KWJ37" s="1551"/>
      <c r="KWK37" s="1551">
        <v>44150</v>
      </c>
      <c r="KWL37" s="1551"/>
      <c r="KWM37" s="1551">
        <v>44150</v>
      </c>
      <c r="KWN37" s="1551">
        <v>44150</v>
      </c>
      <c r="KWO37" s="1551"/>
      <c r="KWP37" s="1551">
        <v>44150</v>
      </c>
      <c r="KWQ37" s="1551"/>
      <c r="KWR37" s="1551">
        <v>44150</v>
      </c>
      <c r="KWS37" s="1551"/>
      <c r="KWT37" s="1551">
        <v>44150</v>
      </c>
      <c r="KWU37" s="1551">
        <v>44150</v>
      </c>
      <c r="KWV37" s="1551"/>
      <c r="KWW37" s="1551">
        <v>44150</v>
      </c>
      <c r="KWX37" s="1551"/>
      <c r="KWY37" s="1551">
        <v>44150</v>
      </c>
      <c r="KWZ37" s="1551"/>
      <c r="KXA37" s="1551">
        <v>44150</v>
      </c>
      <c r="KXB37" s="1551">
        <v>44150</v>
      </c>
      <c r="KXC37" s="1551"/>
      <c r="KXD37" s="1551">
        <v>44150</v>
      </c>
      <c r="KXE37" s="1551"/>
      <c r="KXF37" s="1551">
        <v>44150</v>
      </c>
      <c r="KXG37" s="1551"/>
      <c r="KXH37" s="1551">
        <v>44150</v>
      </c>
      <c r="KXI37" s="1551">
        <v>44150</v>
      </c>
      <c r="KXJ37" s="1551"/>
      <c r="KXK37" s="1551">
        <v>44150</v>
      </c>
      <c r="KXL37" s="1551"/>
      <c r="KXM37" s="1551">
        <v>44150</v>
      </c>
      <c r="KXN37" s="1551"/>
      <c r="KXO37" s="1551">
        <v>44150</v>
      </c>
      <c r="KXP37" s="1551">
        <v>44150</v>
      </c>
      <c r="KXQ37" s="1551"/>
      <c r="KXR37" s="1551">
        <v>44150</v>
      </c>
      <c r="KXS37" s="1551"/>
      <c r="KXT37" s="1551">
        <v>44150</v>
      </c>
      <c r="KXU37" s="1551"/>
      <c r="KXV37" s="1551">
        <v>44150</v>
      </c>
      <c r="KXW37" s="1551">
        <v>44150</v>
      </c>
      <c r="KXX37" s="1551"/>
      <c r="KXY37" s="1551">
        <v>44150</v>
      </c>
      <c r="KXZ37" s="1551"/>
      <c r="KYA37" s="1551">
        <v>44150</v>
      </c>
      <c r="KYB37" s="1551"/>
      <c r="KYC37" s="1551">
        <v>44150</v>
      </c>
      <c r="KYD37" s="1551">
        <v>44150</v>
      </c>
      <c r="KYE37" s="1551"/>
      <c r="KYF37" s="1551">
        <v>44150</v>
      </c>
      <c r="KYG37" s="1551"/>
      <c r="KYH37" s="1551">
        <v>44150</v>
      </c>
      <c r="KYI37" s="1551"/>
      <c r="KYJ37" s="1551">
        <v>44150</v>
      </c>
      <c r="KYK37" s="1551">
        <v>44150</v>
      </c>
      <c r="KYL37" s="1551"/>
      <c r="KYM37" s="1551">
        <v>44150</v>
      </c>
      <c r="KYN37" s="1551"/>
      <c r="KYO37" s="1551">
        <v>44150</v>
      </c>
      <c r="KYP37" s="1551"/>
      <c r="KYQ37" s="1551">
        <v>44150</v>
      </c>
      <c r="KYR37" s="1551">
        <v>44150</v>
      </c>
      <c r="KYS37" s="1551"/>
      <c r="KYT37" s="1551">
        <v>44150</v>
      </c>
      <c r="KYU37" s="1551"/>
      <c r="KYV37" s="1551">
        <v>44150</v>
      </c>
      <c r="KYW37" s="1551"/>
      <c r="KYX37" s="1551">
        <v>44150</v>
      </c>
      <c r="KYY37" s="1551">
        <v>44150</v>
      </c>
      <c r="KYZ37" s="1551"/>
      <c r="KZA37" s="1551">
        <v>44150</v>
      </c>
      <c r="KZB37" s="1551"/>
      <c r="KZC37" s="1551">
        <v>44150</v>
      </c>
      <c r="KZD37" s="1551"/>
      <c r="KZE37" s="1551">
        <v>44150</v>
      </c>
      <c r="KZF37" s="1551">
        <v>44150</v>
      </c>
      <c r="KZG37" s="1551"/>
      <c r="KZH37" s="1551">
        <v>44150</v>
      </c>
      <c r="KZI37" s="1551"/>
      <c r="KZJ37" s="1551">
        <v>44150</v>
      </c>
      <c r="KZK37" s="1551"/>
      <c r="KZL37" s="1551">
        <v>44150</v>
      </c>
      <c r="KZM37" s="1551">
        <v>44150</v>
      </c>
      <c r="KZN37" s="1551"/>
      <c r="KZO37" s="1551">
        <v>44150</v>
      </c>
      <c r="KZP37" s="1551"/>
      <c r="KZQ37" s="1551">
        <v>44150</v>
      </c>
      <c r="KZR37" s="1551"/>
      <c r="KZS37" s="1551">
        <v>44150</v>
      </c>
      <c r="KZT37" s="1551">
        <v>44150</v>
      </c>
      <c r="KZU37" s="1551"/>
      <c r="KZV37" s="1551">
        <v>44150</v>
      </c>
      <c r="KZW37" s="1551"/>
      <c r="KZX37" s="1551">
        <v>44150</v>
      </c>
      <c r="KZY37" s="1551"/>
      <c r="KZZ37" s="1551">
        <v>44150</v>
      </c>
      <c r="LAA37" s="1551">
        <v>44150</v>
      </c>
      <c r="LAB37" s="1551"/>
      <c r="LAC37" s="1551">
        <v>44150</v>
      </c>
      <c r="LAD37" s="1551"/>
      <c r="LAE37" s="1551">
        <v>44150</v>
      </c>
      <c r="LAF37" s="1551"/>
      <c r="LAG37" s="1551">
        <v>44150</v>
      </c>
      <c r="LAH37" s="1551">
        <v>44150</v>
      </c>
      <c r="LAI37" s="1551"/>
      <c r="LAJ37" s="1551">
        <v>44150</v>
      </c>
      <c r="LAK37" s="1551"/>
      <c r="LAL37" s="1551">
        <v>44150</v>
      </c>
      <c r="LAM37" s="1551"/>
      <c r="LAN37" s="1551">
        <v>44150</v>
      </c>
      <c r="LAO37" s="1551">
        <v>44150</v>
      </c>
      <c r="LAP37" s="1551"/>
      <c r="LAQ37" s="1551">
        <v>44150</v>
      </c>
      <c r="LAR37" s="1551"/>
      <c r="LAS37" s="1551">
        <v>44150</v>
      </c>
      <c r="LAT37" s="1551"/>
      <c r="LAU37" s="1551">
        <v>44150</v>
      </c>
      <c r="LAV37" s="1551">
        <v>44150</v>
      </c>
      <c r="LAW37" s="1551"/>
      <c r="LAX37" s="1551">
        <v>44150</v>
      </c>
      <c r="LAY37" s="1551"/>
      <c r="LAZ37" s="1551">
        <v>44150</v>
      </c>
      <c r="LBA37" s="1551"/>
      <c r="LBB37" s="1551">
        <v>44150</v>
      </c>
      <c r="LBC37" s="1551">
        <v>44150</v>
      </c>
      <c r="LBD37" s="1551"/>
      <c r="LBE37" s="1551">
        <v>44150</v>
      </c>
      <c r="LBF37" s="1551"/>
      <c r="LBG37" s="1551">
        <v>44150</v>
      </c>
      <c r="LBH37" s="1551"/>
      <c r="LBI37" s="1551">
        <v>44150</v>
      </c>
      <c r="LBJ37" s="1551">
        <v>44150</v>
      </c>
      <c r="LBK37" s="1551"/>
      <c r="LBL37" s="1551">
        <v>44150</v>
      </c>
      <c r="LBM37" s="1551"/>
      <c r="LBN37" s="1551">
        <v>44150</v>
      </c>
      <c r="LBO37" s="1551"/>
      <c r="LBP37" s="1551">
        <v>44150</v>
      </c>
      <c r="LBQ37" s="1551">
        <v>44150</v>
      </c>
      <c r="LBR37" s="1551"/>
      <c r="LBS37" s="1551">
        <v>44150</v>
      </c>
      <c r="LBT37" s="1551"/>
      <c r="LBU37" s="1551">
        <v>44150</v>
      </c>
      <c r="LBV37" s="1551"/>
      <c r="LBW37" s="1551">
        <v>44150</v>
      </c>
      <c r="LBX37" s="1551">
        <v>44150</v>
      </c>
      <c r="LBY37" s="1551"/>
      <c r="LBZ37" s="1551">
        <v>44150</v>
      </c>
      <c r="LCA37" s="1551"/>
      <c r="LCB37" s="1551">
        <v>44150</v>
      </c>
      <c r="LCC37" s="1551"/>
      <c r="LCD37" s="1551">
        <v>44150</v>
      </c>
      <c r="LCE37" s="1551">
        <v>44150</v>
      </c>
      <c r="LCF37" s="1551"/>
      <c r="LCG37" s="1551">
        <v>44150</v>
      </c>
      <c r="LCH37" s="1551"/>
      <c r="LCI37" s="1551">
        <v>44150</v>
      </c>
      <c r="LCJ37" s="1551"/>
      <c r="LCK37" s="1551">
        <v>44150</v>
      </c>
      <c r="LCL37" s="1551">
        <v>44150</v>
      </c>
      <c r="LCM37" s="1551"/>
      <c r="LCN37" s="1551">
        <v>44150</v>
      </c>
      <c r="LCO37" s="1551"/>
      <c r="LCP37" s="1551">
        <v>44150</v>
      </c>
      <c r="LCQ37" s="1551"/>
      <c r="LCR37" s="1551">
        <v>44150</v>
      </c>
      <c r="LCS37" s="1551">
        <v>44150</v>
      </c>
      <c r="LCT37" s="1551"/>
      <c r="LCU37" s="1551">
        <v>44150</v>
      </c>
      <c r="LCV37" s="1551"/>
      <c r="LCW37" s="1551">
        <v>44150</v>
      </c>
      <c r="LCX37" s="1551"/>
      <c r="LCY37" s="1551">
        <v>44150</v>
      </c>
      <c r="LCZ37" s="1551">
        <v>44150</v>
      </c>
      <c r="LDA37" s="1551"/>
      <c r="LDB37" s="1551">
        <v>44150</v>
      </c>
      <c r="LDC37" s="1551"/>
      <c r="LDD37" s="1551">
        <v>44150</v>
      </c>
      <c r="LDE37" s="1551"/>
      <c r="LDF37" s="1551">
        <v>44150</v>
      </c>
      <c r="LDG37" s="1551">
        <v>44150</v>
      </c>
      <c r="LDH37" s="1551"/>
      <c r="LDI37" s="1551">
        <v>44150</v>
      </c>
      <c r="LDJ37" s="1551"/>
      <c r="LDK37" s="1551">
        <v>44150</v>
      </c>
      <c r="LDL37" s="1551"/>
      <c r="LDM37" s="1551">
        <v>44150</v>
      </c>
      <c r="LDN37" s="1551">
        <v>44150</v>
      </c>
      <c r="LDO37" s="1551"/>
      <c r="LDP37" s="1551">
        <v>44150</v>
      </c>
      <c r="LDQ37" s="1551"/>
      <c r="LDR37" s="1551">
        <v>44150</v>
      </c>
      <c r="LDS37" s="1551"/>
      <c r="LDT37" s="1551">
        <v>44150</v>
      </c>
      <c r="LDU37" s="1551">
        <v>44150</v>
      </c>
      <c r="LDV37" s="1551"/>
      <c r="LDW37" s="1551">
        <v>44150</v>
      </c>
      <c r="LDX37" s="1551"/>
      <c r="LDY37" s="1551">
        <v>44150</v>
      </c>
      <c r="LDZ37" s="1551"/>
      <c r="LEA37" s="1551">
        <v>44150</v>
      </c>
      <c r="LEB37" s="1551">
        <v>44150</v>
      </c>
      <c r="LEC37" s="1551"/>
      <c r="LED37" s="1551">
        <v>44150</v>
      </c>
      <c r="LEE37" s="1551"/>
      <c r="LEF37" s="1551">
        <v>44150</v>
      </c>
      <c r="LEG37" s="1551"/>
      <c r="LEH37" s="1551">
        <v>44150</v>
      </c>
      <c r="LEI37" s="1551">
        <v>44150</v>
      </c>
      <c r="LEJ37" s="1551"/>
      <c r="LEK37" s="1551">
        <v>44150</v>
      </c>
      <c r="LEL37" s="1551"/>
      <c r="LEM37" s="1551">
        <v>44150</v>
      </c>
      <c r="LEN37" s="1551"/>
      <c r="LEO37" s="1551">
        <v>44150</v>
      </c>
      <c r="LEP37" s="1551">
        <v>44150</v>
      </c>
      <c r="LEQ37" s="1551"/>
      <c r="LER37" s="1551">
        <v>44150</v>
      </c>
      <c r="LES37" s="1551"/>
      <c r="LET37" s="1551">
        <v>44150</v>
      </c>
      <c r="LEU37" s="1551"/>
      <c r="LEV37" s="1551">
        <v>44150</v>
      </c>
      <c r="LEW37" s="1551">
        <v>44150</v>
      </c>
      <c r="LEX37" s="1551"/>
      <c r="LEY37" s="1551">
        <v>44150</v>
      </c>
      <c r="LEZ37" s="1551"/>
      <c r="LFA37" s="1551">
        <v>44150</v>
      </c>
      <c r="LFB37" s="1551"/>
      <c r="LFC37" s="1551">
        <v>44150</v>
      </c>
      <c r="LFD37" s="1551">
        <v>44150</v>
      </c>
      <c r="LFE37" s="1551"/>
      <c r="LFF37" s="1551">
        <v>44150</v>
      </c>
      <c r="LFG37" s="1551"/>
      <c r="LFH37" s="1551">
        <v>44150</v>
      </c>
      <c r="LFI37" s="1551"/>
      <c r="LFJ37" s="1551">
        <v>44150</v>
      </c>
      <c r="LFK37" s="1551">
        <v>44150</v>
      </c>
      <c r="LFL37" s="1551"/>
      <c r="LFM37" s="1551">
        <v>44150</v>
      </c>
      <c r="LFN37" s="1551"/>
      <c r="LFO37" s="1551">
        <v>44150</v>
      </c>
      <c r="LFP37" s="1551"/>
      <c r="LFQ37" s="1551">
        <v>44150</v>
      </c>
      <c r="LFR37" s="1551">
        <v>44150</v>
      </c>
      <c r="LFS37" s="1551"/>
      <c r="LFT37" s="1551">
        <v>44150</v>
      </c>
      <c r="LFU37" s="1551"/>
      <c r="LFV37" s="1551">
        <v>44150</v>
      </c>
      <c r="LFW37" s="1551"/>
      <c r="LFX37" s="1551">
        <v>44150</v>
      </c>
      <c r="LFY37" s="1551">
        <v>44150</v>
      </c>
      <c r="LFZ37" s="1551"/>
      <c r="LGA37" s="1551">
        <v>44150</v>
      </c>
      <c r="LGB37" s="1551"/>
      <c r="LGC37" s="1551">
        <v>44150</v>
      </c>
      <c r="LGD37" s="1551"/>
      <c r="LGE37" s="1551">
        <v>44150</v>
      </c>
      <c r="LGF37" s="1551">
        <v>44150</v>
      </c>
      <c r="LGG37" s="1551"/>
      <c r="LGH37" s="1551">
        <v>44150</v>
      </c>
      <c r="LGI37" s="1551"/>
      <c r="LGJ37" s="1551">
        <v>44150</v>
      </c>
      <c r="LGK37" s="1551"/>
      <c r="LGL37" s="1551">
        <v>44150</v>
      </c>
      <c r="LGM37" s="1551">
        <v>44150</v>
      </c>
      <c r="LGN37" s="1551"/>
      <c r="LGO37" s="1551">
        <v>44150</v>
      </c>
      <c r="LGP37" s="1551"/>
      <c r="LGQ37" s="1551">
        <v>44150</v>
      </c>
      <c r="LGR37" s="1551"/>
      <c r="LGS37" s="1551">
        <v>44150</v>
      </c>
      <c r="LGT37" s="1551">
        <v>44150</v>
      </c>
      <c r="LGU37" s="1551"/>
      <c r="LGV37" s="1551">
        <v>44150</v>
      </c>
      <c r="LGW37" s="1551"/>
      <c r="LGX37" s="1551">
        <v>44150</v>
      </c>
      <c r="LGY37" s="1551"/>
      <c r="LGZ37" s="1551">
        <v>44150</v>
      </c>
      <c r="LHA37" s="1551">
        <v>44150</v>
      </c>
      <c r="LHB37" s="1551"/>
      <c r="LHC37" s="1551">
        <v>44150</v>
      </c>
      <c r="LHD37" s="1551"/>
      <c r="LHE37" s="1551">
        <v>44150</v>
      </c>
      <c r="LHF37" s="1551"/>
      <c r="LHG37" s="1551">
        <v>44150</v>
      </c>
      <c r="LHH37" s="1551">
        <v>44150</v>
      </c>
      <c r="LHI37" s="1551"/>
      <c r="LHJ37" s="1551">
        <v>44150</v>
      </c>
      <c r="LHK37" s="1551"/>
      <c r="LHL37" s="1551">
        <v>44150</v>
      </c>
      <c r="LHM37" s="1551"/>
      <c r="LHN37" s="1551">
        <v>44150</v>
      </c>
      <c r="LHO37" s="1551">
        <v>44150</v>
      </c>
      <c r="LHP37" s="1551"/>
      <c r="LHQ37" s="1551">
        <v>44150</v>
      </c>
      <c r="LHR37" s="1551"/>
      <c r="LHS37" s="1551">
        <v>44150</v>
      </c>
      <c r="LHT37" s="1551"/>
      <c r="LHU37" s="1551">
        <v>44150</v>
      </c>
      <c r="LHV37" s="1551">
        <v>44150</v>
      </c>
      <c r="LHW37" s="1551"/>
      <c r="LHX37" s="1551">
        <v>44150</v>
      </c>
      <c r="LHY37" s="1551"/>
      <c r="LHZ37" s="1551">
        <v>44150</v>
      </c>
      <c r="LIA37" s="1551"/>
      <c r="LIB37" s="1551">
        <v>44150</v>
      </c>
      <c r="LIC37" s="1551">
        <v>44150</v>
      </c>
      <c r="LID37" s="1551"/>
      <c r="LIE37" s="1551">
        <v>44150</v>
      </c>
      <c r="LIF37" s="1551"/>
      <c r="LIG37" s="1551">
        <v>44150</v>
      </c>
      <c r="LIH37" s="1551"/>
      <c r="LII37" s="1551">
        <v>44150</v>
      </c>
      <c r="LIJ37" s="1551">
        <v>44150</v>
      </c>
      <c r="LIK37" s="1551"/>
      <c r="LIL37" s="1551">
        <v>44150</v>
      </c>
      <c r="LIM37" s="1551"/>
      <c r="LIN37" s="1551">
        <v>44150</v>
      </c>
      <c r="LIO37" s="1551"/>
      <c r="LIP37" s="1551">
        <v>44150</v>
      </c>
      <c r="LIQ37" s="1551">
        <v>44150</v>
      </c>
      <c r="LIR37" s="1551"/>
      <c r="LIS37" s="1551">
        <v>44150</v>
      </c>
      <c r="LIT37" s="1551"/>
      <c r="LIU37" s="1551">
        <v>44150</v>
      </c>
      <c r="LIV37" s="1551"/>
      <c r="LIW37" s="1551">
        <v>44150</v>
      </c>
      <c r="LIX37" s="1551">
        <v>44150</v>
      </c>
      <c r="LIY37" s="1551"/>
      <c r="LIZ37" s="1551">
        <v>44150</v>
      </c>
      <c r="LJA37" s="1551"/>
      <c r="LJB37" s="1551">
        <v>44150</v>
      </c>
      <c r="LJC37" s="1551"/>
      <c r="LJD37" s="1551">
        <v>44150</v>
      </c>
      <c r="LJE37" s="1551">
        <v>44150</v>
      </c>
      <c r="LJF37" s="1551"/>
      <c r="LJG37" s="1551">
        <v>44150</v>
      </c>
      <c r="LJH37" s="1551"/>
      <c r="LJI37" s="1551">
        <v>44150</v>
      </c>
      <c r="LJJ37" s="1551"/>
      <c r="LJK37" s="1551">
        <v>44150</v>
      </c>
      <c r="LJL37" s="1551">
        <v>44150</v>
      </c>
      <c r="LJM37" s="1551"/>
      <c r="LJN37" s="1551">
        <v>44150</v>
      </c>
      <c r="LJO37" s="1551"/>
      <c r="LJP37" s="1551">
        <v>44150</v>
      </c>
      <c r="LJQ37" s="1551"/>
      <c r="LJR37" s="1551">
        <v>44150</v>
      </c>
      <c r="LJS37" s="1551">
        <v>44150</v>
      </c>
      <c r="LJT37" s="1551"/>
      <c r="LJU37" s="1551">
        <v>44150</v>
      </c>
      <c r="LJV37" s="1551"/>
      <c r="LJW37" s="1551">
        <v>44150</v>
      </c>
      <c r="LJX37" s="1551"/>
      <c r="LJY37" s="1551">
        <v>44150</v>
      </c>
      <c r="LJZ37" s="1551">
        <v>44150</v>
      </c>
      <c r="LKA37" s="1551"/>
      <c r="LKB37" s="1551">
        <v>44150</v>
      </c>
      <c r="LKC37" s="1551"/>
      <c r="LKD37" s="1551">
        <v>44150</v>
      </c>
      <c r="LKE37" s="1551"/>
      <c r="LKF37" s="1551">
        <v>44150</v>
      </c>
      <c r="LKG37" s="1551">
        <v>44150</v>
      </c>
      <c r="LKH37" s="1551"/>
      <c r="LKI37" s="1551">
        <v>44150</v>
      </c>
      <c r="LKJ37" s="1551"/>
      <c r="LKK37" s="1551">
        <v>44150</v>
      </c>
      <c r="LKL37" s="1551"/>
      <c r="LKM37" s="1551">
        <v>44150</v>
      </c>
      <c r="LKN37" s="1551">
        <v>44150</v>
      </c>
      <c r="LKO37" s="1551"/>
      <c r="LKP37" s="1551">
        <v>44150</v>
      </c>
      <c r="LKQ37" s="1551"/>
      <c r="LKR37" s="1551">
        <v>44150</v>
      </c>
      <c r="LKS37" s="1551"/>
      <c r="LKT37" s="1551">
        <v>44150</v>
      </c>
      <c r="LKU37" s="1551">
        <v>44150</v>
      </c>
      <c r="LKV37" s="1551"/>
      <c r="LKW37" s="1551">
        <v>44150</v>
      </c>
      <c r="LKX37" s="1551"/>
      <c r="LKY37" s="1551">
        <v>44150</v>
      </c>
      <c r="LKZ37" s="1551"/>
      <c r="LLA37" s="1551">
        <v>44150</v>
      </c>
      <c r="LLB37" s="1551">
        <v>44150</v>
      </c>
      <c r="LLC37" s="1551"/>
      <c r="LLD37" s="1551">
        <v>44150</v>
      </c>
      <c r="LLE37" s="1551"/>
      <c r="LLF37" s="1551">
        <v>44150</v>
      </c>
      <c r="LLG37" s="1551"/>
      <c r="LLH37" s="1551">
        <v>44150</v>
      </c>
      <c r="LLI37" s="1551">
        <v>44150</v>
      </c>
      <c r="LLJ37" s="1551"/>
      <c r="LLK37" s="1551">
        <v>44150</v>
      </c>
      <c r="LLL37" s="1551"/>
      <c r="LLM37" s="1551">
        <v>44150</v>
      </c>
      <c r="LLN37" s="1551"/>
      <c r="LLO37" s="1551">
        <v>44150</v>
      </c>
      <c r="LLP37" s="1551">
        <v>44150</v>
      </c>
      <c r="LLQ37" s="1551"/>
      <c r="LLR37" s="1551">
        <v>44150</v>
      </c>
      <c r="LLS37" s="1551"/>
      <c r="LLT37" s="1551">
        <v>44150</v>
      </c>
      <c r="LLU37" s="1551"/>
      <c r="LLV37" s="1551">
        <v>44150</v>
      </c>
      <c r="LLW37" s="1551">
        <v>44150</v>
      </c>
      <c r="LLX37" s="1551"/>
      <c r="LLY37" s="1551">
        <v>44150</v>
      </c>
      <c r="LLZ37" s="1551"/>
      <c r="LMA37" s="1551">
        <v>44150</v>
      </c>
      <c r="LMB37" s="1551"/>
      <c r="LMC37" s="1551">
        <v>44150</v>
      </c>
      <c r="LMD37" s="1551">
        <v>44150</v>
      </c>
      <c r="LME37" s="1551"/>
      <c r="LMF37" s="1551">
        <v>44150</v>
      </c>
      <c r="LMG37" s="1551"/>
      <c r="LMH37" s="1551">
        <v>44150</v>
      </c>
      <c r="LMI37" s="1551"/>
      <c r="LMJ37" s="1551">
        <v>44150</v>
      </c>
      <c r="LMK37" s="1551">
        <v>44150</v>
      </c>
      <c r="LML37" s="1551"/>
      <c r="LMM37" s="1551">
        <v>44150</v>
      </c>
      <c r="LMN37" s="1551"/>
      <c r="LMO37" s="1551">
        <v>44150</v>
      </c>
      <c r="LMP37" s="1551"/>
      <c r="LMQ37" s="1551">
        <v>44150</v>
      </c>
      <c r="LMR37" s="1551">
        <v>44150</v>
      </c>
      <c r="LMS37" s="1551"/>
      <c r="LMT37" s="1551">
        <v>44150</v>
      </c>
      <c r="LMU37" s="1551"/>
      <c r="LMV37" s="1551">
        <v>44150</v>
      </c>
      <c r="LMW37" s="1551"/>
      <c r="LMX37" s="1551">
        <v>44150</v>
      </c>
      <c r="LMY37" s="1551">
        <v>44150</v>
      </c>
      <c r="LMZ37" s="1551"/>
      <c r="LNA37" s="1551">
        <v>44150</v>
      </c>
      <c r="LNB37" s="1551"/>
      <c r="LNC37" s="1551">
        <v>44150</v>
      </c>
      <c r="LND37" s="1551"/>
      <c r="LNE37" s="1551">
        <v>44150</v>
      </c>
      <c r="LNF37" s="1551">
        <v>44150</v>
      </c>
      <c r="LNG37" s="1551"/>
      <c r="LNH37" s="1551">
        <v>44150</v>
      </c>
      <c r="LNI37" s="1551"/>
      <c r="LNJ37" s="1551">
        <v>44150</v>
      </c>
      <c r="LNK37" s="1551"/>
      <c r="LNL37" s="1551">
        <v>44150</v>
      </c>
      <c r="LNM37" s="1551">
        <v>44150</v>
      </c>
      <c r="LNN37" s="1551"/>
      <c r="LNO37" s="1551">
        <v>44150</v>
      </c>
      <c r="LNP37" s="1551"/>
      <c r="LNQ37" s="1551">
        <v>44150</v>
      </c>
      <c r="LNR37" s="1551"/>
      <c r="LNS37" s="1551">
        <v>44150</v>
      </c>
      <c r="LNT37" s="1551">
        <v>44150</v>
      </c>
      <c r="LNU37" s="1551"/>
      <c r="LNV37" s="1551">
        <v>44150</v>
      </c>
      <c r="LNW37" s="1551"/>
      <c r="LNX37" s="1551">
        <v>44150</v>
      </c>
      <c r="LNY37" s="1551"/>
      <c r="LNZ37" s="1551">
        <v>44150</v>
      </c>
      <c r="LOA37" s="1551">
        <v>44150</v>
      </c>
      <c r="LOB37" s="1551"/>
      <c r="LOC37" s="1551">
        <v>44150</v>
      </c>
      <c r="LOD37" s="1551"/>
      <c r="LOE37" s="1551">
        <v>44150</v>
      </c>
      <c r="LOF37" s="1551"/>
      <c r="LOG37" s="1551">
        <v>44150</v>
      </c>
      <c r="LOH37" s="1551">
        <v>44150</v>
      </c>
      <c r="LOI37" s="1551"/>
      <c r="LOJ37" s="1551">
        <v>44150</v>
      </c>
      <c r="LOK37" s="1551"/>
      <c r="LOL37" s="1551">
        <v>44150</v>
      </c>
      <c r="LOM37" s="1551"/>
      <c r="LON37" s="1551">
        <v>44150</v>
      </c>
      <c r="LOO37" s="1551">
        <v>44150</v>
      </c>
      <c r="LOP37" s="1551"/>
      <c r="LOQ37" s="1551">
        <v>44150</v>
      </c>
      <c r="LOR37" s="1551"/>
      <c r="LOS37" s="1551">
        <v>44150</v>
      </c>
      <c r="LOT37" s="1551"/>
      <c r="LOU37" s="1551">
        <v>44150</v>
      </c>
      <c r="LOV37" s="1551">
        <v>44150</v>
      </c>
      <c r="LOW37" s="1551"/>
      <c r="LOX37" s="1551">
        <v>44150</v>
      </c>
      <c r="LOY37" s="1551"/>
      <c r="LOZ37" s="1551">
        <v>44150</v>
      </c>
      <c r="LPA37" s="1551"/>
      <c r="LPB37" s="1551">
        <v>44150</v>
      </c>
      <c r="LPC37" s="1551">
        <v>44150</v>
      </c>
      <c r="LPD37" s="1551"/>
      <c r="LPE37" s="1551">
        <v>44150</v>
      </c>
      <c r="LPF37" s="1551"/>
      <c r="LPG37" s="1551">
        <v>44150</v>
      </c>
      <c r="LPH37" s="1551"/>
      <c r="LPI37" s="1551">
        <v>44150</v>
      </c>
      <c r="LPJ37" s="1551">
        <v>44150</v>
      </c>
      <c r="LPK37" s="1551"/>
      <c r="LPL37" s="1551">
        <v>44150</v>
      </c>
      <c r="LPM37" s="1551"/>
      <c r="LPN37" s="1551">
        <v>44150</v>
      </c>
      <c r="LPO37" s="1551"/>
      <c r="LPP37" s="1551">
        <v>44150</v>
      </c>
      <c r="LPQ37" s="1551">
        <v>44150</v>
      </c>
      <c r="LPR37" s="1551"/>
      <c r="LPS37" s="1551">
        <v>44150</v>
      </c>
      <c r="LPT37" s="1551"/>
      <c r="LPU37" s="1551">
        <v>44150</v>
      </c>
      <c r="LPV37" s="1551"/>
      <c r="LPW37" s="1551">
        <v>44150</v>
      </c>
      <c r="LPX37" s="1551">
        <v>44150</v>
      </c>
      <c r="LPY37" s="1551"/>
      <c r="LPZ37" s="1551">
        <v>44150</v>
      </c>
      <c r="LQA37" s="1551"/>
      <c r="LQB37" s="1551">
        <v>44150</v>
      </c>
      <c r="LQC37" s="1551"/>
      <c r="LQD37" s="1551">
        <v>44150</v>
      </c>
      <c r="LQE37" s="1551">
        <v>44150</v>
      </c>
      <c r="LQF37" s="1551"/>
      <c r="LQG37" s="1551">
        <v>44150</v>
      </c>
      <c r="LQH37" s="1551"/>
      <c r="LQI37" s="1551">
        <v>44150</v>
      </c>
      <c r="LQJ37" s="1551"/>
      <c r="LQK37" s="1551">
        <v>44150</v>
      </c>
      <c r="LQL37" s="1551">
        <v>44150</v>
      </c>
      <c r="LQM37" s="1551"/>
      <c r="LQN37" s="1551">
        <v>44150</v>
      </c>
      <c r="LQO37" s="1551"/>
      <c r="LQP37" s="1551">
        <v>44150</v>
      </c>
      <c r="LQQ37" s="1551"/>
      <c r="LQR37" s="1551">
        <v>44150</v>
      </c>
      <c r="LQS37" s="1551">
        <v>44150</v>
      </c>
      <c r="LQT37" s="1551"/>
      <c r="LQU37" s="1551">
        <v>44150</v>
      </c>
      <c r="LQV37" s="1551"/>
      <c r="LQW37" s="1551">
        <v>44150</v>
      </c>
      <c r="LQX37" s="1551"/>
      <c r="LQY37" s="1551">
        <v>44150</v>
      </c>
      <c r="LQZ37" s="1551">
        <v>44150</v>
      </c>
      <c r="LRA37" s="1551"/>
      <c r="LRB37" s="1551">
        <v>44150</v>
      </c>
      <c r="LRC37" s="1551"/>
      <c r="LRD37" s="1551">
        <v>44150</v>
      </c>
      <c r="LRE37" s="1551"/>
      <c r="LRF37" s="1551">
        <v>44150</v>
      </c>
      <c r="LRG37" s="1551">
        <v>44150</v>
      </c>
      <c r="LRH37" s="1551"/>
      <c r="LRI37" s="1551">
        <v>44150</v>
      </c>
      <c r="LRJ37" s="1551"/>
      <c r="LRK37" s="1551">
        <v>44150</v>
      </c>
      <c r="LRL37" s="1551"/>
      <c r="LRM37" s="1551">
        <v>44150</v>
      </c>
      <c r="LRN37" s="1551">
        <v>44150</v>
      </c>
      <c r="LRO37" s="1551"/>
      <c r="LRP37" s="1551">
        <v>44150</v>
      </c>
      <c r="LRQ37" s="1551"/>
      <c r="LRR37" s="1551">
        <v>44150</v>
      </c>
      <c r="LRS37" s="1551"/>
      <c r="LRT37" s="1551">
        <v>44150</v>
      </c>
      <c r="LRU37" s="1551">
        <v>44150</v>
      </c>
      <c r="LRV37" s="1551"/>
      <c r="LRW37" s="1551">
        <v>44150</v>
      </c>
      <c r="LRX37" s="1551"/>
      <c r="LRY37" s="1551">
        <v>44150</v>
      </c>
      <c r="LRZ37" s="1551"/>
      <c r="LSA37" s="1551">
        <v>44150</v>
      </c>
      <c r="LSB37" s="1551">
        <v>44150</v>
      </c>
      <c r="LSC37" s="1551"/>
      <c r="LSD37" s="1551">
        <v>44150</v>
      </c>
      <c r="LSE37" s="1551"/>
      <c r="LSF37" s="1551">
        <v>44150</v>
      </c>
      <c r="LSG37" s="1551"/>
      <c r="LSH37" s="1551">
        <v>44150</v>
      </c>
      <c r="LSI37" s="1551">
        <v>44150</v>
      </c>
      <c r="LSJ37" s="1551"/>
      <c r="LSK37" s="1551">
        <v>44150</v>
      </c>
      <c r="LSL37" s="1551"/>
      <c r="LSM37" s="1551">
        <v>44150</v>
      </c>
      <c r="LSN37" s="1551"/>
      <c r="LSO37" s="1551">
        <v>44150</v>
      </c>
      <c r="LSP37" s="1551">
        <v>44150</v>
      </c>
      <c r="LSQ37" s="1551"/>
      <c r="LSR37" s="1551">
        <v>44150</v>
      </c>
      <c r="LSS37" s="1551"/>
      <c r="LST37" s="1551">
        <v>44150</v>
      </c>
      <c r="LSU37" s="1551"/>
      <c r="LSV37" s="1551">
        <v>44150</v>
      </c>
      <c r="LSW37" s="1551">
        <v>44150</v>
      </c>
      <c r="LSX37" s="1551"/>
      <c r="LSY37" s="1551">
        <v>44150</v>
      </c>
      <c r="LSZ37" s="1551"/>
      <c r="LTA37" s="1551">
        <v>44150</v>
      </c>
      <c r="LTB37" s="1551"/>
      <c r="LTC37" s="1551">
        <v>44150</v>
      </c>
      <c r="LTD37" s="1551">
        <v>44150</v>
      </c>
      <c r="LTE37" s="1551"/>
      <c r="LTF37" s="1551">
        <v>44150</v>
      </c>
      <c r="LTG37" s="1551"/>
      <c r="LTH37" s="1551">
        <v>44150</v>
      </c>
      <c r="LTI37" s="1551"/>
      <c r="LTJ37" s="1551">
        <v>44150</v>
      </c>
      <c r="LTK37" s="1551">
        <v>44150</v>
      </c>
      <c r="LTL37" s="1551"/>
      <c r="LTM37" s="1551">
        <v>44150</v>
      </c>
      <c r="LTN37" s="1551"/>
      <c r="LTO37" s="1551">
        <v>44150</v>
      </c>
      <c r="LTP37" s="1551"/>
      <c r="LTQ37" s="1551">
        <v>44150</v>
      </c>
      <c r="LTR37" s="1551">
        <v>44150</v>
      </c>
      <c r="LTS37" s="1551"/>
      <c r="LTT37" s="1551">
        <v>44150</v>
      </c>
      <c r="LTU37" s="1551"/>
      <c r="LTV37" s="1551">
        <v>44150</v>
      </c>
      <c r="LTW37" s="1551"/>
      <c r="LTX37" s="1551">
        <v>44150</v>
      </c>
      <c r="LTY37" s="1551">
        <v>44150</v>
      </c>
      <c r="LTZ37" s="1551"/>
      <c r="LUA37" s="1551">
        <v>44150</v>
      </c>
      <c r="LUB37" s="1551"/>
      <c r="LUC37" s="1551">
        <v>44150</v>
      </c>
      <c r="LUD37" s="1551"/>
      <c r="LUE37" s="1551">
        <v>44150</v>
      </c>
      <c r="LUF37" s="1551">
        <v>44150</v>
      </c>
      <c r="LUG37" s="1551"/>
      <c r="LUH37" s="1551">
        <v>44150</v>
      </c>
      <c r="LUI37" s="1551"/>
      <c r="LUJ37" s="1551">
        <v>44150</v>
      </c>
      <c r="LUK37" s="1551"/>
      <c r="LUL37" s="1551">
        <v>44150</v>
      </c>
      <c r="LUM37" s="1551">
        <v>44150</v>
      </c>
      <c r="LUN37" s="1551"/>
      <c r="LUO37" s="1551">
        <v>44150</v>
      </c>
      <c r="LUP37" s="1551"/>
      <c r="LUQ37" s="1551">
        <v>44150</v>
      </c>
      <c r="LUR37" s="1551"/>
      <c r="LUS37" s="1551">
        <v>44150</v>
      </c>
      <c r="LUT37" s="1551">
        <v>44150</v>
      </c>
      <c r="LUU37" s="1551"/>
      <c r="LUV37" s="1551">
        <v>44150</v>
      </c>
      <c r="LUW37" s="1551"/>
      <c r="LUX37" s="1551">
        <v>44150</v>
      </c>
      <c r="LUY37" s="1551"/>
      <c r="LUZ37" s="1551">
        <v>44150</v>
      </c>
      <c r="LVA37" s="1551">
        <v>44150</v>
      </c>
      <c r="LVB37" s="1551"/>
      <c r="LVC37" s="1551">
        <v>44150</v>
      </c>
      <c r="LVD37" s="1551"/>
      <c r="LVE37" s="1551">
        <v>44150</v>
      </c>
      <c r="LVF37" s="1551"/>
      <c r="LVG37" s="1551">
        <v>44150</v>
      </c>
      <c r="LVH37" s="1551">
        <v>44150</v>
      </c>
      <c r="LVI37" s="1551"/>
      <c r="LVJ37" s="1551">
        <v>44150</v>
      </c>
      <c r="LVK37" s="1551"/>
      <c r="LVL37" s="1551">
        <v>44150</v>
      </c>
      <c r="LVM37" s="1551"/>
      <c r="LVN37" s="1551">
        <v>44150</v>
      </c>
      <c r="LVO37" s="1551">
        <v>44150</v>
      </c>
      <c r="LVP37" s="1551"/>
      <c r="LVQ37" s="1551">
        <v>44150</v>
      </c>
      <c r="LVR37" s="1551"/>
      <c r="LVS37" s="1551">
        <v>44150</v>
      </c>
      <c r="LVT37" s="1551"/>
      <c r="LVU37" s="1551">
        <v>44150</v>
      </c>
      <c r="LVV37" s="1551">
        <v>44150</v>
      </c>
      <c r="LVW37" s="1551"/>
      <c r="LVX37" s="1551">
        <v>44150</v>
      </c>
      <c r="LVY37" s="1551"/>
      <c r="LVZ37" s="1551">
        <v>44150</v>
      </c>
      <c r="LWA37" s="1551"/>
      <c r="LWB37" s="1551">
        <v>44150</v>
      </c>
      <c r="LWC37" s="1551">
        <v>44150</v>
      </c>
      <c r="LWD37" s="1551"/>
      <c r="LWE37" s="1551">
        <v>44150</v>
      </c>
      <c r="LWF37" s="1551"/>
      <c r="LWG37" s="1551">
        <v>44150</v>
      </c>
      <c r="LWH37" s="1551"/>
      <c r="LWI37" s="1551">
        <v>44150</v>
      </c>
      <c r="LWJ37" s="1551">
        <v>44150</v>
      </c>
      <c r="LWK37" s="1551"/>
      <c r="LWL37" s="1551">
        <v>44150</v>
      </c>
      <c r="LWM37" s="1551"/>
      <c r="LWN37" s="1551">
        <v>44150</v>
      </c>
      <c r="LWO37" s="1551"/>
      <c r="LWP37" s="1551">
        <v>44150</v>
      </c>
      <c r="LWQ37" s="1551">
        <v>44150</v>
      </c>
      <c r="LWR37" s="1551"/>
      <c r="LWS37" s="1551">
        <v>44150</v>
      </c>
      <c r="LWT37" s="1551"/>
      <c r="LWU37" s="1551">
        <v>44150</v>
      </c>
      <c r="LWV37" s="1551"/>
      <c r="LWW37" s="1551">
        <v>44150</v>
      </c>
      <c r="LWX37" s="1551">
        <v>44150</v>
      </c>
      <c r="LWY37" s="1551"/>
      <c r="LWZ37" s="1551">
        <v>44150</v>
      </c>
      <c r="LXA37" s="1551"/>
      <c r="LXB37" s="1551">
        <v>44150</v>
      </c>
      <c r="LXC37" s="1551"/>
      <c r="LXD37" s="1551">
        <v>44150</v>
      </c>
      <c r="LXE37" s="1551">
        <v>44150</v>
      </c>
      <c r="LXF37" s="1551"/>
      <c r="LXG37" s="1551">
        <v>44150</v>
      </c>
      <c r="LXH37" s="1551"/>
      <c r="LXI37" s="1551">
        <v>44150</v>
      </c>
      <c r="LXJ37" s="1551"/>
      <c r="LXK37" s="1551">
        <v>44150</v>
      </c>
      <c r="LXL37" s="1551">
        <v>44150</v>
      </c>
      <c r="LXM37" s="1551"/>
      <c r="LXN37" s="1551">
        <v>44150</v>
      </c>
      <c r="LXO37" s="1551"/>
      <c r="LXP37" s="1551">
        <v>44150</v>
      </c>
      <c r="LXQ37" s="1551"/>
      <c r="LXR37" s="1551">
        <v>44150</v>
      </c>
      <c r="LXS37" s="1551">
        <v>44150</v>
      </c>
      <c r="LXT37" s="1551"/>
      <c r="LXU37" s="1551">
        <v>44150</v>
      </c>
      <c r="LXV37" s="1551"/>
      <c r="LXW37" s="1551">
        <v>44150</v>
      </c>
      <c r="LXX37" s="1551"/>
      <c r="LXY37" s="1551">
        <v>44150</v>
      </c>
      <c r="LXZ37" s="1551">
        <v>44150</v>
      </c>
      <c r="LYA37" s="1551"/>
      <c r="LYB37" s="1551">
        <v>44150</v>
      </c>
      <c r="LYC37" s="1551"/>
      <c r="LYD37" s="1551">
        <v>44150</v>
      </c>
      <c r="LYE37" s="1551"/>
      <c r="LYF37" s="1551">
        <v>44150</v>
      </c>
      <c r="LYG37" s="1551">
        <v>44150</v>
      </c>
      <c r="LYH37" s="1551"/>
      <c r="LYI37" s="1551">
        <v>44150</v>
      </c>
      <c r="LYJ37" s="1551"/>
      <c r="LYK37" s="1551">
        <v>44150</v>
      </c>
      <c r="LYL37" s="1551"/>
      <c r="LYM37" s="1551">
        <v>44150</v>
      </c>
      <c r="LYN37" s="1551">
        <v>44150</v>
      </c>
      <c r="LYO37" s="1551"/>
      <c r="LYP37" s="1551">
        <v>44150</v>
      </c>
      <c r="LYQ37" s="1551"/>
      <c r="LYR37" s="1551">
        <v>44150</v>
      </c>
      <c r="LYS37" s="1551"/>
      <c r="LYT37" s="1551">
        <v>44150</v>
      </c>
      <c r="LYU37" s="1551">
        <v>44150</v>
      </c>
      <c r="LYV37" s="1551"/>
      <c r="LYW37" s="1551">
        <v>44150</v>
      </c>
      <c r="LYX37" s="1551"/>
      <c r="LYY37" s="1551">
        <v>44150</v>
      </c>
      <c r="LYZ37" s="1551"/>
      <c r="LZA37" s="1551">
        <v>44150</v>
      </c>
      <c r="LZB37" s="1551">
        <v>44150</v>
      </c>
      <c r="LZC37" s="1551"/>
      <c r="LZD37" s="1551">
        <v>44150</v>
      </c>
      <c r="LZE37" s="1551"/>
      <c r="LZF37" s="1551">
        <v>44150</v>
      </c>
      <c r="LZG37" s="1551"/>
      <c r="LZH37" s="1551">
        <v>44150</v>
      </c>
      <c r="LZI37" s="1551">
        <v>44150</v>
      </c>
      <c r="LZJ37" s="1551"/>
      <c r="LZK37" s="1551">
        <v>44150</v>
      </c>
      <c r="LZL37" s="1551"/>
      <c r="LZM37" s="1551">
        <v>44150</v>
      </c>
      <c r="LZN37" s="1551"/>
      <c r="LZO37" s="1551">
        <v>44150</v>
      </c>
      <c r="LZP37" s="1551">
        <v>44150</v>
      </c>
      <c r="LZQ37" s="1551"/>
      <c r="LZR37" s="1551">
        <v>44150</v>
      </c>
      <c r="LZS37" s="1551"/>
      <c r="LZT37" s="1551">
        <v>44150</v>
      </c>
      <c r="LZU37" s="1551"/>
      <c r="LZV37" s="1551">
        <v>44150</v>
      </c>
      <c r="LZW37" s="1551">
        <v>44150</v>
      </c>
      <c r="LZX37" s="1551"/>
      <c r="LZY37" s="1551">
        <v>44150</v>
      </c>
      <c r="LZZ37" s="1551"/>
      <c r="MAA37" s="1551">
        <v>44150</v>
      </c>
      <c r="MAB37" s="1551"/>
      <c r="MAC37" s="1551">
        <v>44150</v>
      </c>
      <c r="MAD37" s="1551">
        <v>44150</v>
      </c>
      <c r="MAE37" s="1551"/>
      <c r="MAF37" s="1551">
        <v>44150</v>
      </c>
      <c r="MAG37" s="1551"/>
      <c r="MAH37" s="1551">
        <v>44150</v>
      </c>
      <c r="MAI37" s="1551"/>
      <c r="MAJ37" s="1551">
        <v>44150</v>
      </c>
      <c r="MAK37" s="1551">
        <v>44150</v>
      </c>
      <c r="MAL37" s="1551"/>
      <c r="MAM37" s="1551">
        <v>44150</v>
      </c>
      <c r="MAN37" s="1551"/>
      <c r="MAO37" s="1551">
        <v>44150</v>
      </c>
      <c r="MAP37" s="1551"/>
      <c r="MAQ37" s="1551">
        <v>44150</v>
      </c>
      <c r="MAR37" s="1551">
        <v>44150</v>
      </c>
      <c r="MAS37" s="1551"/>
      <c r="MAT37" s="1551">
        <v>44150</v>
      </c>
      <c r="MAU37" s="1551"/>
      <c r="MAV37" s="1551">
        <v>44150</v>
      </c>
      <c r="MAW37" s="1551"/>
      <c r="MAX37" s="1551">
        <v>44150</v>
      </c>
      <c r="MAY37" s="1551">
        <v>44150</v>
      </c>
      <c r="MAZ37" s="1551"/>
      <c r="MBA37" s="1551">
        <v>44150</v>
      </c>
      <c r="MBB37" s="1551"/>
      <c r="MBC37" s="1551">
        <v>44150</v>
      </c>
      <c r="MBD37" s="1551"/>
      <c r="MBE37" s="1551">
        <v>44150</v>
      </c>
      <c r="MBF37" s="1551">
        <v>44150</v>
      </c>
      <c r="MBG37" s="1551"/>
      <c r="MBH37" s="1551">
        <v>44150</v>
      </c>
      <c r="MBI37" s="1551"/>
      <c r="MBJ37" s="1551">
        <v>44150</v>
      </c>
      <c r="MBK37" s="1551"/>
      <c r="MBL37" s="1551">
        <v>44150</v>
      </c>
      <c r="MBM37" s="1551">
        <v>44150</v>
      </c>
      <c r="MBN37" s="1551"/>
      <c r="MBO37" s="1551">
        <v>44150</v>
      </c>
      <c r="MBP37" s="1551"/>
      <c r="MBQ37" s="1551">
        <v>44150</v>
      </c>
      <c r="MBR37" s="1551"/>
      <c r="MBS37" s="1551">
        <v>44150</v>
      </c>
      <c r="MBT37" s="1551">
        <v>44150</v>
      </c>
      <c r="MBU37" s="1551"/>
      <c r="MBV37" s="1551">
        <v>44150</v>
      </c>
      <c r="MBW37" s="1551"/>
      <c r="MBX37" s="1551">
        <v>44150</v>
      </c>
      <c r="MBY37" s="1551"/>
      <c r="MBZ37" s="1551">
        <v>44150</v>
      </c>
      <c r="MCA37" s="1551">
        <v>44150</v>
      </c>
      <c r="MCB37" s="1551"/>
      <c r="MCC37" s="1551">
        <v>44150</v>
      </c>
      <c r="MCD37" s="1551"/>
      <c r="MCE37" s="1551">
        <v>44150</v>
      </c>
      <c r="MCF37" s="1551"/>
      <c r="MCG37" s="1551">
        <v>44150</v>
      </c>
      <c r="MCH37" s="1551">
        <v>44150</v>
      </c>
      <c r="MCI37" s="1551"/>
      <c r="MCJ37" s="1551">
        <v>44150</v>
      </c>
      <c r="MCK37" s="1551"/>
      <c r="MCL37" s="1551">
        <v>44150</v>
      </c>
      <c r="MCM37" s="1551"/>
      <c r="MCN37" s="1551">
        <v>44150</v>
      </c>
      <c r="MCO37" s="1551">
        <v>44150</v>
      </c>
      <c r="MCP37" s="1551"/>
      <c r="MCQ37" s="1551">
        <v>44150</v>
      </c>
      <c r="MCR37" s="1551"/>
      <c r="MCS37" s="1551">
        <v>44150</v>
      </c>
      <c r="MCT37" s="1551"/>
      <c r="MCU37" s="1551">
        <v>44150</v>
      </c>
      <c r="MCV37" s="1551">
        <v>44150</v>
      </c>
      <c r="MCW37" s="1551"/>
      <c r="MCX37" s="1551">
        <v>44150</v>
      </c>
      <c r="MCY37" s="1551"/>
      <c r="MCZ37" s="1551">
        <v>44150</v>
      </c>
      <c r="MDA37" s="1551"/>
      <c r="MDB37" s="1551">
        <v>44150</v>
      </c>
      <c r="MDC37" s="1551">
        <v>44150</v>
      </c>
      <c r="MDD37" s="1551"/>
      <c r="MDE37" s="1551">
        <v>44150</v>
      </c>
      <c r="MDF37" s="1551"/>
      <c r="MDG37" s="1551">
        <v>44150</v>
      </c>
      <c r="MDH37" s="1551"/>
      <c r="MDI37" s="1551">
        <v>44150</v>
      </c>
      <c r="MDJ37" s="1551">
        <v>44150</v>
      </c>
      <c r="MDK37" s="1551"/>
      <c r="MDL37" s="1551">
        <v>44150</v>
      </c>
      <c r="MDM37" s="1551"/>
      <c r="MDN37" s="1551">
        <v>44150</v>
      </c>
      <c r="MDO37" s="1551"/>
      <c r="MDP37" s="1551">
        <v>44150</v>
      </c>
      <c r="MDQ37" s="1551">
        <v>44150</v>
      </c>
      <c r="MDR37" s="1551"/>
      <c r="MDS37" s="1551">
        <v>44150</v>
      </c>
      <c r="MDT37" s="1551"/>
      <c r="MDU37" s="1551">
        <v>44150</v>
      </c>
      <c r="MDV37" s="1551"/>
      <c r="MDW37" s="1551">
        <v>44150</v>
      </c>
      <c r="MDX37" s="1551">
        <v>44150</v>
      </c>
      <c r="MDY37" s="1551"/>
      <c r="MDZ37" s="1551">
        <v>44150</v>
      </c>
      <c r="MEA37" s="1551"/>
      <c r="MEB37" s="1551">
        <v>44150</v>
      </c>
      <c r="MEC37" s="1551"/>
      <c r="MED37" s="1551">
        <v>44150</v>
      </c>
      <c r="MEE37" s="1551">
        <v>44150</v>
      </c>
      <c r="MEF37" s="1551"/>
      <c r="MEG37" s="1551">
        <v>44150</v>
      </c>
      <c r="MEH37" s="1551"/>
      <c r="MEI37" s="1551">
        <v>44150</v>
      </c>
      <c r="MEJ37" s="1551"/>
      <c r="MEK37" s="1551">
        <v>44150</v>
      </c>
      <c r="MEL37" s="1551">
        <v>44150</v>
      </c>
      <c r="MEM37" s="1551"/>
      <c r="MEN37" s="1551">
        <v>44150</v>
      </c>
      <c r="MEO37" s="1551"/>
      <c r="MEP37" s="1551">
        <v>44150</v>
      </c>
      <c r="MEQ37" s="1551"/>
      <c r="MER37" s="1551">
        <v>44150</v>
      </c>
      <c r="MES37" s="1551">
        <v>44150</v>
      </c>
      <c r="MET37" s="1551"/>
      <c r="MEU37" s="1551">
        <v>44150</v>
      </c>
      <c r="MEV37" s="1551"/>
      <c r="MEW37" s="1551">
        <v>44150</v>
      </c>
      <c r="MEX37" s="1551"/>
      <c r="MEY37" s="1551">
        <v>44150</v>
      </c>
      <c r="MEZ37" s="1551">
        <v>44150</v>
      </c>
      <c r="MFA37" s="1551"/>
      <c r="MFB37" s="1551">
        <v>44150</v>
      </c>
      <c r="MFC37" s="1551"/>
      <c r="MFD37" s="1551">
        <v>44150</v>
      </c>
      <c r="MFE37" s="1551"/>
      <c r="MFF37" s="1551">
        <v>44150</v>
      </c>
      <c r="MFG37" s="1551">
        <v>44150</v>
      </c>
      <c r="MFH37" s="1551"/>
      <c r="MFI37" s="1551">
        <v>44150</v>
      </c>
      <c r="MFJ37" s="1551"/>
      <c r="MFK37" s="1551">
        <v>44150</v>
      </c>
      <c r="MFL37" s="1551"/>
      <c r="MFM37" s="1551">
        <v>44150</v>
      </c>
      <c r="MFN37" s="1551">
        <v>44150</v>
      </c>
      <c r="MFO37" s="1551"/>
      <c r="MFP37" s="1551">
        <v>44150</v>
      </c>
      <c r="MFQ37" s="1551"/>
      <c r="MFR37" s="1551">
        <v>44150</v>
      </c>
      <c r="MFS37" s="1551"/>
      <c r="MFT37" s="1551">
        <v>44150</v>
      </c>
      <c r="MFU37" s="1551">
        <v>44150</v>
      </c>
      <c r="MFV37" s="1551"/>
      <c r="MFW37" s="1551">
        <v>44150</v>
      </c>
      <c r="MFX37" s="1551"/>
      <c r="MFY37" s="1551">
        <v>44150</v>
      </c>
      <c r="MFZ37" s="1551"/>
      <c r="MGA37" s="1551">
        <v>44150</v>
      </c>
      <c r="MGB37" s="1551">
        <v>44150</v>
      </c>
      <c r="MGC37" s="1551"/>
      <c r="MGD37" s="1551">
        <v>44150</v>
      </c>
      <c r="MGE37" s="1551"/>
      <c r="MGF37" s="1551">
        <v>44150</v>
      </c>
      <c r="MGG37" s="1551"/>
      <c r="MGH37" s="1551">
        <v>44150</v>
      </c>
      <c r="MGI37" s="1551">
        <v>44150</v>
      </c>
      <c r="MGJ37" s="1551"/>
      <c r="MGK37" s="1551">
        <v>44150</v>
      </c>
      <c r="MGL37" s="1551"/>
      <c r="MGM37" s="1551">
        <v>44150</v>
      </c>
      <c r="MGN37" s="1551"/>
      <c r="MGO37" s="1551">
        <v>44150</v>
      </c>
      <c r="MGP37" s="1551">
        <v>44150</v>
      </c>
      <c r="MGQ37" s="1551"/>
      <c r="MGR37" s="1551">
        <v>44150</v>
      </c>
      <c r="MGS37" s="1551"/>
      <c r="MGT37" s="1551">
        <v>44150</v>
      </c>
      <c r="MGU37" s="1551"/>
      <c r="MGV37" s="1551">
        <v>44150</v>
      </c>
      <c r="MGW37" s="1551">
        <v>44150</v>
      </c>
      <c r="MGX37" s="1551"/>
      <c r="MGY37" s="1551">
        <v>44150</v>
      </c>
      <c r="MGZ37" s="1551"/>
      <c r="MHA37" s="1551">
        <v>44150</v>
      </c>
      <c r="MHB37" s="1551"/>
      <c r="MHC37" s="1551">
        <v>44150</v>
      </c>
      <c r="MHD37" s="1551">
        <v>44150</v>
      </c>
      <c r="MHE37" s="1551"/>
      <c r="MHF37" s="1551">
        <v>44150</v>
      </c>
      <c r="MHG37" s="1551"/>
      <c r="MHH37" s="1551">
        <v>44150</v>
      </c>
      <c r="MHI37" s="1551"/>
      <c r="MHJ37" s="1551">
        <v>44150</v>
      </c>
      <c r="MHK37" s="1551">
        <v>44150</v>
      </c>
      <c r="MHL37" s="1551"/>
      <c r="MHM37" s="1551">
        <v>44150</v>
      </c>
      <c r="MHN37" s="1551"/>
      <c r="MHO37" s="1551">
        <v>44150</v>
      </c>
      <c r="MHP37" s="1551"/>
      <c r="MHQ37" s="1551">
        <v>44150</v>
      </c>
      <c r="MHR37" s="1551">
        <v>44150</v>
      </c>
      <c r="MHS37" s="1551"/>
      <c r="MHT37" s="1551">
        <v>44150</v>
      </c>
      <c r="MHU37" s="1551"/>
      <c r="MHV37" s="1551">
        <v>44150</v>
      </c>
      <c r="MHW37" s="1551"/>
      <c r="MHX37" s="1551">
        <v>44150</v>
      </c>
      <c r="MHY37" s="1551">
        <v>44150</v>
      </c>
      <c r="MHZ37" s="1551"/>
      <c r="MIA37" s="1551">
        <v>44150</v>
      </c>
      <c r="MIB37" s="1551"/>
      <c r="MIC37" s="1551">
        <v>44150</v>
      </c>
      <c r="MID37" s="1551"/>
      <c r="MIE37" s="1551">
        <v>44150</v>
      </c>
      <c r="MIF37" s="1551">
        <v>44150</v>
      </c>
      <c r="MIG37" s="1551"/>
      <c r="MIH37" s="1551">
        <v>44150</v>
      </c>
      <c r="MII37" s="1551"/>
      <c r="MIJ37" s="1551">
        <v>44150</v>
      </c>
      <c r="MIK37" s="1551"/>
      <c r="MIL37" s="1551">
        <v>44150</v>
      </c>
      <c r="MIM37" s="1551">
        <v>44150</v>
      </c>
      <c r="MIN37" s="1551"/>
      <c r="MIO37" s="1551">
        <v>44150</v>
      </c>
      <c r="MIP37" s="1551"/>
      <c r="MIQ37" s="1551">
        <v>44150</v>
      </c>
      <c r="MIR37" s="1551"/>
      <c r="MIS37" s="1551">
        <v>44150</v>
      </c>
      <c r="MIT37" s="1551">
        <v>44150</v>
      </c>
      <c r="MIU37" s="1551"/>
      <c r="MIV37" s="1551">
        <v>44150</v>
      </c>
      <c r="MIW37" s="1551"/>
      <c r="MIX37" s="1551">
        <v>44150</v>
      </c>
      <c r="MIY37" s="1551"/>
      <c r="MIZ37" s="1551">
        <v>44150</v>
      </c>
      <c r="MJA37" s="1551">
        <v>44150</v>
      </c>
      <c r="MJB37" s="1551"/>
      <c r="MJC37" s="1551">
        <v>44150</v>
      </c>
      <c r="MJD37" s="1551"/>
      <c r="MJE37" s="1551">
        <v>44150</v>
      </c>
      <c r="MJF37" s="1551"/>
      <c r="MJG37" s="1551">
        <v>44150</v>
      </c>
      <c r="MJH37" s="1551">
        <v>44150</v>
      </c>
      <c r="MJI37" s="1551"/>
      <c r="MJJ37" s="1551">
        <v>44150</v>
      </c>
      <c r="MJK37" s="1551"/>
      <c r="MJL37" s="1551">
        <v>44150</v>
      </c>
      <c r="MJM37" s="1551"/>
      <c r="MJN37" s="1551">
        <v>44150</v>
      </c>
      <c r="MJO37" s="1551">
        <v>44150</v>
      </c>
      <c r="MJP37" s="1551"/>
      <c r="MJQ37" s="1551">
        <v>44150</v>
      </c>
      <c r="MJR37" s="1551"/>
      <c r="MJS37" s="1551">
        <v>44150</v>
      </c>
      <c r="MJT37" s="1551"/>
      <c r="MJU37" s="1551">
        <v>44150</v>
      </c>
      <c r="MJV37" s="1551">
        <v>44150</v>
      </c>
      <c r="MJW37" s="1551"/>
      <c r="MJX37" s="1551">
        <v>44150</v>
      </c>
      <c r="MJY37" s="1551"/>
      <c r="MJZ37" s="1551">
        <v>44150</v>
      </c>
      <c r="MKA37" s="1551"/>
      <c r="MKB37" s="1551">
        <v>44150</v>
      </c>
      <c r="MKC37" s="1551">
        <v>44150</v>
      </c>
      <c r="MKD37" s="1551"/>
      <c r="MKE37" s="1551">
        <v>44150</v>
      </c>
      <c r="MKF37" s="1551"/>
      <c r="MKG37" s="1551">
        <v>44150</v>
      </c>
      <c r="MKH37" s="1551"/>
      <c r="MKI37" s="1551">
        <v>44150</v>
      </c>
      <c r="MKJ37" s="1551">
        <v>44150</v>
      </c>
      <c r="MKK37" s="1551"/>
      <c r="MKL37" s="1551">
        <v>44150</v>
      </c>
      <c r="MKM37" s="1551"/>
      <c r="MKN37" s="1551">
        <v>44150</v>
      </c>
      <c r="MKO37" s="1551"/>
      <c r="MKP37" s="1551">
        <v>44150</v>
      </c>
      <c r="MKQ37" s="1551">
        <v>44150</v>
      </c>
      <c r="MKR37" s="1551"/>
      <c r="MKS37" s="1551">
        <v>44150</v>
      </c>
      <c r="MKT37" s="1551"/>
      <c r="MKU37" s="1551">
        <v>44150</v>
      </c>
      <c r="MKV37" s="1551"/>
      <c r="MKW37" s="1551">
        <v>44150</v>
      </c>
      <c r="MKX37" s="1551">
        <v>44150</v>
      </c>
      <c r="MKY37" s="1551"/>
      <c r="MKZ37" s="1551">
        <v>44150</v>
      </c>
      <c r="MLA37" s="1551"/>
      <c r="MLB37" s="1551">
        <v>44150</v>
      </c>
      <c r="MLC37" s="1551"/>
      <c r="MLD37" s="1551">
        <v>44150</v>
      </c>
      <c r="MLE37" s="1551">
        <v>44150</v>
      </c>
      <c r="MLF37" s="1551"/>
      <c r="MLG37" s="1551">
        <v>44150</v>
      </c>
      <c r="MLH37" s="1551"/>
      <c r="MLI37" s="1551">
        <v>44150</v>
      </c>
      <c r="MLJ37" s="1551"/>
      <c r="MLK37" s="1551">
        <v>44150</v>
      </c>
      <c r="MLL37" s="1551">
        <v>44150</v>
      </c>
      <c r="MLM37" s="1551"/>
      <c r="MLN37" s="1551">
        <v>44150</v>
      </c>
      <c r="MLO37" s="1551"/>
      <c r="MLP37" s="1551">
        <v>44150</v>
      </c>
      <c r="MLQ37" s="1551"/>
      <c r="MLR37" s="1551">
        <v>44150</v>
      </c>
      <c r="MLS37" s="1551">
        <v>44150</v>
      </c>
      <c r="MLT37" s="1551"/>
      <c r="MLU37" s="1551">
        <v>44150</v>
      </c>
      <c r="MLV37" s="1551"/>
      <c r="MLW37" s="1551">
        <v>44150</v>
      </c>
      <c r="MLX37" s="1551"/>
      <c r="MLY37" s="1551">
        <v>44150</v>
      </c>
      <c r="MLZ37" s="1551">
        <v>44150</v>
      </c>
      <c r="MMA37" s="1551"/>
      <c r="MMB37" s="1551">
        <v>44150</v>
      </c>
      <c r="MMC37" s="1551"/>
      <c r="MMD37" s="1551">
        <v>44150</v>
      </c>
      <c r="MME37" s="1551"/>
      <c r="MMF37" s="1551">
        <v>44150</v>
      </c>
      <c r="MMG37" s="1551">
        <v>44150</v>
      </c>
      <c r="MMH37" s="1551"/>
      <c r="MMI37" s="1551">
        <v>44150</v>
      </c>
      <c r="MMJ37" s="1551"/>
      <c r="MMK37" s="1551">
        <v>44150</v>
      </c>
      <c r="MML37" s="1551"/>
      <c r="MMM37" s="1551">
        <v>44150</v>
      </c>
      <c r="MMN37" s="1551">
        <v>44150</v>
      </c>
      <c r="MMO37" s="1551"/>
      <c r="MMP37" s="1551">
        <v>44150</v>
      </c>
      <c r="MMQ37" s="1551"/>
      <c r="MMR37" s="1551">
        <v>44150</v>
      </c>
      <c r="MMS37" s="1551"/>
      <c r="MMT37" s="1551">
        <v>44150</v>
      </c>
      <c r="MMU37" s="1551">
        <v>44150</v>
      </c>
      <c r="MMV37" s="1551"/>
      <c r="MMW37" s="1551">
        <v>44150</v>
      </c>
      <c r="MMX37" s="1551"/>
      <c r="MMY37" s="1551">
        <v>44150</v>
      </c>
      <c r="MMZ37" s="1551"/>
      <c r="MNA37" s="1551">
        <v>44150</v>
      </c>
      <c r="MNB37" s="1551">
        <v>44150</v>
      </c>
      <c r="MNC37" s="1551"/>
      <c r="MND37" s="1551">
        <v>44150</v>
      </c>
      <c r="MNE37" s="1551"/>
      <c r="MNF37" s="1551">
        <v>44150</v>
      </c>
      <c r="MNG37" s="1551"/>
      <c r="MNH37" s="1551">
        <v>44150</v>
      </c>
      <c r="MNI37" s="1551">
        <v>44150</v>
      </c>
      <c r="MNJ37" s="1551"/>
      <c r="MNK37" s="1551">
        <v>44150</v>
      </c>
      <c r="MNL37" s="1551"/>
      <c r="MNM37" s="1551">
        <v>44150</v>
      </c>
      <c r="MNN37" s="1551"/>
      <c r="MNO37" s="1551">
        <v>44150</v>
      </c>
      <c r="MNP37" s="1551">
        <v>44150</v>
      </c>
      <c r="MNQ37" s="1551"/>
      <c r="MNR37" s="1551">
        <v>44150</v>
      </c>
      <c r="MNS37" s="1551"/>
      <c r="MNT37" s="1551">
        <v>44150</v>
      </c>
      <c r="MNU37" s="1551"/>
      <c r="MNV37" s="1551">
        <v>44150</v>
      </c>
      <c r="MNW37" s="1551">
        <v>44150</v>
      </c>
      <c r="MNX37" s="1551"/>
      <c r="MNY37" s="1551">
        <v>44150</v>
      </c>
      <c r="MNZ37" s="1551"/>
      <c r="MOA37" s="1551">
        <v>44150</v>
      </c>
      <c r="MOB37" s="1551"/>
      <c r="MOC37" s="1551">
        <v>44150</v>
      </c>
      <c r="MOD37" s="1551">
        <v>44150</v>
      </c>
      <c r="MOE37" s="1551"/>
      <c r="MOF37" s="1551">
        <v>44150</v>
      </c>
      <c r="MOG37" s="1551"/>
      <c r="MOH37" s="1551">
        <v>44150</v>
      </c>
      <c r="MOI37" s="1551"/>
      <c r="MOJ37" s="1551">
        <v>44150</v>
      </c>
      <c r="MOK37" s="1551">
        <v>44150</v>
      </c>
      <c r="MOL37" s="1551"/>
      <c r="MOM37" s="1551">
        <v>44150</v>
      </c>
      <c r="MON37" s="1551"/>
      <c r="MOO37" s="1551">
        <v>44150</v>
      </c>
      <c r="MOP37" s="1551"/>
      <c r="MOQ37" s="1551">
        <v>44150</v>
      </c>
      <c r="MOR37" s="1551">
        <v>44150</v>
      </c>
      <c r="MOS37" s="1551"/>
      <c r="MOT37" s="1551">
        <v>44150</v>
      </c>
      <c r="MOU37" s="1551"/>
      <c r="MOV37" s="1551">
        <v>44150</v>
      </c>
      <c r="MOW37" s="1551"/>
      <c r="MOX37" s="1551">
        <v>44150</v>
      </c>
      <c r="MOY37" s="1551">
        <v>44150</v>
      </c>
      <c r="MOZ37" s="1551"/>
      <c r="MPA37" s="1551">
        <v>44150</v>
      </c>
      <c r="MPB37" s="1551"/>
      <c r="MPC37" s="1551">
        <v>44150</v>
      </c>
      <c r="MPD37" s="1551"/>
      <c r="MPE37" s="1551">
        <v>44150</v>
      </c>
      <c r="MPF37" s="1551">
        <v>44150</v>
      </c>
      <c r="MPG37" s="1551"/>
      <c r="MPH37" s="1551">
        <v>44150</v>
      </c>
      <c r="MPI37" s="1551"/>
      <c r="MPJ37" s="1551">
        <v>44150</v>
      </c>
      <c r="MPK37" s="1551"/>
      <c r="MPL37" s="1551">
        <v>44150</v>
      </c>
      <c r="MPM37" s="1551">
        <v>44150</v>
      </c>
      <c r="MPN37" s="1551"/>
      <c r="MPO37" s="1551">
        <v>44150</v>
      </c>
      <c r="MPP37" s="1551"/>
      <c r="MPQ37" s="1551">
        <v>44150</v>
      </c>
      <c r="MPR37" s="1551"/>
      <c r="MPS37" s="1551">
        <v>44150</v>
      </c>
      <c r="MPT37" s="1551">
        <v>44150</v>
      </c>
      <c r="MPU37" s="1551"/>
      <c r="MPV37" s="1551">
        <v>44150</v>
      </c>
      <c r="MPW37" s="1551"/>
      <c r="MPX37" s="1551">
        <v>44150</v>
      </c>
      <c r="MPY37" s="1551"/>
      <c r="MPZ37" s="1551">
        <v>44150</v>
      </c>
      <c r="MQA37" s="1551">
        <v>44150</v>
      </c>
      <c r="MQB37" s="1551"/>
      <c r="MQC37" s="1551">
        <v>44150</v>
      </c>
      <c r="MQD37" s="1551"/>
      <c r="MQE37" s="1551">
        <v>44150</v>
      </c>
      <c r="MQF37" s="1551"/>
      <c r="MQG37" s="1551">
        <v>44150</v>
      </c>
      <c r="MQH37" s="1551">
        <v>44150</v>
      </c>
      <c r="MQI37" s="1551"/>
      <c r="MQJ37" s="1551">
        <v>44150</v>
      </c>
      <c r="MQK37" s="1551"/>
      <c r="MQL37" s="1551">
        <v>44150</v>
      </c>
      <c r="MQM37" s="1551"/>
      <c r="MQN37" s="1551">
        <v>44150</v>
      </c>
      <c r="MQO37" s="1551">
        <v>44150</v>
      </c>
      <c r="MQP37" s="1551"/>
      <c r="MQQ37" s="1551">
        <v>44150</v>
      </c>
      <c r="MQR37" s="1551"/>
      <c r="MQS37" s="1551">
        <v>44150</v>
      </c>
      <c r="MQT37" s="1551"/>
      <c r="MQU37" s="1551">
        <v>44150</v>
      </c>
      <c r="MQV37" s="1551">
        <v>44150</v>
      </c>
      <c r="MQW37" s="1551"/>
      <c r="MQX37" s="1551">
        <v>44150</v>
      </c>
      <c r="MQY37" s="1551"/>
      <c r="MQZ37" s="1551">
        <v>44150</v>
      </c>
      <c r="MRA37" s="1551"/>
      <c r="MRB37" s="1551">
        <v>44150</v>
      </c>
      <c r="MRC37" s="1551">
        <v>44150</v>
      </c>
      <c r="MRD37" s="1551"/>
      <c r="MRE37" s="1551">
        <v>44150</v>
      </c>
      <c r="MRF37" s="1551"/>
      <c r="MRG37" s="1551">
        <v>44150</v>
      </c>
      <c r="MRH37" s="1551"/>
      <c r="MRI37" s="1551">
        <v>44150</v>
      </c>
      <c r="MRJ37" s="1551">
        <v>44150</v>
      </c>
      <c r="MRK37" s="1551"/>
      <c r="MRL37" s="1551">
        <v>44150</v>
      </c>
      <c r="MRM37" s="1551"/>
      <c r="MRN37" s="1551">
        <v>44150</v>
      </c>
      <c r="MRO37" s="1551"/>
      <c r="MRP37" s="1551">
        <v>44150</v>
      </c>
      <c r="MRQ37" s="1551">
        <v>44150</v>
      </c>
      <c r="MRR37" s="1551"/>
      <c r="MRS37" s="1551">
        <v>44150</v>
      </c>
      <c r="MRT37" s="1551"/>
      <c r="MRU37" s="1551">
        <v>44150</v>
      </c>
      <c r="MRV37" s="1551"/>
      <c r="MRW37" s="1551">
        <v>44150</v>
      </c>
      <c r="MRX37" s="1551">
        <v>44150</v>
      </c>
      <c r="MRY37" s="1551"/>
      <c r="MRZ37" s="1551">
        <v>44150</v>
      </c>
      <c r="MSA37" s="1551"/>
      <c r="MSB37" s="1551">
        <v>44150</v>
      </c>
      <c r="MSC37" s="1551"/>
      <c r="MSD37" s="1551">
        <v>44150</v>
      </c>
      <c r="MSE37" s="1551">
        <v>44150</v>
      </c>
      <c r="MSF37" s="1551"/>
      <c r="MSG37" s="1551">
        <v>44150</v>
      </c>
      <c r="MSH37" s="1551"/>
      <c r="MSI37" s="1551">
        <v>44150</v>
      </c>
      <c r="MSJ37" s="1551"/>
      <c r="MSK37" s="1551">
        <v>44150</v>
      </c>
      <c r="MSL37" s="1551">
        <v>44150</v>
      </c>
      <c r="MSM37" s="1551"/>
      <c r="MSN37" s="1551">
        <v>44150</v>
      </c>
      <c r="MSO37" s="1551"/>
      <c r="MSP37" s="1551">
        <v>44150</v>
      </c>
      <c r="MSQ37" s="1551"/>
      <c r="MSR37" s="1551">
        <v>44150</v>
      </c>
      <c r="MSS37" s="1551">
        <v>44150</v>
      </c>
      <c r="MST37" s="1551"/>
      <c r="MSU37" s="1551">
        <v>44150</v>
      </c>
      <c r="MSV37" s="1551"/>
      <c r="MSW37" s="1551">
        <v>44150</v>
      </c>
      <c r="MSX37" s="1551"/>
      <c r="MSY37" s="1551">
        <v>44150</v>
      </c>
      <c r="MSZ37" s="1551">
        <v>44150</v>
      </c>
      <c r="MTA37" s="1551"/>
      <c r="MTB37" s="1551">
        <v>44150</v>
      </c>
      <c r="MTC37" s="1551"/>
      <c r="MTD37" s="1551">
        <v>44150</v>
      </c>
      <c r="MTE37" s="1551"/>
      <c r="MTF37" s="1551">
        <v>44150</v>
      </c>
      <c r="MTG37" s="1551">
        <v>44150</v>
      </c>
      <c r="MTH37" s="1551"/>
      <c r="MTI37" s="1551">
        <v>44150</v>
      </c>
      <c r="MTJ37" s="1551"/>
      <c r="MTK37" s="1551">
        <v>44150</v>
      </c>
      <c r="MTL37" s="1551"/>
      <c r="MTM37" s="1551">
        <v>44150</v>
      </c>
      <c r="MTN37" s="1551">
        <v>44150</v>
      </c>
      <c r="MTO37" s="1551"/>
      <c r="MTP37" s="1551">
        <v>44150</v>
      </c>
      <c r="MTQ37" s="1551"/>
      <c r="MTR37" s="1551">
        <v>44150</v>
      </c>
      <c r="MTS37" s="1551"/>
      <c r="MTT37" s="1551">
        <v>44150</v>
      </c>
      <c r="MTU37" s="1551">
        <v>44150</v>
      </c>
      <c r="MTV37" s="1551"/>
      <c r="MTW37" s="1551">
        <v>44150</v>
      </c>
      <c r="MTX37" s="1551"/>
      <c r="MTY37" s="1551">
        <v>44150</v>
      </c>
      <c r="MTZ37" s="1551"/>
      <c r="MUA37" s="1551">
        <v>44150</v>
      </c>
      <c r="MUB37" s="1551">
        <v>44150</v>
      </c>
      <c r="MUC37" s="1551"/>
      <c r="MUD37" s="1551">
        <v>44150</v>
      </c>
      <c r="MUE37" s="1551"/>
      <c r="MUF37" s="1551">
        <v>44150</v>
      </c>
      <c r="MUG37" s="1551"/>
      <c r="MUH37" s="1551">
        <v>44150</v>
      </c>
      <c r="MUI37" s="1551">
        <v>44150</v>
      </c>
      <c r="MUJ37" s="1551"/>
      <c r="MUK37" s="1551">
        <v>44150</v>
      </c>
      <c r="MUL37" s="1551"/>
      <c r="MUM37" s="1551">
        <v>44150</v>
      </c>
      <c r="MUN37" s="1551"/>
      <c r="MUO37" s="1551">
        <v>44150</v>
      </c>
      <c r="MUP37" s="1551">
        <v>44150</v>
      </c>
      <c r="MUQ37" s="1551"/>
      <c r="MUR37" s="1551">
        <v>44150</v>
      </c>
      <c r="MUS37" s="1551"/>
      <c r="MUT37" s="1551">
        <v>44150</v>
      </c>
      <c r="MUU37" s="1551"/>
      <c r="MUV37" s="1551">
        <v>44150</v>
      </c>
      <c r="MUW37" s="1551">
        <v>44150</v>
      </c>
      <c r="MUX37" s="1551"/>
      <c r="MUY37" s="1551">
        <v>44150</v>
      </c>
      <c r="MUZ37" s="1551"/>
      <c r="MVA37" s="1551">
        <v>44150</v>
      </c>
      <c r="MVB37" s="1551"/>
      <c r="MVC37" s="1551">
        <v>44150</v>
      </c>
      <c r="MVD37" s="1551">
        <v>44150</v>
      </c>
      <c r="MVE37" s="1551"/>
      <c r="MVF37" s="1551">
        <v>44150</v>
      </c>
      <c r="MVG37" s="1551"/>
      <c r="MVH37" s="1551">
        <v>44150</v>
      </c>
      <c r="MVI37" s="1551"/>
      <c r="MVJ37" s="1551">
        <v>44150</v>
      </c>
      <c r="MVK37" s="1551">
        <v>44150</v>
      </c>
      <c r="MVL37" s="1551"/>
      <c r="MVM37" s="1551">
        <v>44150</v>
      </c>
      <c r="MVN37" s="1551"/>
      <c r="MVO37" s="1551">
        <v>44150</v>
      </c>
      <c r="MVP37" s="1551"/>
      <c r="MVQ37" s="1551">
        <v>44150</v>
      </c>
      <c r="MVR37" s="1551">
        <v>44150</v>
      </c>
      <c r="MVS37" s="1551"/>
      <c r="MVT37" s="1551">
        <v>44150</v>
      </c>
      <c r="MVU37" s="1551"/>
      <c r="MVV37" s="1551">
        <v>44150</v>
      </c>
      <c r="MVW37" s="1551"/>
      <c r="MVX37" s="1551">
        <v>44150</v>
      </c>
      <c r="MVY37" s="1551">
        <v>44150</v>
      </c>
      <c r="MVZ37" s="1551"/>
      <c r="MWA37" s="1551">
        <v>44150</v>
      </c>
      <c r="MWB37" s="1551"/>
      <c r="MWC37" s="1551">
        <v>44150</v>
      </c>
      <c r="MWD37" s="1551"/>
      <c r="MWE37" s="1551">
        <v>44150</v>
      </c>
      <c r="MWF37" s="1551">
        <v>44150</v>
      </c>
      <c r="MWG37" s="1551"/>
      <c r="MWH37" s="1551">
        <v>44150</v>
      </c>
      <c r="MWI37" s="1551"/>
      <c r="MWJ37" s="1551">
        <v>44150</v>
      </c>
      <c r="MWK37" s="1551"/>
      <c r="MWL37" s="1551">
        <v>44150</v>
      </c>
      <c r="MWM37" s="1551">
        <v>44150</v>
      </c>
      <c r="MWN37" s="1551"/>
      <c r="MWO37" s="1551">
        <v>44150</v>
      </c>
      <c r="MWP37" s="1551"/>
      <c r="MWQ37" s="1551">
        <v>44150</v>
      </c>
      <c r="MWR37" s="1551"/>
      <c r="MWS37" s="1551">
        <v>44150</v>
      </c>
      <c r="MWT37" s="1551">
        <v>44150</v>
      </c>
      <c r="MWU37" s="1551"/>
      <c r="MWV37" s="1551">
        <v>44150</v>
      </c>
      <c r="MWW37" s="1551"/>
      <c r="MWX37" s="1551">
        <v>44150</v>
      </c>
      <c r="MWY37" s="1551"/>
      <c r="MWZ37" s="1551">
        <v>44150</v>
      </c>
      <c r="MXA37" s="1551">
        <v>44150</v>
      </c>
      <c r="MXB37" s="1551"/>
      <c r="MXC37" s="1551">
        <v>44150</v>
      </c>
      <c r="MXD37" s="1551"/>
      <c r="MXE37" s="1551">
        <v>44150</v>
      </c>
      <c r="MXF37" s="1551"/>
      <c r="MXG37" s="1551">
        <v>44150</v>
      </c>
      <c r="MXH37" s="1551">
        <v>44150</v>
      </c>
      <c r="MXI37" s="1551"/>
      <c r="MXJ37" s="1551">
        <v>44150</v>
      </c>
      <c r="MXK37" s="1551"/>
      <c r="MXL37" s="1551">
        <v>44150</v>
      </c>
      <c r="MXM37" s="1551"/>
      <c r="MXN37" s="1551">
        <v>44150</v>
      </c>
      <c r="MXO37" s="1551">
        <v>44150</v>
      </c>
      <c r="MXP37" s="1551"/>
      <c r="MXQ37" s="1551">
        <v>44150</v>
      </c>
      <c r="MXR37" s="1551"/>
      <c r="MXS37" s="1551">
        <v>44150</v>
      </c>
      <c r="MXT37" s="1551"/>
      <c r="MXU37" s="1551">
        <v>44150</v>
      </c>
      <c r="MXV37" s="1551">
        <v>44150</v>
      </c>
      <c r="MXW37" s="1551"/>
      <c r="MXX37" s="1551">
        <v>44150</v>
      </c>
      <c r="MXY37" s="1551"/>
      <c r="MXZ37" s="1551">
        <v>44150</v>
      </c>
      <c r="MYA37" s="1551"/>
      <c r="MYB37" s="1551">
        <v>44150</v>
      </c>
      <c r="MYC37" s="1551">
        <v>44150</v>
      </c>
      <c r="MYD37" s="1551"/>
      <c r="MYE37" s="1551">
        <v>44150</v>
      </c>
      <c r="MYF37" s="1551"/>
      <c r="MYG37" s="1551">
        <v>44150</v>
      </c>
      <c r="MYH37" s="1551"/>
      <c r="MYI37" s="1551">
        <v>44150</v>
      </c>
      <c r="MYJ37" s="1551">
        <v>44150</v>
      </c>
      <c r="MYK37" s="1551"/>
      <c r="MYL37" s="1551">
        <v>44150</v>
      </c>
      <c r="MYM37" s="1551"/>
      <c r="MYN37" s="1551">
        <v>44150</v>
      </c>
      <c r="MYO37" s="1551"/>
      <c r="MYP37" s="1551">
        <v>44150</v>
      </c>
      <c r="MYQ37" s="1551">
        <v>44150</v>
      </c>
      <c r="MYR37" s="1551"/>
      <c r="MYS37" s="1551">
        <v>44150</v>
      </c>
      <c r="MYT37" s="1551"/>
      <c r="MYU37" s="1551">
        <v>44150</v>
      </c>
      <c r="MYV37" s="1551"/>
      <c r="MYW37" s="1551">
        <v>44150</v>
      </c>
      <c r="MYX37" s="1551">
        <v>44150</v>
      </c>
      <c r="MYY37" s="1551"/>
      <c r="MYZ37" s="1551">
        <v>44150</v>
      </c>
      <c r="MZA37" s="1551"/>
      <c r="MZB37" s="1551">
        <v>44150</v>
      </c>
      <c r="MZC37" s="1551"/>
      <c r="MZD37" s="1551">
        <v>44150</v>
      </c>
      <c r="MZE37" s="1551">
        <v>44150</v>
      </c>
      <c r="MZF37" s="1551"/>
      <c r="MZG37" s="1551">
        <v>44150</v>
      </c>
      <c r="MZH37" s="1551"/>
      <c r="MZI37" s="1551">
        <v>44150</v>
      </c>
      <c r="MZJ37" s="1551"/>
      <c r="MZK37" s="1551">
        <v>44150</v>
      </c>
      <c r="MZL37" s="1551">
        <v>44150</v>
      </c>
      <c r="MZM37" s="1551"/>
      <c r="MZN37" s="1551">
        <v>44150</v>
      </c>
      <c r="MZO37" s="1551"/>
      <c r="MZP37" s="1551">
        <v>44150</v>
      </c>
      <c r="MZQ37" s="1551"/>
      <c r="MZR37" s="1551">
        <v>44150</v>
      </c>
      <c r="MZS37" s="1551">
        <v>44150</v>
      </c>
      <c r="MZT37" s="1551"/>
      <c r="MZU37" s="1551">
        <v>44150</v>
      </c>
      <c r="MZV37" s="1551"/>
      <c r="MZW37" s="1551">
        <v>44150</v>
      </c>
      <c r="MZX37" s="1551"/>
      <c r="MZY37" s="1551">
        <v>44150</v>
      </c>
      <c r="MZZ37" s="1551">
        <v>44150</v>
      </c>
      <c r="NAA37" s="1551"/>
      <c r="NAB37" s="1551">
        <v>44150</v>
      </c>
      <c r="NAC37" s="1551"/>
      <c r="NAD37" s="1551">
        <v>44150</v>
      </c>
      <c r="NAE37" s="1551"/>
      <c r="NAF37" s="1551">
        <v>44150</v>
      </c>
      <c r="NAG37" s="1551">
        <v>44150</v>
      </c>
      <c r="NAH37" s="1551"/>
      <c r="NAI37" s="1551">
        <v>44150</v>
      </c>
      <c r="NAJ37" s="1551"/>
      <c r="NAK37" s="1551">
        <v>44150</v>
      </c>
      <c r="NAL37" s="1551"/>
      <c r="NAM37" s="1551">
        <v>44150</v>
      </c>
      <c r="NAN37" s="1551">
        <v>44150</v>
      </c>
      <c r="NAO37" s="1551"/>
      <c r="NAP37" s="1551">
        <v>44150</v>
      </c>
      <c r="NAQ37" s="1551"/>
      <c r="NAR37" s="1551">
        <v>44150</v>
      </c>
      <c r="NAS37" s="1551"/>
      <c r="NAT37" s="1551">
        <v>44150</v>
      </c>
      <c r="NAU37" s="1551">
        <v>44150</v>
      </c>
      <c r="NAV37" s="1551"/>
      <c r="NAW37" s="1551">
        <v>44150</v>
      </c>
      <c r="NAX37" s="1551"/>
      <c r="NAY37" s="1551">
        <v>44150</v>
      </c>
      <c r="NAZ37" s="1551"/>
      <c r="NBA37" s="1551">
        <v>44150</v>
      </c>
      <c r="NBB37" s="1551">
        <v>44150</v>
      </c>
      <c r="NBC37" s="1551"/>
      <c r="NBD37" s="1551">
        <v>44150</v>
      </c>
      <c r="NBE37" s="1551"/>
      <c r="NBF37" s="1551">
        <v>44150</v>
      </c>
      <c r="NBG37" s="1551"/>
      <c r="NBH37" s="1551">
        <v>44150</v>
      </c>
      <c r="NBI37" s="1551">
        <v>44150</v>
      </c>
      <c r="NBJ37" s="1551"/>
      <c r="NBK37" s="1551">
        <v>44150</v>
      </c>
      <c r="NBL37" s="1551"/>
      <c r="NBM37" s="1551">
        <v>44150</v>
      </c>
      <c r="NBN37" s="1551"/>
      <c r="NBO37" s="1551">
        <v>44150</v>
      </c>
      <c r="NBP37" s="1551">
        <v>44150</v>
      </c>
      <c r="NBQ37" s="1551"/>
      <c r="NBR37" s="1551">
        <v>44150</v>
      </c>
      <c r="NBS37" s="1551"/>
      <c r="NBT37" s="1551">
        <v>44150</v>
      </c>
      <c r="NBU37" s="1551"/>
      <c r="NBV37" s="1551">
        <v>44150</v>
      </c>
      <c r="NBW37" s="1551">
        <v>44150</v>
      </c>
      <c r="NBX37" s="1551"/>
      <c r="NBY37" s="1551">
        <v>44150</v>
      </c>
      <c r="NBZ37" s="1551"/>
      <c r="NCA37" s="1551">
        <v>44150</v>
      </c>
      <c r="NCB37" s="1551"/>
      <c r="NCC37" s="1551">
        <v>44150</v>
      </c>
      <c r="NCD37" s="1551">
        <v>44150</v>
      </c>
      <c r="NCE37" s="1551"/>
      <c r="NCF37" s="1551">
        <v>44150</v>
      </c>
      <c r="NCG37" s="1551"/>
      <c r="NCH37" s="1551">
        <v>44150</v>
      </c>
      <c r="NCI37" s="1551"/>
      <c r="NCJ37" s="1551">
        <v>44150</v>
      </c>
      <c r="NCK37" s="1551">
        <v>44150</v>
      </c>
      <c r="NCL37" s="1551"/>
      <c r="NCM37" s="1551">
        <v>44150</v>
      </c>
      <c r="NCN37" s="1551"/>
      <c r="NCO37" s="1551">
        <v>44150</v>
      </c>
      <c r="NCP37" s="1551"/>
      <c r="NCQ37" s="1551">
        <v>44150</v>
      </c>
      <c r="NCR37" s="1551">
        <v>44150</v>
      </c>
      <c r="NCS37" s="1551"/>
      <c r="NCT37" s="1551">
        <v>44150</v>
      </c>
      <c r="NCU37" s="1551"/>
      <c r="NCV37" s="1551">
        <v>44150</v>
      </c>
      <c r="NCW37" s="1551"/>
      <c r="NCX37" s="1551">
        <v>44150</v>
      </c>
      <c r="NCY37" s="1551">
        <v>44150</v>
      </c>
      <c r="NCZ37" s="1551"/>
      <c r="NDA37" s="1551">
        <v>44150</v>
      </c>
      <c r="NDB37" s="1551"/>
      <c r="NDC37" s="1551">
        <v>44150</v>
      </c>
      <c r="NDD37" s="1551"/>
      <c r="NDE37" s="1551">
        <v>44150</v>
      </c>
      <c r="NDF37" s="1551">
        <v>44150</v>
      </c>
      <c r="NDG37" s="1551"/>
      <c r="NDH37" s="1551">
        <v>44150</v>
      </c>
      <c r="NDI37" s="1551"/>
      <c r="NDJ37" s="1551">
        <v>44150</v>
      </c>
      <c r="NDK37" s="1551"/>
      <c r="NDL37" s="1551">
        <v>44150</v>
      </c>
      <c r="NDM37" s="1551">
        <v>44150</v>
      </c>
      <c r="NDN37" s="1551"/>
      <c r="NDO37" s="1551">
        <v>44150</v>
      </c>
      <c r="NDP37" s="1551"/>
      <c r="NDQ37" s="1551">
        <v>44150</v>
      </c>
      <c r="NDR37" s="1551"/>
      <c r="NDS37" s="1551">
        <v>44150</v>
      </c>
      <c r="NDT37" s="1551">
        <v>44150</v>
      </c>
      <c r="NDU37" s="1551"/>
      <c r="NDV37" s="1551">
        <v>44150</v>
      </c>
      <c r="NDW37" s="1551"/>
      <c r="NDX37" s="1551">
        <v>44150</v>
      </c>
      <c r="NDY37" s="1551"/>
      <c r="NDZ37" s="1551">
        <v>44150</v>
      </c>
      <c r="NEA37" s="1551">
        <v>44150</v>
      </c>
      <c r="NEB37" s="1551"/>
      <c r="NEC37" s="1551">
        <v>44150</v>
      </c>
      <c r="NED37" s="1551"/>
      <c r="NEE37" s="1551">
        <v>44150</v>
      </c>
      <c r="NEF37" s="1551"/>
      <c r="NEG37" s="1551">
        <v>44150</v>
      </c>
      <c r="NEH37" s="1551">
        <v>44150</v>
      </c>
      <c r="NEI37" s="1551"/>
      <c r="NEJ37" s="1551">
        <v>44150</v>
      </c>
      <c r="NEK37" s="1551"/>
      <c r="NEL37" s="1551">
        <v>44150</v>
      </c>
      <c r="NEM37" s="1551"/>
      <c r="NEN37" s="1551">
        <v>44150</v>
      </c>
      <c r="NEO37" s="1551">
        <v>44150</v>
      </c>
      <c r="NEP37" s="1551"/>
      <c r="NEQ37" s="1551">
        <v>44150</v>
      </c>
      <c r="NER37" s="1551"/>
      <c r="NES37" s="1551">
        <v>44150</v>
      </c>
      <c r="NET37" s="1551"/>
      <c r="NEU37" s="1551">
        <v>44150</v>
      </c>
      <c r="NEV37" s="1551">
        <v>44150</v>
      </c>
      <c r="NEW37" s="1551"/>
      <c r="NEX37" s="1551">
        <v>44150</v>
      </c>
      <c r="NEY37" s="1551"/>
      <c r="NEZ37" s="1551">
        <v>44150</v>
      </c>
      <c r="NFA37" s="1551"/>
      <c r="NFB37" s="1551">
        <v>44150</v>
      </c>
      <c r="NFC37" s="1551">
        <v>44150</v>
      </c>
      <c r="NFD37" s="1551"/>
      <c r="NFE37" s="1551">
        <v>44150</v>
      </c>
      <c r="NFF37" s="1551"/>
      <c r="NFG37" s="1551">
        <v>44150</v>
      </c>
      <c r="NFH37" s="1551"/>
      <c r="NFI37" s="1551">
        <v>44150</v>
      </c>
      <c r="NFJ37" s="1551">
        <v>44150</v>
      </c>
      <c r="NFK37" s="1551"/>
      <c r="NFL37" s="1551">
        <v>44150</v>
      </c>
      <c r="NFM37" s="1551"/>
      <c r="NFN37" s="1551">
        <v>44150</v>
      </c>
      <c r="NFO37" s="1551"/>
      <c r="NFP37" s="1551">
        <v>44150</v>
      </c>
      <c r="NFQ37" s="1551">
        <v>44150</v>
      </c>
      <c r="NFR37" s="1551"/>
      <c r="NFS37" s="1551">
        <v>44150</v>
      </c>
      <c r="NFT37" s="1551"/>
      <c r="NFU37" s="1551">
        <v>44150</v>
      </c>
      <c r="NFV37" s="1551"/>
      <c r="NFW37" s="1551">
        <v>44150</v>
      </c>
      <c r="NFX37" s="1551">
        <v>44150</v>
      </c>
      <c r="NFY37" s="1551"/>
      <c r="NFZ37" s="1551">
        <v>44150</v>
      </c>
      <c r="NGA37" s="1551"/>
      <c r="NGB37" s="1551">
        <v>44150</v>
      </c>
      <c r="NGC37" s="1551"/>
      <c r="NGD37" s="1551">
        <v>44150</v>
      </c>
      <c r="NGE37" s="1551">
        <v>44150</v>
      </c>
      <c r="NGF37" s="1551"/>
      <c r="NGG37" s="1551">
        <v>44150</v>
      </c>
      <c r="NGH37" s="1551"/>
      <c r="NGI37" s="1551">
        <v>44150</v>
      </c>
      <c r="NGJ37" s="1551"/>
      <c r="NGK37" s="1551">
        <v>44150</v>
      </c>
      <c r="NGL37" s="1551">
        <v>44150</v>
      </c>
      <c r="NGM37" s="1551"/>
      <c r="NGN37" s="1551">
        <v>44150</v>
      </c>
      <c r="NGO37" s="1551"/>
      <c r="NGP37" s="1551">
        <v>44150</v>
      </c>
      <c r="NGQ37" s="1551"/>
      <c r="NGR37" s="1551">
        <v>44150</v>
      </c>
      <c r="NGS37" s="1551">
        <v>44150</v>
      </c>
      <c r="NGT37" s="1551"/>
      <c r="NGU37" s="1551">
        <v>44150</v>
      </c>
      <c r="NGV37" s="1551"/>
      <c r="NGW37" s="1551">
        <v>44150</v>
      </c>
      <c r="NGX37" s="1551"/>
      <c r="NGY37" s="1551">
        <v>44150</v>
      </c>
      <c r="NGZ37" s="1551">
        <v>44150</v>
      </c>
      <c r="NHA37" s="1551"/>
      <c r="NHB37" s="1551">
        <v>44150</v>
      </c>
      <c r="NHC37" s="1551"/>
      <c r="NHD37" s="1551">
        <v>44150</v>
      </c>
      <c r="NHE37" s="1551"/>
      <c r="NHF37" s="1551">
        <v>44150</v>
      </c>
      <c r="NHG37" s="1551">
        <v>44150</v>
      </c>
      <c r="NHH37" s="1551"/>
      <c r="NHI37" s="1551">
        <v>44150</v>
      </c>
      <c r="NHJ37" s="1551"/>
      <c r="NHK37" s="1551">
        <v>44150</v>
      </c>
      <c r="NHL37" s="1551"/>
      <c r="NHM37" s="1551">
        <v>44150</v>
      </c>
      <c r="NHN37" s="1551">
        <v>44150</v>
      </c>
      <c r="NHO37" s="1551"/>
      <c r="NHP37" s="1551">
        <v>44150</v>
      </c>
      <c r="NHQ37" s="1551"/>
      <c r="NHR37" s="1551">
        <v>44150</v>
      </c>
      <c r="NHS37" s="1551"/>
      <c r="NHT37" s="1551">
        <v>44150</v>
      </c>
      <c r="NHU37" s="1551">
        <v>44150</v>
      </c>
      <c r="NHV37" s="1551"/>
      <c r="NHW37" s="1551">
        <v>44150</v>
      </c>
      <c r="NHX37" s="1551"/>
      <c r="NHY37" s="1551">
        <v>44150</v>
      </c>
      <c r="NHZ37" s="1551"/>
      <c r="NIA37" s="1551">
        <v>44150</v>
      </c>
      <c r="NIB37" s="1551">
        <v>44150</v>
      </c>
      <c r="NIC37" s="1551"/>
      <c r="NID37" s="1551">
        <v>44150</v>
      </c>
      <c r="NIE37" s="1551"/>
      <c r="NIF37" s="1551">
        <v>44150</v>
      </c>
      <c r="NIG37" s="1551"/>
      <c r="NIH37" s="1551">
        <v>44150</v>
      </c>
      <c r="NII37" s="1551">
        <v>44150</v>
      </c>
      <c r="NIJ37" s="1551"/>
      <c r="NIK37" s="1551">
        <v>44150</v>
      </c>
      <c r="NIL37" s="1551"/>
      <c r="NIM37" s="1551">
        <v>44150</v>
      </c>
      <c r="NIN37" s="1551"/>
      <c r="NIO37" s="1551">
        <v>44150</v>
      </c>
      <c r="NIP37" s="1551">
        <v>44150</v>
      </c>
      <c r="NIQ37" s="1551"/>
      <c r="NIR37" s="1551">
        <v>44150</v>
      </c>
      <c r="NIS37" s="1551"/>
      <c r="NIT37" s="1551">
        <v>44150</v>
      </c>
      <c r="NIU37" s="1551"/>
      <c r="NIV37" s="1551">
        <v>44150</v>
      </c>
      <c r="NIW37" s="1551">
        <v>44150</v>
      </c>
      <c r="NIX37" s="1551"/>
      <c r="NIY37" s="1551">
        <v>44150</v>
      </c>
      <c r="NIZ37" s="1551"/>
      <c r="NJA37" s="1551">
        <v>44150</v>
      </c>
      <c r="NJB37" s="1551"/>
      <c r="NJC37" s="1551">
        <v>44150</v>
      </c>
      <c r="NJD37" s="1551">
        <v>44150</v>
      </c>
      <c r="NJE37" s="1551"/>
      <c r="NJF37" s="1551">
        <v>44150</v>
      </c>
      <c r="NJG37" s="1551"/>
      <c r="NJH37" s="1551">
        <v>44150</v>
      </c>
      <c r="NJI37" s="1551"/>
      <c r="NJJ37" s="1551">
        <v>44150</v>
      </c>
      <c r="NJK37" s="1551">
        <v>44150</v>
      </c>
      <c r="NJL37" s="1551"/>
      <c r="NJM37" s="1551">
        <v>44150</v>
      </c>
      <c r="NJN37" s="1551"/>
      <c r="NJO37" s="1551">
        <v>44150</v>
      </c>
      <c r="NJP37" s="1551"/>
      <c r="NJQ37" s="1551">
        <v>44150</v>
      </c>
      <c r="NJR37" s="1551">
        <v>44150</v>
      </c>
      <c r="NJS37" s="1551"/>
      <c r="NJT37" s="1551">
        <v>44150</v>
      </c>
      <c r="NJU37" s="1551"/>
      <c r="NJV37" s="1551">
        <v>44150</v>
      </c>
      <c r="NJW37" s="1551"/>
      <c r="NJX37" s="1551">
        <v>44150</v>
      </c>
      <c r="NJY37" s="1551">
        <v>44150</v>
      </c>
      <c r="NJZ37" s="1551"/>
      <c r="NKA37" s="1551">
        <v>44150</v>
      </c>
      <c r="NKB37" s="1551"/>
      <c r="NKC37" s="1551">
        <v>44150</v>
      </c>
      <c r="NKD37" s="1551"/>
      <c r="NKE37" s="1551">
        <v>44150</v>
      </c>
      <c r="NKF37" s="1551">
        <v>44150</v>
      </c>
      <c r="NKG37" s="1551"/>
      <c r="NKH37" s="1551">
        <v>44150</v>
      </c>
      <c r="NKI37" s="1551"/>
      <c r="NKJ37" s="1551">
        <v>44150</v>
      </c>
      <c r="NKK37" s="1551"/>
      <c r="NKL37" s="1551">
        <v>44150</v>
      </c>
      <c r="NKM37" s="1551">
        <v>44150</v>
      </c>
      <c r="NKN37" s="1551"/>
      <c r="NKO37" s="1551">
        <v>44150</v>
      </c>
      <c r="NKP37" s="1551"/>
      <c r="NKQ37" s="1551">
        <v>44150</v>
      </c>
      <c r="NKR37" s="1551"/>
      <c r="NKS37" s="1551">
        <v>44150</v>
      </c>
      <c r="NKT37" s="1551">
        <v>44150</v>
      </c>
      <c r="NKU37" s="1551"/>
      <c r="NKV37" s="1551">
        <v>44150</v>
      </c>
      <c r="NKW37" s="1551"/>
      <c r="NKX37" s="1551">
        <v>44150</v>
      </c>
      <c r="NKY37" s="1551"/>
      <c r="NKZ37" s="1551">
        <v>44150</v>
      </c>
      <c r="NLA37" s="1551">
        <v>44150</v>
      </c>
      <c r="NLB37" s="1551"/>
      <c r="NLC37" s="1551">
        <v>44150</v>
      </c>
      <c r="NLD37" s="1551"/>
      <c r="NLE37" s="1551">
        <v>44150</v>
      </c>
      <c r="NLF37" s="1551"/>
      <c r="NLG37" s="1551">
        <v>44150</v>
      </c>
      <c r="NLH37" s="1551">
        <v>44150</v>
      </c>
      <c r="NLI37" s="1551"/>
      <c r="NLJ37" s="1551">
        <v>44150</v>
      </c>
      <c r="NLK37" s="1551"/>
      <c r="NLL37" s="1551">
        <v>44150</v>
      </c>
      <c r="NLM37" s="1551"/>
      <c r="NLN37" s="1551">
        <v>44150</v>
      </c>
      <c r="NLO37" s="1551">
        <v>44150</v>
      </c>
      <c r="NLP37" s="1551"/>
      <c r="NLQ37" s="1551">
        <v>44150</v>
      </c>
      <c r="NLR37" s="1551"/>
      <c r="NLS37" s="1551">
        <v>44150</v>
      </c>
      <c r="NLT37" s="1551"/>
      <c r="NLU37" s="1551">
        <v>44150</v>
      </c>
      <c r="NLV37" s="1551">
        <v>44150</v>
      </c>
      <c r="NLW37" s="1551"/>
      <c r="NLX37" s="1551">
        <v>44150</v>
      </c>
      <c r="NLY37" s="1551"/>
      <c r="NLZ37" s="1551">
        <v>44150</v>
      </c>
      <c r="NMA37" s="1551"/>
      <c r="NMB37" s="1551">
        <v>44150</v>
      </c>
      <c r="NMC37" s="1551">
        <v>44150</v>
      </c>
      <c r="NMD37" s="1551"/>
      <c r="NME37" s="1551">
        <v>44150</v>
      </c>
      <c r="NMF37" s="1551"/>
      <c r="NMG37" s="1551">
        <v>44150</v>
      </c>
      <c r="NMH37" s="1551"/>
      <c r="NMI37" s="1551">
        <v>44150</v>
      </c>
      <c r="NMJ37" s="1551">
        <v>44150</v>
      </c>
      <c r="NMK37" s="1551"/>
      <c r="NML37" s="1551">
        <v>44150</v>
      </c>
      <c r="NMM37" s="1551"/>
      <c r="NMN37" s="1551">
        <v>44150</v>
      </c>
      <c r="NMO37" s="1551"/>
      <c r="NMP37" s="1551">
        <v>44150</v>
      </c>
      <c r="NMQ37" s="1551">
        <v>44150</v>
      </c>
      <c r="NMR37" s="1551"/>
      <c r="NMS37" s="1551">
        <v>44150</v>
      </c>
      <c r="NMT37" s="1551"/>
      <c r="NMU37" s="1551">
        <v>44150</v>
      </c>
      <c r="NMV37" s="1551"/>
      <c r="NMW37" s="1551">
        <v>44150</v>
      </c>
      <c r="NMX37" s="1551">
        <v>44150</v>
      </c>
      <c r="NMY37" s="1551"/>
      <c r="NMZ37" s="1551">
        <v>44150</v>
      </c>
      <c r="NNA37" s="1551"/>
      <c r="NNB37" s="1551">
        <v>44150</v>
      </c>
      <c r="NNC37" s="1551"/>
      <c r="NND37" s="1551">
        <v>44150</v>
      </c>
      <c r="NNE37" s="1551">
        <v>44150</v>
      </c>
      <c r="NNF37" s="1551"/>
      <c r="NNG37" s="1551">
        <v>44150</v>
      </c>
      <c r="NNH37" s="1551"/>
      <c r="NNI37" s="1551">
        <v>44150</v>
      </c>
      <c r="NNJ37" s="1551"/>
      <c r="NNK37" s="1551">
        <v>44150</v>
      </c>
      <c r="NNL37" s="1551">
        <v>44150</v>
      </c>
      <c r="NNM37" s="1551"/>
      <c r="NNN37" s="1551">
        <v>44150</v>
      </c>
      <c r="NNO37" s="1551"/>
      <c r="NNP37" s="1551">
        <v>44150</v>
      </c>
      <c r="NNQ37" s="1551"/>
      <c r="NNR37" s="1551">
        <v>44150</v>
      </c>
      <c r="NNS37" s="1551">
        <v>44150</v>
      </c>
      <c r="NNT37" s="1551"/>
      <c r="NNU37" s="1551">
        <v>44150</v>
      </c>
      <c r="NNV37" s="1551"/>
      <c r="NNW37" s="1551">
        <v>44150</v>
      </c>
      <c r="NNX37" s="1551"/>
      <c r="NNY37" s="1551">
        <v>44150</v>
      </c>
      <c r="NNZ37" s="1551">
        <v>44150</v>
      </c>
      <c r="NOA37" s="1551"/>
      <c r="NOB37" s="1551">
        <v>44150</v>
      </c>
      <c r="NOC37" s="1551"/>
      <c r="NOD37" s="1551">
        <v>44150</v>
      </c>
      <c r="NOE37" s="1551"/>
      <c r="NOF37" s="1551">
        <v>44150</v>
      </c>
      <c r="NOG37" s="1551">
        <v>44150</v>
      </c>
      <c r="NOH37" s="1551"/>
      <c r="NOI37" s="1551">
        <v>44150</v>
      </c>
      <c r="NOJ37" s="1551"/>
      <c r="NOK37" s="1551">
        <v>44150</v>
      </c>
      <c r="NOL37" s="1551"/>
      <c r="NOM37" s="1551">
        <v>44150</v>
      </c>
      <c r="NON37" s="1551">
        <v>44150</v>
      </c>
      <c r="NOO37" s="1551"/>
      <c r="NOP37" s="1551">
        <v>44150</v>
      </c>
      <c r="NOQ37" s="1551"/>
      <c r="NOR37" s="1551">
        <v>44150</v>
      </c>
      <c r="NOS37" s="1551"/>
      <c r="NOT37" s="1551">
        <v>44150</v>
      </c>
      <c r="NOU37" s="1551">
        <v>44150</v>
      </c>
      <c r="NOV37" s="1551"/>
      <c r="NOW37" s="1551">
        <v>44150</v>
      </c>
      <c r="NOX37" s="1551"/>
      <c r="NOY37" s="1551">
        <v>44150</v>
      </c>
      <c r="NOZ37" s="1551"/>
      <c r="NPA37" s="1551">
        <v>44150</v>
      </c>
      <c r="NPB37" s="1551">
        <v>44150</v>
      </c>
      <c r="NPC37" s="1551"/>
      <c r="NPD37" s="1551">
        <v>44150</v>
      </c>
      <c r="NPE37" s="1551"/>
      <c r="NPF37" s="1551">
        <v>44150</v>
      </c>
      <c r="NPG37" s="1551"/>
      <c r="NPH37" s="1551">
        <v>44150</v>
      </c>
      <c r="NPI37" s="1551">
        <v>44150</v>
      </c>
      <c r="NPJ37" s="1551"/>
      <c r="NPK37" s="1551">
        <v>44150</v>
      </c>
      <c r="NPL37" s="1551"/>
      <c r="NPM37" s="1551">
        <v>44150</v>
      </c>
      <c r="NPN37" s="1551"/>
      <c r="NPO37" s="1551">
        <v>44150</v>
      </c>
      <c r="NPP37" s="1551">
        <v>44150</v>
      </c>
      <c r="NPQ37" s="1551"/>
      <c r="NPR37" s="1551">
        <v>44150</v>
      </c>
      <c r="NPS37" s="1551"/>
      <c r="NPT37" s="1551">
        <v>44150</v>
      </c>
      <c r="NPU37" s="1551"/>
      <c r="NPV37" s="1551">
        <v>44150</v>
      </c>
      <c r="NPW37" s="1551">
        <v>44150</v>
      </c>
      <c r="NPX37" s="1551"/>
      <c r="NPY37" s="1551">
        <v>44150</v>
      </c>
      <c r="NPZ37" s="1551"/>
      <c r="NQA37" s="1551">
        <v>44150</v>
      </c>
      <c r="NQB37" s="1551"/>
      <c r="NQC37" s="1551">
        <v>44150</v>
      </c>
      <c r="NQD37" s="1551">
        <v>44150</v>
      </c>
      <c r="NQE37" s="1551"/>
      <c r="NQF37" s="1551">
        <v>44150</v>
      </c>
      <c r="NQG37" s="1551"/>
      <c r="NQH37" s="1551">
        <v>44150</v>
      </c>
      <c r="NQI37" s="1551"/>
      <c r="NQJ37" s="1551">
        <v>44150</v>
      </c>
      <c r="NQK37" s="1551">
        <v>44150</v>
      </c>
      <c r="NQL37" s="1551"/>
      <c r="NQM37" s="1551">
        <v>44150</v>
      </c>
      <c r="NQN37" s="1551"/>
      <c r="NQO37" s="1551">
        <v>44150</v>
      </c>
      <c r="NQP37" s="1551"/>
      <c r="NQQ37" s="1551">
        <v>44150</v>
      </c>
      <c r="NQR37" s="1551">
        <v>44150</v>
      </c>
      <c r="NQS37" s="1551"/>
      <c r="NQT37" s="1551">
        <v>44150</v>
      </c>
      <c r="NQU37" s="1551"/>
      <c r="NQV37" s="1551">
        <v>44150</v>
      </c>
      <c r="NQW37" s="1551"/>
      <c r="NQX37" s="1551">
        <v>44150</v>
      </c>
      <c r="NQY37" s="1551">
        <v>44150</v>
      </c>
      <c r="NQZ37" s="1551"/>
      <c r="NRA37" s="1551">
        <v>44150</v>
      </c>
      <c r="NRB37" s="1551"/>
      <c r="NRC37" s="1551">
        <v>44150</v>
      </c>
      <c r="NRD37" s="1551"/>
      <c r="NRE37" s="1551">
        <v>44150</v>
      </c>
      <c r="NRF37" s="1551">
        <v>44150</v>
      </c>
      <c r="NRG37" s="1551"/>
      <c r="NRH37" s="1551">
        <v>44150</v>
      </c>
      <c r="NRI37" s="1551"/>
      <c r="NRJ37" s="1551">
        <v>44150</v>
      </c>
      <c r="NRK37" s="1551"/>
      <c r="NRL37" s="1551">
        <v>44150</v>
      </c>
      <c r="NRM37" s="1551">
        <v>44150</v>
      </c>
      <c r="NRN37" s="1551"/>
      <c r="NRO37" s="1551">
        <v>44150</v>
      </c>
      <c r="NRP37" s="1551"/>
      <c r="NRQ37" s="1551">
        <v>44150</v>
      </c>
      <c r="NRR37" s="1551"/>
      <c r="NRS37" s="1551">
        <v>44150</v>
      </c>
      <c r="NRT37" s="1551">
        <v>44150</v>
      </c>
      <c r="NRU37" s="1551"/>
      <c r="NRV37" s="1551">
        <v>44150</v>
      </c>
      <c r="NRW37" s="1551"/>
      <c r="NRX37" s="1551">
        <v>44150</v>
      </c>
      <c r="NRY37" s="1551"/>
      <c r="NRZ37" s="1551">
        <v>44150</v>
      </c>
      <c r="NSA37" s="1551">
        <v>44150</v>
      </c>
      <c r="NSB37" s="1551"/>
      <c r="NSC37" s="1551">
        <v>44150</v>
      </c>
      <c r="NSD37" s="1551"/>
      <c r="NSE37" s="1551">
        <v>44150</v>
      </c>
      <c r="NSF37" s="1551"/>
      <c r="NSG37" s="1551">
        <v>44150</v>
      </c>
      <c r="NSH37" s="1551">
        <v>44150</v>
      </c>
      <c r="NSI37" s="1551"/>
      <c r="NSJ37" s="1551">
        <v>44150</v>
      </c>
      <c r="NSK37" s="1551"/>
      <c r="NSL37" s="1551">
        <v>44150</v>
      </c>
      <c r="NSM37" s="1551"/>
      <c r="NSN37" s="1551">
        <v>44150</v>
      </c>
      <c r="NSO37" s="1551">
        <v>44150</v>
      </c>
      <c r="NSP37" s="1551"/>
      <c r="NSQ37" s="1551">
        <v>44150</v>
      </c>
      <c r="NSR37" s="1551"/>
      <c r="NSS37" s="1551">
        <v>44150</v>
      </c>
      <c r="NST37" s="1551"/>
      <c r="NSU37" s="1551">
        <v>44150</v>
      </c>
      <c r="NSV37" s="1551">
        <v>44150</v>
      </c>
      <c r="NSW37" s="1551"/>
      <c r="NSX37" s="1551">
        <v>44150</v>
      </c>
      <c r="NSY37" s="1551"/>
      <c r="NSZ37" s="1551">
        <v>44150</v>
      </c>
      <c r="NTA37" s="1551"/>
      <c r="NTB37" s="1551">
        <v>44150</v>
      </c>
      <c r="NTC37" s="1551">
        <v>44150</v>
      </c>
      <c r="NTD37" s="1551"/>
      <c r="NTE37" s="1551">
        <v>44150</v>
      </c>
      <c r="NTF37" s="1551"/>
      <c r="NTG37" s="1551">
        <v>44150</v>
      </c>
      <c r="NTH37" s="1551"/>
      <c r="NTI37" s="1551">
        <v>44150</v>
      </c>
      <c r="NTJ37" s="1551">
        <v>44150</v>
      </c>
      <c r="NTK37" s="1551"/>
      <c r="NTL37" s="1551">
        <v>44150</v>
      </c>
      <c r="NTM37" s="1551"/>
      <c r="NTN37" s="1551">
        <v>44150</v>
      </c>
      <c r="NTO37" s="1551"/>
      <c r="NTP37" s="1551">
        <v>44150</v>
      </c>
      <c r="NTQ37" s="1551">
        <v>44150</v>
      </c>
      <c r="NTR37" s="1551"/>
      <c r="NTS37" s="1551">
        <v>44150</v>
      </c>
      <c r="NTT37" s="1551"/>
      <c r="NTU37" s="1551">
        <v>44150</v>
      </c>
      <c r="NTV37" s="1551"/>
      <c r="NTW37" s="1551">
        <v>44150</v>
      </c>
      <c r="NTX37" s="1551">
        <v>44150</v>
      </c>
      <c r="NTY37" s="1551"/>
      <c r="NTZ37" s="1551">
        <v>44150</v>
      </c>
      <c r="NUA37" s="1551"/>
      <c r="NUB37" s="1551">
        <v>44150</v>
      </c>
      <c r="NUC37" s="1551"/>
      <c r="NUD37" s="1551">
        <v>44150</v>
      </c>
      <c r="NUE37" s="1551">
        <v>44150</v>
      </c>
      <c r="NUF37" s="1551"/>
      <c r="NUG37" s="1551">
        <v>44150</v>
      </c>
      <c r="NUH37" s="1551"/>
      <c r="NUI37" s="1551">
        <v>44150</v>
      </c>
      <c r="NUJ37" s="1551"/>
      <c r="NUK37" s="1551">
        <v>44150</v>
      </c>
      <c r="NUL37" s="1551">
        <v>44150</v>
      </c>
      <c r="NUM37" s="1551"/>
      <c r="NUN37" s="1551">
        <v>44150</v>
      </c>
      <c r="NUO37" s="1551"/>
      <c r="NUP37" s="1551">
        <v>44150</v>
      </c>
      <c r="NUQ37" s="1551"/>
      <c r="NUR37" s="1551">
        <v>44150</v>
      </c>
      <c r="NUS37" s="1551">
        <v>44150</v>
      </c>
      <c r="NUT37" s="1551"/>
      <c r="NUU37" s="1551">
        <v>44150</v>
      </c>
      <c r="NUV37" s="1551"/>
      <c r="NUW37" s="1551">
        <v>44150</v>
      </c>
      <c r="NUX37" s="1551"/>
      <c r="NUY37" s="1551">
        <v>44150</v>
      </c>
      <c r="NUZ37" s="1551">
        <v>44150</v>
      </c>
      <c r="NVA37" s="1551"/>
      <c r="NVB37" s="1551">
        <v>44150</v>
      </c>
      <c r="NVC37" s="1551"/>
      <c r="NVD37" s="1551">
        <v>44150</v>
      </c>
      <c r="NVE37" s="1551"/>
      <c r="NVF37" s="1551">
        <v>44150</v>
      </c>
      <c r="NVG37" s="1551">
        <v>44150</v>
      </c>
      <c r="NVH37" s="1551"/>
      <c r="NVI37" s="1551">
        <v>44150</v>
      </c>
      <c r="NVJ37" s="1551"/>
      <c r="NVK37" s="1551">
        <v>44150</v>
      </c>
      <c r="NVL37" s="1551"/>
      <c r="NVM37" s="1551">
        <v>44150</v>
      </c>
      <c r="NVN37" s="1551">
        <v>44150</v>
      </c>
      <c r="NVO37" s="1551"/>
      <c r="NVP37" s="1551">
        <v>44150</v>
      </c>
      <c r="NVQ37" s="1551"/>
      <c r="NVR37" s="1551">
        <v>44150</v>
      </c>
      <c r="NVS37" s="1551"/>
      <c r="NVT37" s="1551">
        <v>44150</v>
      </c>
      <c r="NVU37" s="1551">
        <v>44150</v>
      </c>
      <c r="NVV37" s="1551"/>
      <c r="NVW37" s="1551">
        <v>44150</v>
      </c>
      <c r="NVX37" s="1551"/>
      <c r="NVY37" s="1551">
        <v>44150</v>
      </c>
      <c r="NVZ37" s="1551"/>
      <c r="NWA37" s="1551">
        <v>44150</v>
      </c>
      <c r="NWB37" s="1551">
        <v>44150</v>
      </c>
      <c r="NWC37" s="1551"/>
      <c r="NWD37" s="1551">
        <v>44150</v>
      </c>
      <c r="NWE37" s="1551"/>
      <c r="NWF37" s="1551">
        <v>44150</v>
      </c>
      <c r="NWG37" s="1551"/>
      <c r="NWH37" s="1551">
        <v>44150</v>
      </c>
      <c r="NWI37" s="1551">
        <v>44150</v>
      </c>
      <c r="NWJ37" s="1551"/>
      <c r="NWK37" s="1551">
        <v>44150</v>
      </c>
      <c r="NWL37" s="1551"/>
      <c r="NWM37" s="1551">
        <v>44150</v>
      </c>
      <c r="NWN37" s="1551"/>
      <c r="NWO37" s="1551">
        <v>44150</v>
      </c>
      <c r="NWP37" s="1551">
        <v>44150</v>
      </c>
      <c r="NWQ37" s="1551"/>
      <c r="NWR37" s="1551">
        <v>44150</v>
      </c>
      <c r="NWS37" s="1551"/>
      <c r="NWT37" s="1551">
        <v>44150</v>
      </c>
      <c r="NWU37" s="1551"/>
      <c r="NWV37" s="1551">
        <v>44150</v>
      </c>
      <c r="NWW37" s="1551">
        <v>44150</v>
      </c>
      <c r="NWX37" s="1551"/>
      <c r="NWY37" s="1551">
        <v>44150</v>
      </c>
      <c r="NWZ37" s="1551"/>
      <c r="NXA37" s="1551">
        <v>44150</v>
      </c>
      <c r="NXB37" s="1551"/>
      <c r="NXC37" s="1551">
        <v>44150</v>
      </c>
      <c r="NXD37" s="1551">
        <v>44150</v>
      </c>
      <c r="NXE37" s="1551"/>
      <c r="NXF37" s="1551">
        <v>44150</v>
      </c>
      <c r="NXG37" s="1551"/>
      <c r="NXH37" s="1551">
        <v>44150</v>
      </c>
      <c r="NXI37" s="1551"/>
      <c r="NXJ37" s="1551">
        <v>44150</v>
      </c>
      <c r="NXK37" s="1551">
        <v>44150</v>
      </c>
      <c r="NXL37" s="1551"/>
      <c r="NXM37" s="1551">
        <v>44150</v>
      </c>
      <c r="NXN37" s="1551"/>
      <c r="NXO37" s="1551">
        <v>44150</v>
      </c>
      <c r="NXP37" s="1551"/>
      <c r="NXQ37" s="1551">
        <v>44150</v>
      </c>
      <c r="NXR37" s="1551">
        <v>44150</v>
      </c>
      <c r="NXS37" s="1551"/>
      <c r="NXT37" s="1551">
        <v>44150</v>
      </c>
      <c r="NXU37" s="1551"/>
      <c r="NXV37" s="1551">
        <v>44150</v>
      </c>
      <c r="NXW37" s="1551"/>
      <c r="NXX37" s="1551">
        <v>44150</v>
      </c>
      <c r="NXY37" s="1551">
        <v>44150</v>
      </c>
      <c r="NXZ37" s="1551"/>
      <c r="NYA37" s="1551">
        <v>44150</v>
      </c>
      <c r="NYB37" s="1551"/>
      <c r="NYC37" s="1551">
        <v>44150</v>
      </c>
      <c r="NYD37" s="1551"/>
      <c r="NYE37" s="1551">
        <v>44150</v>
      </c>
      <c r="NYF37" s="1551">
        <v>44150</v>
      </c>
      <c r="NYG37" s="1551"/>
      <c r="NYH37" s="1551">
        <v>44150</v>
      </c>
      <c r="NYI37" s="1551"/>
      <c r="NYJ37" s="1551">
        <v>44150</v>
      </c>
      <c r="NYK37" s="1551"/>
      <c r="NYL37" s="1551">
        <v>44150</v>
      </c>
      <c r="NYM37" s="1551">
        <v>44150</v>
      </c>
      <c r="NYN37" s="1551"/>
      <c r="NYO37" s="1551">
        <v>44150</v>
      </c>
      <c r="NYP37" s="1551"/>
      <c r="NYQ37" s="1551">
        <v>44150</v>
      </c>
      <c r="NYR37" s="1551"/>
      <c r="NYS37" s="1551">
        <v>44150</v>
      </c>
      <c r="NYT37" s="1551">
        <v>44150</v>
      </c>
      <c r="NYU37" s="1551"/>
      <c r="NYV37" s="1551">
        <v>44150</v>
      </c>
      <c r="NYW37" s="1551"/>
      <c r="NYX37" s="1551">
        <v>44150</v>
      </c>
      <c r="NYY37" s="1551"/>
      <c r="NYZ37" s="1551">
        <v>44150</v>
      </c>
      <c r="NZA37" s="1551">
        <v>44150</v>
      </c>
      <c r="NZB37" s="1551"/>
      <c r="NZC37" s="1551">
        <v>44150</v>
      </c>
      <c r="NZD37" s="1551"/>
      <c r="NZE37" s="1551">
        <v>44150</v>
      </c>
      <c r="NZF37" s="1551"/>
      <c r="NZG37" s="1551">
        <v>44150</v>
      </c>
      <c r="NZH37" s="1551">
        <v>44150</v>
      </c>
      <c r="NZI37" s="1551"/>
      <c r="NZJ37" s="1551">
        <v>44150</v>
      </c>
      <c r="NZK37" s="1551"/>
      <c r="NZL37" s="1551">
        <v>44150</v>
      </c>
      <c r="NZM37" s="1551"/>
      <c r="NZN37" s="1551">
        <v>44150</v>
      </c>
      <c r="NZO37" s="1551">
        <v>44150</v>
      </c>
      <c r="NZP37" s="1551"/>
      <c r="NZQ37" s="1551">
        <v>44150</v>
      </c>
      <c r="NZR37" s="1551"/>
      <c r="NZS37" s="1551">
        <v>44150</v>
      </c>
      <c r="NZT37" s="1551"/>
      <c r="NZU37" s="1551">
        <v>44150</v>
      </c>
      <c r="NZV37" s="1551">
        <v>44150</v>
      </c>
      <c r="NZW37" s="1551"/>
      <c r="NZX37" s="1551">
        <v>44150</v>
      </c>
      <c r="NZY37" s="1551"/>
      <c r="NZZ37" s="1551">
        <v>44150</v>
      </c>
      <c r="OAA37" s="1551"/>
      <c r="OAB37" s="1551">
        <v>44150</v>
      </c>
      <c r="OAC37" s="1551">
        <v>44150</v>
      </c>
      <c r="OAD37" s="1551"/>
      <c r="OAE37" s="1551">
        <v>44150</v>
      </c>
      <c r="OAF37" s="1551"/>
      <c r="OAG37" s="1551">
        <v>44150</v>
      </c>
      <c r="OAH37" s="1551"/>
      <c r="OAI37" s="1551">
        <v>44150</v>
      </c>
      <c r="OAJ37" s="1551">
        <v>44150</v>
      </c>
      <c r="OAK37" s="1551"/>
      <c r="OAL37" s="1551">
        <v>44150</v>
      </c>
      <c r="OAM37" s="1551"/>
      <c r="OAN37" s="1551">
        <v>44150</v>
      </c>
      <c r="OAO37" s="1551"/>
      <c r="OAP37" s="1551">
        <v>44150</v>
      </c>
      <c r="OAQ37" s="1551">
        <v>44150</v>
      </c>
      <c r="OAR37" s="1551"/>
      <c r="OAS37" s="1551">
        <v>44150</v>
      </c>
      <c r="OAT37" s="1551"/>
      <c r="OAU37" s="1551">
        <v>44150</v>
      </c>
      <c r="OAV37" s="1551"/>
      <c r="OAW37" s="1551">
        <v>44150</v>
      </c>
      <c r="OAX37" s="1551">
        <v>44150</v>
      </c>
      <c r="OAY37" s="1551"/>
      <c r="OAZ37" s="1551">
        <v>44150</v>
      </c>
      <c r="OBA37" s="1551"/>
      <c r="OBB37" s="1551">
        <v>44150</v>
      </c>
      <c r="OBC37" s="1551"/>
      <c r="OBD37" s="1551">
        <v>44150</v>
      </c>
      <c r="OBE37" s="1551">
        <v>44150</v>
      </c>
      <c r="OBF37" s="1551"/>
      <c r="OBG37" s="1551">
        <v>44150</v>
      </c>
      <c r="OBH37" s="1551"/>
      <c r="OBI37" s="1551">
        <v>44150</v>
      </c>
      <c r="OBJ37" s="1551"/>
      <c r="OBK37" s="1551">
        <v>44150</v>
      </c>
      <c r="OBL37" s="1551">
        <v>44150</v>
      </c>
      <c r="OBM37" s="1551"/>
      <c r="OBN37" s="1551">
        <v>44150</v>
      </c>
      <c r="OBO37" s="1551"/>
      <c r="OBP37" s="1551">
        <v>44150</v>
      </c>
      <c r="OBQ37" s="1551"/>
      <c r="OBR37" s="1551">
        <v>44150</v>
      </c>
      <c r="OBS37" s="1551">
        <v>44150</v>
      </c>
      <c r="OBT37" s="1551"/>
      <c r="OBU37" s="1551">
        <v>44150</v>
      </c>
      <c r="OBV37" s="1551"/>
      <c r="OBW37" s="1551">
        <v>44150</v>
      </c>
      <c r="OBX37" s="1551"/>
      <c r="OBY37" s="1551">
        <v>44150</v>
      </c>
      <c r="OBZ37" s="1551">
        <v>44150</v>
      </c>
      <c r="OCA37" s="1551"/>
      <c r="OCB37" s="1551">
        <v>44150</v>
      </c>
      <c r="OCC37" s="1551"/>
      <c r="OCD37" s="1551">
        <v>44150</v>
      </c>
      <c r="OCE37" s="1551"/>
      <c r="OCF37" s="1551">
        <v>44150</v>
      </c>
      <c r="OCG37" s="1551">
        <v>44150</v>
      </c>
      <c r="OCH37" s="1551"/>
      <c r="OCI37" s="1551">
        <v>44150</v>
      </c>
      <c r="OCJ37" s="1551"/>
      <c r="OCK37" s="1551">
        <v>44150</v>
      </c>
      <c r="OCL37" s="1551"/>
      <c r="OCM37" s="1551">
        <v>44150</v>
      </c>
      <c r="OCN37" s="1551">
        <v>44150</v>
      </c>
      <c r="OCO37" s="1551"/>
      <c r="OCP37" s="1551">
        <v>44150</v>
      </c>
      <c r="OCQ37" s="1551"/>
      <c r="OCR37" s="1551">
        <v>44150</v>
      </c>
      <c r="OCS37" s="1551"/>
      <c r="OCT37" s="1551">
        <v>44150</v>
      </c>
      <c r="OCU37" s="1551">
        <v>44150</v>
      </c>
      <c r="OCV37" s="1551"/>
      <c r="OCW37" s="1551">
        <v>44150</v>
      </c>
      <c r="OCX37" s="1551"/>
      <c r="OCY37" s="1551">
        <v>44150</v>
      </c>
      <c r="OCZ37" s="1551"/>
      <c r="ODA37" s="1551">
        <v>44150</v>
      </c>
      <c r="ODB37" s="1551">
        <v>44150</v>
      </c>
      <c r="ODC37" s="1551"/>
      <c r="ODD37" s="1551">
        <v>44150</v>
      </c>
      <c r="ODE37" s="1551"/>
      <c r="ODF37" s="1551">
        <v>44150</v>
      </c>
      <c r="ODG37" s="1551"/>
      <c r="ODH37" s="1551">
        <v>44150</v>
      </c>
      <c r="ODI37" s="1551">
        <v>44150</v>
      </c>
      <c r="ODJ37" s="1551"/>
      <c r="ODK37" s="1551">
        <v>44150</v>
      </c>
      <c r="ODL37" s="1551"/>
      <c r="ODM37" s="1551">
        <v>44150</v>
      </c>
      <c r="ODN37" s="1551"/>
      <c r="ODO37" s="1551">
        <v>44150</v>
      </c>
      <c r="ODP37" s="1551">
        <v>44150</v>
      </c>
      <c r="ODQ37" s="1551"/>
      <c r="ODR37" s="1551">
        <v>44150</v>
      </c>
      <c r="ODS37" s="1551"/>
      <c r="ODT37" s="1551">
        <v>44150</v>
      </c>
      <c r="ODU37" s="1551"/>
      <c r="ODV37" s="1551">
        <v>44150</v>
      </c>
      <c r="ODW37" s="1551">
        <v>44150</v>
      </c>
      <c r="ODX37" s="1551"/>
      <c r="ODY37" s="1551">
        <v>44150</v>
      </c>
      <c r="ODZ37" s="1551"/>
      <c r="OEA37" s="1551">
        <v>44150</v>
      </c>
      <c r="OEB37" s="1551"/>
      <c r="OEC37" s="1551">
        <v>44150</v>
      </c>
      <c r="OED37" s="1551">
        <v>44150</v>
      </c>
      <c r="OEE37" s="1551"/>
      <c r="OEF37" s="1551">
        <v>44150</v>
      </c>
      <c r="OEG37" s="1551"/>
      <c r="OEH37" s="1551">
        <v>44150</v>
      </c>
      <c r="OEI37" s="1551"/>
      <c r="OEJ37" s="1551">
        <v>44150</v>
      </c>
      <c r="OEK37" s="1551">
        <v>44150</v>
      </c>
      <c r="OEL37" s="1551"/>
      <c r="OEM37" s="1551">
        <v>44150</v>
      </c>
      <c r="OEN37" s="1551"/>
      <c r="OEO37" s="1551">
        <v>44150</v>
      </c>
      <c r="OEP37" s="1551"/>
      <c r="OEQ37" s="1551">
        <v>44150</v>
      </c>
      <c r="OER37" s="1551">
        <v>44150</v>
      </c>
      <c r="OES37" s="1551"/>
      <c r="OET37" s="1551">
        <v>44150</v>
      </c>
      <c r="OEU37" s="1551"/>
      <c r="OEV37" s="1551">
        <v>44150</v>
      </c>
      <c r="OEW37" s="1551"/>
      <c r="OEX37" s="1551">
        <v>44150</v>
      </c>
      <c r="OEY37" s="1551">
        <v>44150</v>
      </c>
      <c r="OEZ37" s="1551"/>
      <c r="OFA37" s="1551">
        <v>44150</v>
      </c>
      <c r="OFB37" s="1551"/>
      <c r="OFC37" s="1551">
        <v>44150</v>
      </c>
      <c r="OFD37" s="1551"/>
      <c r="OFE37" s="1551">
        <v>44150</v>
      </c>
      <c r="OFF37" s="1551">
        <v>44150</v>
      </c>
      <c r="OFG37" s="1551"/>
      <c r="OFH37" s="1551">
        <v>44150</v>
      </c>
      <c r="OFI37" s="1551"/>
      <c r="OFJ37" s="1551">
        <v>44150</v>
      </c>
      <c r="OFK37" s="1551"/>
      <c r="OFL37" s="1551">
        <v>44150</v>
      </c>
      <c r="OFM37" s="1551">
        <v>44150</v>
      </c>
      <c r="OFN37" s="1551"/>
      <c r="OFO37" s="1551">
        <v>44150</v>
      </c>
      <c r="OFP37" s="1551"/>
      <c r="OFQ37" s="1551">
        <v>44150</v>
      </c>
      <c r="OFR37" s="1551"/>
      <c r="OFS37" s="1551">
        <v>44150</v>
      </c>
      <c r="OFT37" s="1551">
        <v>44150</v>
      </c>
      <c r="OFU37" s="1551"/>
      <c r="OFV37" s="1551">
        <v>44150</v>
      </c>
      <c r="OFW37" s="1551"/>
      <c r="OFX37" s="1551">
        <v>44150</v>
      </c>
      <c r="OFY37" s="1551"/>
      <c r="OFZ37" s="1551">
        <v>44150</v>
      </c>
      <c r="OGA37" s="1551">
        <v>44150</v>
      </c>
      <c r="OGB37" s="1551"/>
      <c r="OGC37" s="1551">
        <v>44150</v>
      </c>
      <c r="OGD37" s="1551"/>
      <c r="OGE37" s="1551">
        <v>44150</v>
      </c>
      <c r="OGF37" s="1551"/>
      <c r="OGG37" s="1551">
        <v>44150</v>
      </c>
      <c r="OGH37" s="1551">
        <v>44150</v>
      </c>
      <c r="OGI37" s="1551"/>
      <c r="OGJ37" s="1551">
        <v>44150</v>
      </c>
      <c r="OGK37" s="1551"/>
      <c r="OGL37" s="1551">
        <v>44150</v>
      </c>
      <c r="OGM37" s="1551"/>
      <c r="OGN37" s="1551">
        <v>44150</v>
      </c>
      <c r="OGO37" s="1551">
        <v>44150</v>
      </c>
      <c r="OGP37" s="1551"/>
      <c r="OGQ37" s="1551">
        <v>44150</v>
      </c>
      <c r="OGR37" s="1551"/>
      <c r="OGS37" s="1551">
        <v>44150</v>
      </c>
      <c r="OGT37" s="1551"/>
      <c r="OGU37" s="1551">
        <v>44150</v>
      </c>
      <c r="OGV37" s="1551">
        <v>44150</v>
      </c>
      <c r="OGW37" s="1551"/>
      <c r="OGX37" s="1551">
        <v>44150</v>
      </c>
      <c r="OGY37" s="1551"/>
      <c r="OGZ37" s="1551">
        <v>44150</v>
      </c>
      <c r="OHA37" s="1551"/>
      <c r="OHB37" s="1551">
        <v>44150</v>
      </c>
      <c r="OHC37" s="1551">
        <v>44150</v>
      </c>
      <c r="OHD37" s="1551"/>
      <c r="OHE37" s="1551">
        <v>44150</v>
      </c>
      <c r="OHF37" s="1551"/>
      <c r="OHG37" s="1551">
        <v>44150</v>
      </c>
      <c r="OHH37" s="1551"/>
      <c r="OHI37" s="1551">
        <v>44150</v>
      </c>
      <c r="OHJ37" s="1551">
        <v>44150</v>
      </c>
      <c r="OHK37" s="1551"/>
      <c r="OHL37" s="1551">
        <v>44150</v>
      </c>
      <c r="OHM37" s="1551"/>
      <c r="OHN37" s="1551">
        <v>44150</v>
      </c>
      <c r="OHO37" s="1551"/>
      <c r="OHP37" s="1551">
        <v>44150</v>
      </c>
      <c r="OHQ37" s="1551">
        <v>44150</v>
      </c>
      <c r="OHR37" s="1551"/>
      <c r="OHS37" s="1551">
        <v>44150</v>
      </c>
      <c r="OHT37" s="1551"/>
      <c r="OHU37" s="1551">
        <v>44150</v>
      </c>
      <c r="OHV37" s="1551"/>
      <c r="OHW37" s="1551">
        <v>44150</v>
      </c>
      <c r="OHX37" s="1551">
        <v>44150</v>
      </c>
      <c r="OHY37" s="1551"/>
      <c r="OHZ37" s="1551">
        <v>44150</v>
      </c>
      <c r="OIA37" s="1551"/>
      <c r="OIB37" s="1551">
        <v>44150</v>
      </c>
      <c r="OIC37" s="1551"/>
      <c r="OID37" s="1551">
        <v>44150</v>
      </c>
      <c r="OIE37" s="1551">
        <v>44150</v>
      </c>
      <c r="OIF37" s="1551"/>
      <c r="OIG37" s="1551">
        <v>44150</v>
      </c>
      <c r="OIH37" s="1551"/>
      <c r="OII37" s="1551">
        <v>44150</v>
      </c>
      <c r="OIJ37" s="1551"/>
      <c r="OIK37" s="1551">
        <v>44150</v>
      </c>
      <c r="OIL37" s="1551">
        <v>44150</v>
      </c>
      <c r="OIM37" s="1551"/>
      <c r="OIN37" s="1551">
        <v>44150</v>
      </c>
      <c r="OIO37" s="1551"/>
      <c r="OIP37" s="1551">
        <v>44150</v>
      </c>
      <c r="OIQ37" s="1551"/>
      <c r="OIR37" s="1551">
        <v>44150</v>
      </c>
      <c r="OIS37" s="1551">
        <v>44150</v>
      </c>
      <c r="OIT37" s="1551"/>
      <c r="OIU37" s="1551">
        <v>44150</v>
      </c>
      <c r="OIV37" s="1551"/>
      <c r="OIW37" s="1551">
        <v>44150</v>
      </c>
      <c r="OIX37" s="1551"/>
      <c r="OIY37" s="1551">
        <v>44150</v>
      </c>
      <c r="OIZ37" s="1551">
        <v>44150</v>
      </c>
      <c r="OJA37" s="1551"/>
      <c r="OJB37" s="1551">
        <v>44150</v>
      </c>
      <c r="OJC37" s="1551"/>
      <c r="OJD37" s="1551">
        <v>44150</v>
      </c>
      <c r="OJE37" s="1551"/>
      <c r="OJF37" s="1551">
        <v>44150</v>
      </c>
      <c r="OJG37" s="1551">
        <v>44150</v>
      </c>
      <c r="OJH37" s="1551"/>
      <c r="OJI37" s="1551">
        <v>44150</v>
      </c>
      <c r="OJJ37" s="1551"/>
      <c r="OJK37" s="1551">
        <v>44150</v>
      </c>
      <c r="OJL37" s="1551"/>
      <c r="OJM37" s="1551">
        <v>44150</v>
      </c>
      <c r="OJN37" s="1551">
        <v>44150</v>
      </c>
      <c r="OJO37" s="1551"/>
      <c r="OJP37" s="1551">
        <v>44150</v>
      </c>
      <c r="OJQ37" s="1551"/>
      <c r="OJR37" s="1551">
        <v>44150</v>
      </c>
      <c r="OJS37" s="1551"/>
      <c r="OJT37" s="1551">
        <v>44150</v>
      </c>
      <c r="OJU37" s="1551">
        <v>44150</v>
      </c>
      <c r="OJV37" s="1551"/>
      <c r="OJW37" s="1551">
        <v>44150</v>
      </c>
      <c r="OJX37" s="1551"/>
      <c r="OJY37" s="1551">
        <v>44150</v>
      </c>
      <c r="OJZ37" s="1551"/>
      <c r="OKA37" s="1551">
        <v>44150</v>
      </c>
      <c r="OKB37" s="1551">
        <v>44150</v>
      </c>
      <c r="OKC37" s="1551"/>
      <c r="OKD37" s="1551">
        <v>44150</v>
      </c>
      <c r="OKE37" s="1551"/>
      <c r="OKF37" s="1551">
        <v>44150</v>
      </c>
      <c r="OKG37" s="1551"/>
      <c r="OKH37" s="1551">
        <v>44150</v>
      </c>
      <c r="OKI37" s="1551">
        <v>44150</v>
      </c>
      <c r="OKJ37" s="1551"/>
      <c r="OKK37" s="1551">
        <v>44150</v>
      </c>
      <c r="OKL37" s="1551"/>
      <c r="OKM37" s="1551">
        <v>44150</v>
      </c>
      <c r="OKN37" s="1551"/>
      <c r="OKO37" s="1551">
        <v>44150</v>
      </c>
      <c r="OKP37" s="1551">
        <v>44150</v>
      </c>
      <c r="OKQ37" s="1551"/>
      <c r="OKR37" s="1551">
        <v>44150</v>
      </c>
      <c r="OKS37" s="1551"/>
      <c r="OKT37" s="1551">
        <v>44150</v>
      </c>
      <c r="OKU37" s="1551"/>
      <c r="OKV37" s="1551">
        <v>44150</v>
      </c>
      <c r="OKW37" s="1551">
        <v>44150</v>
      </c>
      <c r="OKX37" s="1551"/>
      <c r="OKY37" s="1551">
        <v>44150</v>
      </c>
      <c r="OKZ37" s="1551"/>
      <c r="OLA37" s="1551">
        <v>44150</v>
      </c>
      <c r="OLB37" s="1551"/>
      <c r="OLC37" s="1551">
        <v>44150</v>
      </c>
      <c r="OLD37" s="1551">
        <v>44150</v>
      </c>
      <c r="OLE37" s="1551"/>
      <c r="OLF37" s="1551">
        <v>44150</v>
      </c>
      <c r="OLG37" s="1551"/>
      <c r="OLH37" s="1551">
        <v>44150</v>
      </c>
      <c r="OLI37" s="1551"/>
      <c r="OLJ37" s="1551">
        <v>44150</v>
      </c>
      <c r="OLK37" s="1551">
        <v>44150</v>
      </c>
      <c r="OLL37" s="1551"/>
      <c r="OLM37" s="1551">
        <v>44150</v>
      </c>
      <c r="OLN37" s="1551"/>
      <c r="OLO37" s="1551">
        <v>44150</v>
      </c>
      <c r="OLP37" s="1551"/>
      <c r="OLQ37" s="1551">
        <v>44150</v>
      </c>
      <c r="OLR37" s="1551">
        <v>44150</v>
      </c>
      <c r="OLS37" s="1551"/>
      <c r="OLT37" s="1551">
        <v>44150</v>
      </c>
      <c r="OLU37" s="1551"/>
      <c r="OLV37" s="1551">
        <v>44150</v>
      </c>
      <c r="OLW37" s="1551"/>
      <c r="OLX37" s="1551">
        <v>44150</v>
      </c>
      <c r="OLY37" s="1551">
        <v>44150</v>
      </c>
      <c r="OLZ37" s="1551"/>
      <c r="OMA37" s="1551">
        <v>44150</v>
      </c>
      <c r="OMB37" s="1551"/>
      <c r="OMC37" s="1551">
        <v>44150</v>
      </c>
      <c r="OMD37" s="1551"/>
      <c r="OME37" s="1551">
        <v>44150</v>
      </c>
      <c r="OMF37" s="1551">
        <v>44150</v>
      </c>
      <c r="OMG37" s="1551"/>
      <c r="OMH37" s="1551">
        <v>44150</v>
      </c>
      <c r="OMI37" s="1551"/>
      <c r="OMJ37" s="1551">
        <v>44150</v>
      </c>
      <c r="OMK37" s="1551"/>
      <c r="OML37" s="1551">
        <v>44150</v>
      </c>
      <c r="OMM37" s="1551">
        <v>44150</v>
      </c>
      <c r="OMN37" s="1551"/>
      <c r="OMO37" s="1551">
        <v>44150</v>
      </c>
      <c r="OMP37" s="1551"/>
      <c r="OMQ37" s="1551">
        <v>44150</v>
      </c>
      <c r="OMR37" s="1551"/>
      <c r="OMS37" s="1551">
        <v>44150</v>
      </c>
      <c r="OMT37" s="1551">
        <v>44150</v>
      </c>
      <c r="OMU37" s="1551"/>
      <c r="OMV37" s="1551">
        <v>44150</v>
      </c>
      <c r="OMW37" s="1551"/>
      <c r="OMX37" s="1551">
        <v>44150</v>
      </c>
      <c r="OMY37" s="1551"/>
      <c r="OMZ37" s="1551">
        <v>44150</v>
      </c>
      <c r="ONA37" s="1551">
        <v>44150</v>
      </c>
      <c r="ONB37" s="1551"/>
      <c r="ONC37" s="1551">
        <v>44150</v>
      </c>
      <c r="OND37" s="1551"/>
      <c r="ONE37" s="1551">
        <v>44150</v>
      </c>
      <c r="ONF37" s="1551"/>
      <c r="ONG37" s="1551">
        <v>44150</v>
      </c>
      <c r="ONH37" s="1551">
        <v>44150</v>
      </c>
      <c r="ONI37" s="1551"/>
      <c r="ONJ37" s="1551">
        <v>44150</v>
      </c>
      <c r="ONK37" s="1551"/>
      <c r="ONL37" s="1551">
        <v>44150</v>
      </c>
      <c r="ONM37" s="1551"/>
      <c r="ONN37" s="1551">
        <v>44150</v>
      </c>
      <c r="ONO37" s="1551">
        <v>44150</v>
      </c>
      <c r="ONP37" s="1551"/>
      <c r="ONQ37" s="1551">
        <v>44150</v>
      </c>
      <c r="ONR37" s="1551"/>
      <c r="ONS37" s="1551">
        <v>44150</v>
      </c>
      <c r="ONT37" s="1551"/>
      <c r="ONU37" s="1551">
        <v>44150</v>
      </c>
      <c r="ONV37" s="1551">
        <v>44150</v>
      </c>
      <c r="ONW37" s="1551"/>
      <c r="ONX37" s="1551">
        <v>44150</v>
      </c>
      <c r="ONY37" s="1551"/>
      <c r="ONZ37" s="1551">
        <v>44150</v>
      </c>
      <c r="OOA37" s="1551"/>
      <c r="OOB37" s="1551">
        <v>44150</v>
      </c>
      <c r="OOC37" s="1551">
        <v>44150</v>
      </c>
      <c r="OOD37" s="1551"/>
      <c r="OOE37" s="1551">
        <v>44150</v>
      </c>
      <c r="OOF37" s="1551"/>
      <c r="OOG37" s="1551">
        <v>44150</v>
      </c>
      <c r="OOH37" s="1551"/>
      <c r="OOI37" s="1551">
        <v>44150</v>
      </c>
      <c r="OOJ37" s="1551">
        <v>44150</v>
      </c>
      <c r="OOK37" s="1551"/>
      <c r="OOL37" s="1551">
        <v>44150</v>
      </c>
      <c r="OOM37" s="1551"/>
      <c r="OON37" s="1551">
        <v>44150</v>
      </c>
      <c r="OOO37" s="1551"/>
      <c r="OOP37" s="1551">
        <v>44150</v>
      </c>
      <c r="OOQ37" s="1551">
        <v>44150</v>
      </c>
      <c r="OOR37" s="1551"/>
      <c r="OOS37" s="1551">
        <v>44150</v>
      </c>
      <c r="OOT37" s="1551"/>
      <c r="OOU37" s="1551">
        <v>44150</v>
      </c>
      <c r="OOV37" s="1551"/>
      <c r="OOW37" s="1551">
        <v>44150</v>
      </c>
      <c r="OOX37" s="1551">
        <v>44150</v>
      </c>
      <c r="OOY37" s="1551"/>
      <c r="OOZ37" s="1551">
        <v>44150</v>
      </c>
      <c r="OPA37" s="1551"/>
      <c r="OPB37" s="1551">
        <v>44150</v>
      </c>
      <c r="OPC37" s="1551"/>
      <c r="OPD37" s="1551">
        <v>44150</v>
      </c>
      <c r="OPE37" s="1551">
        <v>44150</v>
      </c>
      <c r="OPF37" s="1551"/>
      <c r="OPG37" s="1551">
        <v>44150</v>
      </c>
      <c r="OPH37" s="1551"/>
      <c r="OPI37" s="1551">
        <v>44150</v>
      </c>
      <c r="OPJ37" s="1551"/>
      <c r="OPK37" s="1551">
        <v>44150</v>
      </c>
      <c r="OPL37" s="1551">
        <v>44150</v>
      </c>
      <c r="OPM37" s="1551"/>
      <c r="OPN37" s="1551">
        <v>44150</v>
      </c>
      <c r="OPO37" s="1551"/>
      <c r="OPP37" s="1551">
        <v>44150</v>
      </c>
      <c r="OPQ37" s="1551"/>
      <c r="OPR37" s="1551">
        <v>44150</v>
      </c>
      <c r="OPS37" s="1551">
        <v>44150</v>
      </c>
      <c r="OPT37" s="1551"/>
      <c r="OPU37" s="1551">
        <v>44150</v>
      </c>
      <c r="OPV37" s="1551"/>
      <c r="OPW37" s="1551">
        <v>44150</v>
      </c>
      <c r="OPX37" s="1551"/>
      <c r="OPY37" s="1551">
        <v>44150</v>
      </c>
      <c r="OPZ37" s="1551">
        <v>44150</v>
      </c>
      <c r="OQA37" s="1551"/>
      <c r="OQB37" s="1551">
        <v>44150</v>
      </c>
      <c r="OQC37" s="1551"/>
      <c r="OQD37" s="1551">
        <v>44150</v>
      </c>
      <c r="OQE37" s="1551"/>
      <c r="OQF37" s="1551">
        <v>44150</v>
      </c>
      <c r="OQG37" s="1551">
        <v>44150</v>
      </c>
      <c r="OQH37" s="1551"/>
      <c r="OQI37" s="1551">
        <v>44150</v>
      </c>
      <c r="OQJ37" s="1551"/>
      <c r="OQK37" s="1551">
        <v>44150</v>
      </c>
      <c r="OQL37" s="1551"/>
      <c r="OQM37" s="1551">
        <v>44150</v>
      </c>
      <c r="OQN37" s="1551">
        <v>44150</v>
      </c>
      <c r="OQO37" s="1551"/>
      <c r="OQP37" s="1551">
        <v>44150</v>
      </c>
      <c r="OQQ37" s="1551"/>
      <c r="OQR37" s="1551">
        <v>44150</v>
      </c>
      <c r="OQS37" s="1551"/>
      <c r="OQT37" s="1551">
        <v>44150</v>
      </c>
      <c r="OQU37" s="1551">
        <v>44150</v>
      </c>
      <c r="OQV37" s="1551"/>
      <c r="OQW37" s="1551">
        <v>44150</v>
      </c>
      <c r="OQX37" s="1551"/>
      <c r="OQY37" s="1551">
        <v>44150</v>
      </c>
      <c r="OQZ37" s="1551"/>
      <c r="ORA37" s="1551">
        <v>44150</v>
      </c>
      <c r="ORB37" s="1551">
        <v>44150</v>
      </c>
      <c r="ORC37" s="1551"/>
      <c r="ORD37" s="1551">
        <v>44150</v>
      </c>
      <c r="ORE37" s="1551"/>
      <c r="ORF37" s="1551">
        <v>44150</v>
      </c>
      <c r="ORG37" s="1551"/>
      <c r="ORH37" s="1551">
        <v>44150</v>
      </c>
      <c r="ORI37" s="1551">
        <v>44150</v>
      </c>
      <c r="ORJ37" s="1551"/>
      <c r="ORK37" s="1551">
        <v>44150</v>
      </c>
      <c r="ORL37" s="1551"/>
      <c r="ORM37" s="1551">
        <v>44150</v>
      </c>
      <c r="ORN37" s="1551"/>
      <c r="ORO37" s="1551">
        <v>44150</v>
      </c>
      <c r="ORP37" s="1551">
        <v>44150</v>
      </c>
      <c r="ORQ37" s="1551"/>
      <c r="ORR37" s="1551">
        <v>44150</v>
      </c>
      <c r="ORS37" s="1551"/>
      <c r="ORT37" s="1551">
        <v>44150</v>
      </c>
      <c r="ORU37" s="1551"/>
      <c r="ORV37" s="1551">
        <v>44150</v>
      </c>
      <c r="ORW37" s="1551">
        <v>44150</v>
      </c>
      <c r="ORX37" s="1551"/>
      <c r="ORY37" s="1551">
        <v>44150</v>
      </c>
      <c r="ORZ37" s="1551"/>
      <c r="OSA37" s="1551">
        <v>44150</v>
      </c>
      <c r="OSB37" s="1551"/>
      <c r="OSC37" s="1551">
        <v>44150</v>
      </c>
      <c r="OSD37" s="1551">
        <v>44150</v>
      </c>
      <c r="OSE37" s="1551"/>
      <c r="OSF37" s="1551">
        <v>44150</v>
      </c>
      <c r="OSG37" s="1551"/>
      <c r="OSH37" s="1551">
        <v>44150</v>
      </c>
      <c r="OSI37" s="1551"/>
      <c r="OSJ37" s="1551">
        <v>44150</v>
      </c>
      <c r="OSK37" s="1551">
        <v>44150</v>
      </c>
      <c r="OSL37" s="1551"/>
      <c r="OSM37" s="1551">
        <v>44150</v>
      </c>
      <c r="OSN37" s="1551"/>
      <c r="OSO37" s="1551">
        <v>44150</v>
      </c>
      <c r="OSP37" s="1551"/>
      <c r="OSQ37" s="1551">
        <v>44150</v>
      </c>
      <c r="OSR37" s="1551">
        <v>44150</v>
      </c>
      <c r="OSS37" s="1551"/>
      <c r="OST37" s="1551">
        <v>44150</v>
      </c>
      <c r="OSU37" s="1551"/>
      <c r="OSV37" s="1551">
        <v>44150</v>
      </c>
      <c r="OSW37" s="1551"/>
      <c r="OSX37" s="1551">
        <v>44150</v>
      </c>
      <c r="OSY37" s="1551">
        <v>44150</v>
      </c>
      <c r="OSZ37" s="1551"/>
      <c r="OTA37" s="1551">
        <v>44150</v>
      </c>
      <c r="OTB37" s="1551"/>
      <c r="OTC37" s="1551">
        <v>44150</v>
      </c>
      <c r="OTD37" s="1551"/>
      <c r="OTE37" s="1551">
        <v>44150</v>
      </c>
      <c r="OTF37" s="1551">
        <v>44150</v>
      </c>
      <c r="OTG37" s="1551"/>
      <c r="OTH37" s="1551">
        <v>44150</v>
      </c>
      <c r="OTI37" s="1551"/>
      <c r="OTJ37" s="1551">
        <v>44150</v>
      </c>
      <c r="OTK37" s="1551"/>
      <c r="OTL37" s="1551">
        <v>44150</v>
      </c>
      <c r="OTM37" s="1551">
        <v>44150</v>
      </c>
      <c r="OTN37" s="1551"/>
      <c r="OTO37" s="1551">
        <v>44150</v>
      </c>
      <c r="OTP37" s="1551"/>
      <c r="OTQ37" s="1551">
        <v>44150</v>
      </c>
      <c r="OTR37" s="1551"/>
      <c r="OTS37" s="1551">
        <v>44150</v>
      </c>
      <c r="OTT37" s="1551">
        <v>44150</v>
      </c>
      <c r="OTU37" s="1551"/>
      <c r="OTV37" s="1551">
        <v>44150</v>
      </c>
      <c r="OTW37" s="1551"/>
      <c r="OTX37" s="1551">
        <v>44150</v>
      </c>
      <c r="OTY37" s="1551"/>
      <c r="OTZ37" s="1551">
        <v>44150</v>
      </c>
      <c r="OUA37" s="1551">
        <v>44150</v>
      </c>
      <c r="OUB37" s="1551"/>
      <c r="OUC37" s="1551">
        <v>44150</v>
      </c>
      <c r="OUD37" s="1551"/>
      <c r="OUE37" s="1551">
        <v>44150</v>
      </c>
      <c r="OUF37" s="1551"/>
      <c r="OUG37" s="1551">
        <v>44150</v>
      </c>
      <c r="OUH37" s="1551">
        <v>44150</v>
      </c>
      <c r="OUI37" s="1551"/>
      <c r="OUJ37" s="1551">
        <v>44150</v>
      </c>
      <c r="OUK37" s="1551"/>
      <c r="OUL37" s="1551">
        <v>44150</v>
      </c>
      <c r="OUM37" s="1551"/>
      <c r="OUN37" s="1551">
        <v>44150</v>
      </c>
      <c r="OUO37" s="1551">
        <v>44150</v>
      </c>
      <c r="OUP37" s="1551"/>
      <c r="OUQ37" s="1551">
        <v>44150</v>
      </c>
      <c r="OUR37" s="1551"/>
      <c r="OUS37" s="1551">
        <v>44150</v>
      </c>
      <c r="OUT37" s="1551"/>
      <c r="OUU37" s="1551">
        <v>44150</v>
      </c>
      <c r="OUV37" s="1551">
        <v>44150</v>
      </c>
      <c r="OUW37" s="1551"/>
      <c r="OUX37" s="1551">
        <v>44150</v>
      </c>
      <c r="OUY37" s="1551"/>
      <c r="OUZ37" s="1551">
        <v>44150</v>
      </c>
      <c r="OVA37" s="1551"/>
      <c r="OVB37" s="1551">
        <v>44150</v>
      </c>
      <c r="OVC37" s="1551">
        <v>44150</v>
      </c>
      <c r="OVD37" s="1551"/>
      <c r="OVE37" s="1551">
        <v>44150</v>
      </c>
      <c r="OVF37" s="1551"/>
      <c r="OVG37" s="1551">
        <v>44150</v>
      </c>
      <c r="OVH37" s="1551"/>
      <c r="OVI37" s="1551">
        <v>44150</v>
      </c>
      <c r="OVJ37" s="1551">
        <v>44150</v>
      </c>
      <c r="OVK37" s="1551"/>
      <c r="OVL37" s="1551">
        <v>44150</v>
      </c>
      <c r="OVM37" s="1551"/>
      <c r="OVN37" s="1551">
        <v>44150</v>
      </c>
      <c r="OVO37" s="1551"/>
      <c r="OVP37" s="1551">
        <v>44150</v>
      </c>
      <c r="OVQ37" s="1551">
        <v>44150</v>
      </c>
      <c r="OVR37" s="1551"/>
      <c r="OVS37" s="1551">
        <v>44150</v>
      </c>
      <c r="OVT37" s="1551"/>
      <c r="OVU37" s="1551">
        <v>44150</v>
      </c>
      <c r="OVV37" s="1551"/>
      <c r="OVW37" s="1551">
        <v>44150</v>
      </c>
      <c r="OVX37" s="1551">
        <v>44150</v>
      </c>
      <c r="OVY37" s="1551"/>
      <c r="OVZ37" s="1551">
        <v>44150</v>
      </c>
      <c r="OWA37" s="1551"/>
      <c r="OWB37" s="1551">
        <v>44150</v>
      </c>
      <c r="OWC37" s="1551"/>
      <c r="OWD37" s="1551">
        <v>44150</v>
      </c>
      <c r="OWE37" s="1551">
        <v>44150</v>
      </c>
      <c r="OWF37" s="1551"/>
      <c r="OWG37" s="1551">
        <v>44150</v>
      </c>
      <c r="OWH37" s="1551"/>
      <c r="OWI37" s="1551">
        <v>44150</v>
      </c>
      <c r="OWJ37" s="1551"/>
      <c r="OWK37" s="1551">
        <v>44150</v>
      </c>
      <c r="OWL37" s="1551">
        <v>44150</v>
      </c>
      <c r="OWM37" s="1551"/>
      <c r="OWN37" s="1551">
        <v>44150</v>
      </c>
      <c r="OWO37" s="1551"/>
      <c r="OWP37" s="1551">
        <v>44150</v>
      </c>
      <c r="OWQ37" s="1551"/>
      <c r="OWR37" s="1551">
        <v>44150</v>
      </c>
      <c r="OWS37" s="1551">
        <v>44150</v>
      </c>
      <c r="OWT37" s="1551"/>
      <c r="OWU37" s="1551">
        <v>44150</v>
      </c>
      <c r="OWV37" s="1551"/>
      <c r="OWW37" s="1551">
        <v>44150</v>
      </c>
      <c r="OWX37" s="1551"/>
      <c r="OWY37" s="1551">
        <v>44150</v>
      </c>
      <c r="OWZ37" s="1551">
        <v>44150</v>
      </c>
      <c r="OXA37" s="1551"/>
      <c r="OXB37" s="1551">
        <v>44150</v>
      </c>
      <c r="OXC37" s="1551"/>
      <c r="OXD37" s="1551">
        <v>44150</v>
      </c>
      <c r="OXE37" s="1551"/>
      <c r="OXF37" s="1551">
        <v>44150</v>
      </c>
      <c r="OXG37" s="1551">
        <v>44150</v>
      </c>
      <c r="OXH37" s="1551"/>
      <c r="OXI37" s="1551">
        <v>44150</v>
      </c>
      <c r="OXJ37" s="1551"/>
      <c r="OXK37" s="1551">
        <v>44150</v>
      </c>
      <c r="OXL37" s="1551"/>
      <c r="OXM37" s="1551">
        <v>44150</v>
      </c>
      <c r="OXN37" s="1551">
        <v>44150</v>
      </c>
      <c r="OXO37" s="1551"/>
      <c r="OXP37" s="1551">
        <v>44150</v>
      </c>
      <c r="OXQ37" s="1551"/>
      <c r="OXR37" s="1551">
        <v>44150</v>
      </c>
      <c r="OXS37" s="1551"/>
      <c r="OXT37" s="1551">
        <v>44150</v>
      </c>
      <c r="OXU37" s="1551">
        <v>44150</v>
      </c>
      <c r="OXV37" s="1551"/>
      <c r="OXW37" s="1551">
        <v>44150</v>
      </c>
      <c r="OXX37" s="1551"/>
      <c r="OXY37" s="1551">
        <v>44150</v>
      </c>
      <c r="OXZ37" s="1551"/>
      <c r="OYA37" s="1551">
        <v>44150</v>
      </c>
      <c r="OYB37" s="1551">
        <v>44150</v>
      </c>
      <c r="OYC37" s="1551"/>
      <c r="OYD37" s="1551">
        <v>44150</v>
      </c>
      <c r="OYE37" s="1551"/>
      <c r="OYF37" s="1551">
        <v>44150</v>
      </c>
      <c r="OYG37" s="1551"/>
      <c r="OYH37" s="1551">
        <v>44150</v>
      </c>
      <c r="OYI37" s="1551">
        <v>44150</v>
      </c>
      <c r="OYJ37" s="1551"/>
      <c r="OYK37" s="1551">
        <v>44150</v>
      </c>
      <c r="OYL37" s="1551"/>
      <c r="OYM37" s="1551">
        <v>44150</v>
      </c>
      <c r="OYN37" s="1551"/>
      <c r="OYO37" s="1551">
        <v>44150</v>
      </c>
      <c r="OYP37" s="1551">
        <v>44150</v>
      </c>
      <c r="OYQ37" s="1551"/>
      <c r="OYR37" s="1551">
        <v>44150</v>
      </c>
      <c r="OYS37" s="1551"/>
      <c r="OYT37" s="1551">
        <v>44150</v>
      </c>
      <c r="OYU37" s="1551"/>
      <c r="OYV37" s="1551">
        <v>44150</v>
      </c>
      <c r="OYW37" s="1551">
        <v>44150</v>
      </c>
      <c r="OYX37" s="1551"/>
      <c r="OYY37" s="1551">
        <v>44150</v>
      </c>
      <c r="OYZ37" s="1551"/>
      <c r="OZA37" s="1551">
        <v>44150</v>
      </c>
      <c r="OZB37" s="1551"/>
      <c r="OZC37" s="1551">
        <v>44150</v>
      </c>
      <c r="OZD37" s="1551">
        <v>44150</v>
      </c>
      <c r="OZE37" s="1551"/>
      <c r="OZF37" s="1551">
        <v>44150</v>
      </c>
      <c r="OZG37" s="1551"/>
      <c r="OZH37" s="1551">
        <v>44150</v>
      </c>
      <c r="OZI37" s="1551"/>
      <c r="OZJ37" s="1551">
        <v>44150</v>
      </c>
      <c r="OZK37" s="1551">
        <v>44150</v>
      </c>
      <c r="OZL37" s="1551"/>
      <c r="OZM37" s="1551">
        <v>44150</v>
      </c>
      <c r="OZN37" s="1551"/>
      <c r="OZO37" s="1551">
        <v>44150</v>
      </c>
      <c r="OZP37" s="1551"/>
      <c r="OZQ37" s="1551">
        <v>44150</v>
      </c>
      <c r="OZR37" s="1551">
        <v>44150</v>
      </c>
      <c r="OZS37" s="1551"/>
      <c r="OZT37" s="1551">
        <v>44150</v>
      </c>
      <c r="OZU37" s="1551"/>
      <c r="OZV37" s="1551">
        <v>44150</v>
      </c>
      <c r="OZW37" s="1551"/>
      <c r="OZX37" s="1551">
        <v>44150</v>
      </c>
      <c r="OZY37" s="1551">
        <v>44150</v>
      </c>
      <c r="OZZ37" s="1551"/>
      <c r="PAA37" s="1551">
        <v>44150</v>
      </c>
      <c r="PAB37" s="1551"/>
      <c r="PAC37" s="1551">
        <v>44150</v>
      </c>
      <c r="PAD37" s="1551"/>
      <c r="PAE37" s="1551">
        <v>44150</v>
      </c>
      <c r="PAF37" s="1551">
        <v>44150</v>
      </c>
      <c r="PAG37" s="1551"/>
      <c r="PAH37" s="1551">
        <v>44150</v>
      </c>
      <c r="PAI37" s="1551"/>
      <c r="PAJ37" s="1551">
        <v>44150</v>
      </c>
      <c r="PAK37" s="1551"/>
      <c r="PAL37" s="1551">
        <v>44150</v>
      </c>
      <c r="PAM37" s="1551">
        <v>44150</v>
      </c>
      <c r="PAN37" s="1551"/>
      <c r="PAO37" s="1551">
        <v>44150</v>
      </c>
      <c r="PAP37" s="1551"/>
      <c r="PAQ37" s="1551">
        <v>44150</v>
      </c>
      <c r="PAR37" s="1551"/>
      <c r="PAS37" s="1551">
        <v>44150</v>
      </c>
      <c r="PAT37" s="1551">
        <v>44150</v>
      </c>
      <c r="PAU37" s="1551"/>
      <c r="PAV37" s="1551">
        <v>44150</v>
      </c>
      <c r="PAW37" s="1551"/>
      <c r="PAX37" s="1551">
        <v>44150</v>
      </c>
      <c r="PAY37" s="1551"/>
      <c r="PAZ37" s="1551">
        <v>44150</v>
      </c>
      <c r="PBA37" s="1551">
        <v>44150</v>
      </c>
      <c r="PBB37" s="1551"/>
      <c r="PBC37" s="1551">
        <v>44150</v>
      </c>
      <c r="PBD37" s="1551"/>
      <c r="PBE37" s="1551">
        <v>44150</v>
      </c>
      <c r="PBF37" s="1551"/>
      <c r="PBG37" s="1551">
        <v>44150</v>
      </c>
      <c r="PBH37" s="1551">
        <v>44150</v>
      </c>
      <c r="PBI37" s="1551"/>
      <c r="PBJ37" s="1551">
        <v>44150</v>
      </c>
      <c r="PBK37" s="1551"/>
      <c r="PBL37" s="1551">
        <v>44150</v>
      </c>
      <c r="PBM37" s="1551"/>
      <c r="PBN37" s="1551">
        <v>44150</v>
      </c>
      <c r="PBO37" s="1551">
        <v>44150</v>
      </c>
      <c r="PBP37" s="1551"/>
      <c r="PBQ37" s="1551">
        <v>44150</v>
      </c>
      <c r="PBR37" s="1551"/>
      <c r="PBS37" s="1551">
        <v>44150</v>
      </c>
      <c r="PBT37" s="1551"/>
      <c r="PBU37" s="1551">
        <v>44150</v>
      </c>
      <c r="PBV37" s="1551">
        <v>44150</v>
      </c>
      <c r="PBW37" s="1551"/>
      <c r="PBX37" s="1551">
        <v>44150</v>
      </c>
      <c r="PBY37" s="1551"/>
      <c r="PBZ37" s="1551">
        <v>44150</v>
      </c>
      <c r="PCA37" s="1551"/>
      <c r="PCB37" s="1551">
        <v>44150</v>
      </c>
      <c r="PCC37" s="1551">
        <v>44150</v>
      </c>
      <c r="PCD37" s="1551"/>
      <c r="PCE37" s="1551">
        <v>44150</v>
      </c>
      <c r="PCF37" s="1551"/>
      <c r="PCG37" s="1551">
        <v>44150</v>
      </c>
      <c r="PCH37" s="1551"/>
      <c r="PCI37" s="1551">
        <v>44150</v>
      </c>
      <c r="PCJ37" s="1551">
        <v>44150</v>
      </c>
      <c r="PCK37" s="1551"/>
      <c r="PCL37" s="1551">
        <v>44150</v>
      </c>
      <c r="PCM37" s="1551"/>
      <c r="PCN37" s="1551">
        <v>44150</v>
      </c>
      <c r="PCO37" s="1551"/>
      <c r="PCP37" s="1551">
        <v>44150</v>
      </c>
      <c r="PCQ37" s="1551">
        <v>44150</v>
      </c>
      <c r="PCR37" s="1551"/>
      <c r="PCS37" s="1551">
        <v>44150</v>
      </c>
      <c r="PCT37" s="1551"/>
      <c r="PCU37" s="1551">
        <v>44150</v>
      </c>
      <c r="PCV37" s="1551"/>
      <c r="PCW37" s="1551">
        <v>44150</v>
      </c>
      <c r="PCX37" s="1551">
        <v>44150</v>
      </c>
      <c r="PCY37" s="1551"/>
      <c r="PCZ37" s="1551">
        <v>44150</v>
      </c>
      <c r="PDA37" s="1551"/>
      <c r="PDB37" s="1551">
        <v>44150</v>
      </c>
      <c r="PDC37" s="1551"/>
      <c r="PDD37" s="1551">
        <v>44150</v>
      </c>
      <c r="PDE37" s="1551">
        <v>44150</v>
      </c>
      <c r="PDF37" s="1551"/>
      <c r="PDG37" s="1551">
        <v>44150</v>
      </c>
      <c r="PDH37" s="1551"/>
      <c r="PDI37" s="1551">
        <v>44150</v>
      </c>
      <c r="PDJ37" s="1551"/>
      <c r="PDK37" s="1551">
        <v>44150</v>
      </c>
      <c r="PDL37" s="1551">
        <v>44150</v>
      </c>
      <c r="PDM37" s="1551"/>
      <c r="PDN37" s="1551">
        <v>44150</v>
      </c>
      <c r="PDO37" s="1551"/>
      <c r="PDP37" s="1551">
        <v>44150</v>
      </c>
      <c r="PDQ37" s="1551"/>
      <c r="PDR37" s="1551">
        <v>44150</v>
      </c>
      <c r="PDS37" s="1551">
        <v>44150</v>
      </c>
      <c r="PDT37" s="1551"/>
      <c r="PDU37" s="1551">
        <v>44150</v>
      </c>
      <c r="PDV37" s="1551"/>
      <c r="PDW37" s="1551">
        <v>44150</v>
      </c>
      <c r="PDX37" s="1551"/>
      <c r="PDY37" s="1551">
        <v>44150</v>
      </c>
      <c r="PDZ37" s="1551">
        <v>44150</v>
      </c>
      <c r="PEA37" s="1551"/>
      <c r="PEB37" s="1551">
        <v>44150</v>
      </c>
      <c r="PEC37" s="1551"/>
      <c r="PED37" s="1551">
        <v>44150</v>
      </c>
      <c r="PEE37" s="1551"/>
      <c r="PEF37" s="1551">
        <v>44150</v>
      </c>
      <c r="PEG37" s="1551">
        <v>44150</v>
      </c>
      <c r="PEH37" s="1551"/>
      <c r="PEI37" s="1551">
        <v>44150</v>
      </c>
      <c r="PEJ37" s="1551"/>
      <c r="PEK37" s="1551">
        <v>44150</v>
      </c>
      <c r="PEL37" s="1551"/>
      <c r="PEM37" s="1551">
        <v>44150</v>
      </c>
      <c r="PEN37" s="1551">
        <v>44150</v>
      </c>
      <c r="PEO37" s="1551"/>
      <c r="PEP37" s="1551">
        <v>44150</v>
      </c>
      <c r="PEQ37" s="1551"/>
      <c r="PER37" s="1551">
        <v>44150</v>
      </c>
      <c r="PES37" s="1551"/>
      <c r="PET37" s="1551">
        <v>44150</v>
      </c>
      <c r="PEU37" s="1551">
        <v>44150</v>
      </c>
      <c r="PEV37" s="1551"/>
      <c r="PEW37" s="1551">
        <v>44150</v>
      </c>
      <c r="PEX37" s="1551"/>
      <c r="PEY37" s="1551">
        <v>44150</v>
      </c>
      <c r="PEZ37" s="1551"/>
      <c r="PFA37" s="1551">
        <v>44150</v>
      </c>
      <c r="PFB37" s="1551">
        <v>44150</v>
      </c>
      <c r="PFC37" s="1551"/>
      <c r="PFD37" s="1551">
        <v>44150</v>
      </c>
      <c r="PFE37" s="1551"/>
      <c r="PFF37" s="1551">
        <v>44150</v>
      </c>
      <c r="PFG37" s="1551"/>
      <c r="PFH37" s="1551">
        <v>44150</v>
      </c>
      <c r="PFI37" s="1551">
        <v>44150</v>
      </c>
      <c r="PFJ37" s="1551"/>
      <c r="PFK37" s="1551">
        <v>44150</v>
      </c>
      <c r="PFL37" s="1551"/>
      <c r="PFM37" s="1551">
        <v>44150</v>
      </c>
      <c r="PFN37" s="1551"/>
      <c r="PFO37" s="1551">
        <v>44150</v>
      </c>
      <c r="PFP37" s="1551">
        <v>44150</v>
      </c>
      <c r="PFQ37" s="1551"/>
      <c r="PFR37" s="1551">
        <v>44150</v>
      </c>
      <c r="PFS37" s="1551"/>
      <c r="PFT37" s="1551">
        <v>44150</v>
      </c>
      <c r="PFU37" s="1551"/>
      <c r="PFV37" s="1551">
        <v>44150</v>
      </c>
      <c r="PFW37" s="1551">
        <v>44150</v>
      </c>
      <c r="PFX37" s="1551"/>
      <c r="PFY37" s="1551">
        <v>44150</v>
      </c>
      <c r="PFZ37" s="1551"/>
      <c r="PGA37" s="1551">
        <v>44150</v>
      </c>
      <c r="PGB37" s="1551"/>
      <c r="PGC37" s="1551">
        <v>44150</v>
      </c>
      <c r="PGD37" s="1551">
        <v>44150</v>
      </c>
      <c r="PGE37" s="1551"/>
      <c r="PGF37" s="1551">
        <v>44150</v>
      </c>
      <c r="PGG37" s="1551"/>
      <c r="PGH37" s="1551">
        <v>44150</v>
      </c>
      <c r="PGI37" s="1551"/>
      <c r="PGJ37" s="1551">
        <v>44150</v>
      </c>
      <c r="PGK37" s="1551">
        <v>44150</v>
      </c>
      <c r="PGL37" s="1551"/>
      <c r="PGM37" s="1551">
        <v>44150</v>
      </c>
      <c r="PGN37" s="1551"/>
      <c r="PGO37" s="1551">
        <v>44150</v>
      </c>
      <c r="PGP37" s="1551"/>
      <c r="PGQ37" s="1551">
        <v>44150</v>
      </c>
      <c r="PGR37" s="1551">
        <v>44150</v>
      </c>
      <c r="PGS37" s="1551"/>
      <c r="PGT37" s="1551">
        <v>44150</v>
      </c>
      <c r="PGU37" s="1551"/>
      <c r="PGV37" s="1551">
        <v>44150</v>
      </c>
      <c r="PGW37" s="1551"/>
      <c r="PGX37" s="1551">
        <v>44150</v>
      </c>
      <c r="PGY37" s="1551">
        <v>44150</v>
      </c>
      <c r="PGZ37" s="1551"/>
      <c r="PHA37" s="1551">
        <v>44150</v>
      </c>
      <c r="PHB37" s="1551"/>
      <c r="PHC37" s="1551">
        <v>44150</v>
      </c>
      <c r="PHD37" s="1551"/>
      <c r="PHE37" s="1551">
        <v>44150</v>
      </c>
      <c r="PHF37" s="1551">
        <v>44150</v>
      </c>
      <c r="PHG37" s="1551"/>
      <c r="PHH37" s="1551">
        <v>44150</v>
      </c>
      <c r="PHI37" s="1551"/>
      <c r="PHJ37" s="1551">
        <v>44150</v>
      </c>
      <c r="PHK37" s="1551"/>
      <c r="PHL37" s="1551">
        <v>44150</v>
      </c>
      <c r="PHM37" s="1551">
        <v>44150</v>
      </c>
      <c r="PHN37" s="1551"/>
      <c r="PHO37" s="1551">
        <v>44150</v>
      </c>
      <c r="PHP37" s="1551"/>
      <c r="PHQ37" s="1551">
        <v>44150</v>
      </c>
      <c r="PHR37" s="1551"/>
      <c r="PHS37" s="1551">
        <v>44150</v>
      </c>
      <c r="PHT37" s="1551">
        <v>44150</v>
      </c>
      <c r="PHU37" s="1551"/>
      <c r="PHV37" s="1551">
        <v>44150</v>
      </c>
      <c r="PHW37" s="1551"/>
      <c r="PHX37" s="1551">
        <v>44150</v>
      </c>
      <c r="PHY37" s="1551"/>
      <c r="PHZ37" s="1551">
        <v>44150</v>
      </c>
      <c r="PIA37" s="1551">
        <v>44150</v>
      </c>
      <c r="PIB37" s="1551"/>
      <c r="PIC37" s="1551">
        <v>44150</v>
      </c>
      <c r="PID37" s="1551"/>
      <c r="PIE37" s="1551">
        <v>44150</v>
      </c>
      <c r="PIF37" s="1551"/>
      <c r="PIG37" s="1551">
        <v>44150</v>
      </c>
      <c r="PIH37" s="1551">
        <v>44150</v>
      </c>
      <c r="PII37" s="1551"/>
      <c r="PIJ37" s="1551">
        <v>44150</v>
      </c>
      <c r="PIK37" s="1551"/>
      <c r="PIL37" s="1551">
        <v>44150</v>
      </c>
      <c r="PIM37" s="1551"/>
      <c r="PIN37" s="1551">
        <v>44150</v>
      </c>
      <c r="PIO37" s="1551">
        <v>44150</v>
      </c>
      <c r="PIP37" s="1551"/>
      <c r="PIQ37" s="1551">
        <v>44150</v>
      </c>
      <c r="PIR37" s="1551"/>
      <c r="PIS37" s="1551">
        <v>44150</v>
      </c>
      <c r="PIT37" s="1551"/>
      <c r="PIU37" s="1551">
        <v>44150</v>
      </c>
      <c r="PIV37" s="1551">
        <v>44150</v>
      </c>
      <c r="PIW37" s="1551"/>
      <c r="PIX37" s="1551">
        <v>44150</v>
      </c>
      <c r="PIY37" s="1551"/>
      <c r="PIZ37" s="1551">
        <v>44150</v>
      </c>
      <c r="PJA37" s="1551"/>
      <c r="PJB37" s="1551">
        <v>44150</v>
      </c>
      <c r="PJC37" s="1551">
        <v>44150</v>
      </c>
      <c r="PJD37" s="1551"/>
      <c r="PJE37" s="1551">
        <v>44150</v>
      </c>
      <c r="PJF37" s="1551"/>
      <c r="PJG37" s="1551">
        <v>44150</v>
      </c>
      <c r="PJH37" s="1551"/>
      <c r="PJI37" s="1551">
        <v>44150</v>
      </c>
      <c r="PJJ37" s="1551">
        <v>44150</v>
      </c>
      <c r="PJK37" s="1551"/>
      <c r="PJL37" s="1551">
        <v>44150</v>
      </c>
      <c r="PJM37" s="1551"/>
      <c r="PJN37" s="1551">
        <v>44150</v>
      </c>
      <c r="PJO37" s="1551"/>
      <c r="PJP37" s="1551">
        <v>44150</v>
      </c>
      <c r="PJQ37" s="1551">
        <v>44150</v>
      </c>
      <c r="PJR37" s="1551"/>
      <c r="PJS37" s="1551">
        <v>44150</v>
      </c>
      <c r="PJT37" s="1551"/>
      <c r="PJU37" s="1551">
        <v>44150</v>
      </c>
      <c r="PJV37" s="1551"/>
      <c r="PJW37" s="1551">
        <v>44150</v>
      </c>
      <c r="PJX37" s="1551">
        <v>44150</v>
      </c>
      <c r="PJY37" s="1551"/>
      <c r="PJZ37" s="1551">
        <v>44150</v>
      </c>
      <c r="PKA37" s="1551"/>
      <c r="PKB37" s="1551">
        <v>44150</v>
      </c>
      <c r="PKC37" s="1551"/>
      <c r="PKD37" s="1551">
        <v>44150</v>
      </c>
      <c r="PKE37" s="1551">
        <v>44150</v>
      </c>
      <c r="PKF37" s="1551"/>
      <c r="PKG37" s="1551">
        <v>44150</v>
      </c>
      <c r="PKH37" s="1551"/>
      <c r="PKI37" s="1551">
        <v>44150</v>
      </c>
      <c r="PKJ37" s="1551"/>
      <c r="PKK37" s="1551">
        <v>44150</v>
      </c>
      <c r="PKL37" s="1551">
        <v>44150</v>
      </c>
      <c r="PKM37" s="1551"/>
      <c r="PKN37" s="1551">
        <v>44150</v>
      </c>
      <c r="PKO37" s="1551"/>
      <c r="PKP37" s="1551">
        <v>44150</v>
      </c>
      <c r="PKQ37" s="1551"/>
      <c r="PKR37" s="1551">
        <v>44150</v>
      </c>
      <c r="PKS37" s="1551">
        <v>44150</v>
      </c>
      <c r="PKT37" s="1551"/>
      <c r="PKU37" s="1551">
        <v>44150</v>
      </c>
      <c r="PKV37" s="1551"/>
      <c r="PKW37" s="1551">
        <v>44150</v>
      </c>
      <c r="PKX37" s="1551"/>
      <c r="PKY37" s="1551">
        <v>44150</v>
      </c>
      <c r="PKZ37" s="1551">
        <v>44150</v>
      </c>
      <c r="PLA37" s="1551"/>
      <c r="PLB37" s="1551">
        <v>44150</v>
      </c>
      <c r="PLC37" s="1551"/>
      <c r="PLD37" s="1551">
        <v>44150</v>
      </c>
      <c r="PLE37" s="1551"/>
      <c r="PLF37" s="1551">
        <v>44150</v>
      </c>
      <c r="PLG37" s="1551">
        <v>44150</v>
      </c>
      <c r="PLH37" s="1551"/>
      <c r="PLI37" s="1551">
        <v>44150</v>
      </c>
      <c r="PLJ37" s="1551"/>
      <c r="PLK37" s="1551">
        <v>44150</v>
      </c>
      <c r="PLL37" s="1551"/>
      <c r="PLM37" s="1551">
        <v>44150</v>
      </c>
      <c r="PLN37" s="1551">
        <v>44150</v>
      </c>
      <c r="PLO37" s="1551"/>
      <c r="PLP37" s="1551">
        <v>44150</v>
      </c>
      <c r="PLQ37" s="1551"/>
      <c r="PLR37" s="1551">
        <v>44150</v>
      </c>
      <c r="PLS37" s="1551"/>
      <c r="PLT37" s="1551">
        <v>44150</v>
      </c>
      <c r="PLU37" s="1551">
        <v>44150</v>
      </c>
      <c r="PLV37" s="1551"/>
      <c r="PLW37" s="1551">
        <v>44150</v>
      </c>
      <c r="PLX37" s="1551"/>
      <c r="PLY37" s="1551">
        <v>44150</v>
      </c>
      <c r="PLZ37" s="1551"/>
      <c r="PMA37" s="1551">
        <v>44150</v>
      </c>
      <c r="PMB37" s="1551">
        <v>44150</v>
      </c>
      <c r="PMC37" s="1551"/>
      <c r="PMD37" s="1551">
        <v>44150</v>
      </c>
      <c r="PME37" s="1551"/>
      <c r="PMF37" s="1551">
        <v>44150</v>
      </c>
      <c r="PMG37" s="1551"/>
      <c r="PMH37" s="1551">
        <v>44150</v>
      </c>
      <c r="PMI37" s="1551">
        <v>44150</v>
      </c>
      <c r="PMJ37" s="1551"/>
      <c r="PMK37" s="1551">
        <v>44150</v>
      </c>
      <c r="PML37" s="1551"/>
      <c r="PMM37" s="1551">
        <v>44150</v>
      </c>
      <c r="PMN37" s="1551"/>
      <c r="PMO37" s="1551">
        <v>44150</v>
      </c>
      <c r="PMP37" s="1551">
        <v>44150</v>
      </c>
      <c r="PMQ37" s="1551"/>
      <c r="PMR37" s="1551">
        <v>44150</v>
      </c>
      <c r="PMS37" s="1551"/>
      <c r="PMT37" s="1551">
        <v>44150</v>
      </c>
      <c r="PMU37" s="1551"/>
      <c r="PMV37" s="1551">
        <v>44150</v>
      </c>
      <c r="PMW37" s="1551">
        <v>44150</v>
      </c>
      <c r="PMX37" s="1551"/>
      <c r="PMY37" s="1551">
        <v>44150</v>
      </c>
      <c r="PMZ37" s="1551"/>
      <c r="PNA37" s="1551">
        <v>44150</v>
      </c>
      <c r="PNB37" s="1551"/>
      <c r="PNC37" s="1551">
        <v>44150</v>
      </c>
      <c r="PND37" s="1551">
        <v>44150</v>
      </c>
      <c r="PNE37" s="1551"/>
      <c r="PNF37" s="1551">
        <v>44150</v>
      </c>
      <c r="PNG37" s="1551"/>
      <c r="PNH37" s="1551">
        <v>44150</v>
      </c>
      <c r="PNI37" s="1551"/>
      <c r="PNJ37" s="1551">
        <v>44150</v>
      </c>
      <c r="PNK37" s="1551">
        <v>44150</v>
      </c>
      <c r="PNL37" s="1551"/>
      <c r="PNM37" s="1551">
        <v>44150</v>
      </c>
      <c r="PNN37" s="1551"/>
      <c r="PNO37" s="1551">
        <v>44150</v>
      </c>
      <c r="PNP37" s="1551"/>
      <c r="PNQ37" s="1551">
        <v>44150</v>
      </c>
      <c r="PNR37" s="1551">
        <v>44150</v>
      </c>
      <c r="PNS37" s="1551"/>
      <c r="PNT37" s="1551">
        <v>44150</v>
      </c>
      <c r="PNU37" s="1551"/>
      <c r="PNV37" s="1551">
        <v>44150</v>
      </c>
      <c r="PNW37" s="1551"/>
      <c r="PNX37" s="1551">
        <v>44150</v>
      </c>
      <c r="PNY37" s="1551">
        <v>44150</v>
      </c>
      <c r="PNZ37" s="1551"/>
      <c r="POA37" s="1551">
        <v>44150</v>
      </c>
      <c r="POB37" s="1551"/>
      <c r="POC37" s="1551">
        <v>44150</v>
      </c>
      <c r="POD37" s="1551"/>
      <c r="POE37" s="1551">
        <v>44150</v>
      </c>
      <c r="POF37" s="1551">
        <v>44150</v>
      </c>
      <c r="POG37" s="1551"/>
      <c r="POH37" s="1551">
        <v>44150</v>
      </c>
      <c r="POI37" s="1551"/>
      <c r="POJ37" s="1551">
        <v>44150</v>
      </c>
      <c r="POK37" s="1551"/>
      <c r="POL37" s="1551">
        <v>44150</v>
      </c>
      <c r="POM37" s="1551">
        <v>44150</v>
      </c>
      <c r="PON37" s="1551"/>
      <c r="POO37" s="1551">
        <v>44150</v>
      </c>
      <c r="POP37" s="1551"/>
      <c r="POQ37" s="1551">
        <v>44150</v>
      </c>
      <c r="POR37" s="1551"/>
      <c r="POS37" s="1551">
        <v>44150</v>
      </c>
      <c r="POT37" s="1551">
        <v>44150</v>
      </c>
      <c r="POU37" s="1551"/>
      <c r="POV37" s="1551">
        <v>44150</v>
      </c>
      <c r="POW37" s="1551"/>
      <c r="POX37" s="1551">
        <v>44150</v>
      </c>
      <c r="POY37" s="1551"/>
      <c r="POZ37" s="1551">
        <v>44150</v>
      </c>
      <c r="PPA37" s="1551">
        <v>44150</v>
      </c>
      <c r="PPB37" s="1551"/>
      <c r="PPC37" s="1551">
        <v>44150</v>
      </c>
      <c r="PPD37" s="1551"/>
      <c r="PPE37" s="1551">
        <v>44150</v>
      </c>
      <c r="PPF37" s="1551"/>
      <c r="PPG37" s="1551">
        <v>44150</v>
      </c>
      <c r="PPH37" s="1551">
        <v>44150</v>
      </c>
      <c r="PPI37" s="1551"/>
      <c r="PPJ37" s="1551">
        <v>44150</v>
      </c>
      <c r="PPK37" s="1551"/>
      <c r="PPL37" s="1551">
        <v>44150</v>
      </c>
      <c r="PPM37" s="1551"/>
      <c r="PPN37" s="1551">
        <v>44150</v>
      </c>
      <c r="PPO37" s="1551">
        <v>44150</v>
      </c>
      <c r="PPP37" s="1551"/>
      <c r="PPQ37" s="1551">
        <v>44150</v>
      </c>
      <c r="PPR37" s="1551"/>
      <c r="PPS37" s="1551">
        <v>44150</v>
      </c>
      <c r="PPT37" s="1551"/>
      <c r="PPU37" s="1551">
        <v>44150</v>
      </c>
      <c r="PPV37" s="1551">
        <v>44150</v>
      </c>
      <c r="PPW37" s="1551"/>
      <c r="PPX37" s="1551">
        <v>44150</v>
      </c>
      <c r="PPY37" s="1551"/>
      <c r="PPZ37" s="1551">
        <v>44150</v>
      </c>
      <c r="PQA37" s="1551"/>
      <c r="PQB37" s="1551">
        <v>44150</v>
      </c>
      <c r="PQC37" s="1551">
        <v>44150</v>
      </c>
      <c r="PQD37" s="1551"/>
      <c r="PQE37" s="1551">
        <v>44150</v>
      </c>
      <c r="PQF37" s="1551"/>
      <c r="PQG37" s="1551">
        <v>44150</v>
      </c>
      <c r="PQH37" s="1551"/>
      <c r="PQI37" s="1551">
        <v>44150</v>
      </c>
      <c r="PQJ37" s="1551">
        <v>44150</v>
      </c>
      <c r="PQK37" s="1551"/>
      <c r="PQL37" s="1551">
        <v>44150</v>
      </c>
      <c r="PQM37" s="1551"/>
      <c r="PQN37" s="1551">
        <v>44150</v>
      </c>
      <c r="PQO37" s="1551"/>
      <c r="PQP37" s="1551">
        <v>44150</v>
      </c>
      <c r="PQQ37" s="1551">
        <v>44150</v>
      </c>
      <c r="PQR37" s="1551"/>
      <c r="PQS37" s="1551">
        <v>44150</v>
      </c>
      <c r="PQT37" s="1551"/>
      <c r="PQU37" s="1551">
        <v>44150</v>
      </c>
      <c r="PQV37" s="1551"/>
      <c r="PQW37" s="1551">
        <v>44150</v>
      </c>
      <c r="PQX37" s="1551">
        <v>44150</v>
      </c>
      <c r="PQY37" s="1551"/>
      <c r="PQZ37" s="1551">
        <v>44150</v>
      </c>
      <c r="PRA37" s="1551"/>
      <c r="PRB37" s="1551">
        <v>44150</v>
      </c>
      <c r="PRC37" s="1551"/>
      <c r="PRD37" s="1551">
        <v>44150</v>
      </c>
      <c r="PRE37" s="1551">
        <v>44150</v>
      </c>
      <c r="PRF37" s="1551"/>
      <c r="PRG37" s="1551">
        <v>44150</v>
      </c>
      <c r="PRH37" s="1551"/>
      <c r="PRI37" s="1551">
        <v>44150</v>
      </c>
      <c r="PRJ37" s="1551"/>
      <c r="PRK37" s="1551">
        <v>44150</v>
      </c>
      <c r="PRL37" s="1551">
        <v>44150</v>
      </c>
      <c r="PRM37" s="1551"/>
      <c r="PRN37" s="1551">
        <v>44150</v>
      </c>
      <c r="PRO37" s="1551"/>
      <c r="PRP37" s="1551">
        <v>44150</v>
      </c>
      <c r="PRQ37" s="1551"/>
      <c r="PRR37" s="1551">
        <v>44150</v>
      </c>
      <c r="PRS37" s="1551">
        <v>44150</v>
      </c>
      <c r="PRT37" s="1551"/>
      <c r="PRU37" s="1551">
        <v>44150</v>
      </c>
      <c r="PRV37" s="1551"/>
      <c r="PRW37" s="1551">
        <v>44150</v>
      </c>
      <c r="PRX37" s="1551"/>
      <c r="PRY37" s="1551">
        <v>44150</v>
      </c>
      <c r="PRZ37" s="1551">
        <v>44150</v>
      </c>
      <c r="PSA37" s="1551"/>
      <c r="PSB37" s="1551">
        <v>44150</v>
      </c>
      <c r="PSC37" s="1551"/>
      <c r="PSD37" s="1551">
        <v>44150</v>
      </c>
      <c r="PSE37" s="1551"/>
      <c r="PSF37" s="1551">
        <v>44150</v>
      </c>
      <c r="PSG37" s="1551">
        <v>44150</v>
      </c>
      <c r="PSH37" s="1551"/>
      <c r="PSI37" s="1551">
        <v>44150</v>
      </c>
      <c r="PSJ37" s="1551"/>
      <c r="PSK37" s="1551">
        <v>44150</v>
      </c>
      <c r="PSL37" s="1551"/>
      <c r="PSM37" s="1551">
        <v>44150</v>
      </c>
      <c r="PSN37" s="1551">
        <v>44150</v>
      </c>
      <c r="PSO37" s="1551"/>
      <c r="PSP37" s="1551">
        <v>44150</v>
      </c>
      <c r="PSQ37" s="1551"/>
      <c r="PSR37" s="1551">
        <v>44150</v>
      </c>
      <c r="PSS37" s="1551"/>
      <c r="PST37" s="1551">
        <v>44150</v>
      </c>
      <c r="PSU37" s="1551">
        <v>44150</v>
      </c>
      <c r="PSV37" s="1551"/>
      <c r="PSW37" s="1551">
        <v>44150</v>
      </c>
      <c r="PSX37" s="1551"/>
      <c r="PSY37" s="1551">
        <v>44150</v>
      </c>
      <c r="PSZ37" s="1551"/>
      <c r="PTA37" s="1551">
        <v>44150</v>
      </c>
      <c r="PTB37" s="1551">
        <v>44150</v>
      </c>
      <c r="PTC37" s="1551"/>
      <c r="PTD37" s="1551">
        <v>44150</v>
      </c>
      <c r="PTE37" s="1551"/>
      <c r="PTF37" s="1551">
        <v>44150</v>
      </c>
      <c r="PTG37" s="1551"/>
      <c r="PTH37" s="1551">
        <v>44150</v>
      </c>
      <c r="PTI37" s="1551">
        <v>44150</v>
      </c>
      <c r="PTJ37" s="1551"/>
      <c r="PTK37" s="1551">
        <v>44150</v>
      </c>
      <c r="PTL37" s="1551"/>
      <c r="PTM37" s="1551">
        <v>44150</v>
      </c>
      <c r="PTN37" s="1551"/>
      <c r="PTO37" s="1551">
        <v>44150</v>
      </c>
      <c r="PTP37" s="1551">
        <v>44150</v>
      </c>
      <c r="PTQ37" s="1551"/>
      <c r="PTR37" s="1551">
        <v>44150</v>
      </c>
      <c r="PTS37" s="1551"/>
      <c r="PTT37" s="1551">
        <v>44150</v>
      </c>
      <c r="PTU37" s="1551"/>
      <c r="PTV37" s="1551">
        <v>44150</v>
      </c>
      <c r="PTW37" s="1551">
        <v>44150</v>
      </c>
      <c r="PTX37" s="1551"/>
      <c r="PTY37" s="1551">
        <v>44150</v>
      </c>
      <c r="PTZ37" s="1551"/>
      <c r="PUA37" s="1551">
        <v>44150</v>
      </c>
      <c r="PUB37" s="1551"/>
      <c r="PUC37" s="1551">
        <v>44150</v>
      </c>
      <c r="PUD37" s="1551">
        <v>44150</v>
      </c>
      <c r="PUE37" s="1551"/>
      <c r="PUF37" s="1551">
        <v>44150</v>
      </c>
      <c r="PUG37" s="1551"/>
      <c r="PUH37" s="1551">
        <v>44150</v>
      </c>
      <c r="PUI37" s="1551"/>
      <c r="PUJ37" s="1551">
        <v>44150</v>
      </c>
      <c r="PUK37" s="1551">
        <v>44150</v>
      </c>
      <c r="PUL37" s="1551"/>
      <c r="PUM37" s="1551">
        <v>44150</v>
      </c>
      <c r="PUN37" s="1551"/>
      <c r="PUO37" s="1551">
        <v>44150</v>
      </c>
      <c r="PUP37" s="1551"/>
      <c r="PUQ37" s="1551">
        <v>44150</v>
      </c>
      <c r="PUR37" s="1551">
        <v>44150</v>
      </c>
      <c r="PUS37" s="1551"/>
      <c r="PUT37" s="1551">
        <v>44150</v>
      </c>
      <c r="PUU37" s="1551"/>
      <c r="PUV37" s="1551">
        <v>44150</v>
      </c>
      <c r="PUW37" s="1551"/>
      <c r="PUX37" s="1551">
        <v>44150</v>
      </c>
      <c r="PUY37" s="1551">
        <v>44150</v>
      </c>
      <c r="PUZ37" s="1551"/>
      <c r="PVA37" s="1551">
        <v>44150</v>
      </c>
      <c r="PVB37" s="1551"/>
      <c r="PVC37" s="1551">
        <v>44150</v>
      </c>
      <c r="PVD37" s="1551"/>
      <c r="PVE37" s="1551">
        <v>44150</v>
      </c>
      <c r="PVF37" s="1551">
        <v>44150</v>
      </c>
      <c r="PVG37" s="1551"/>
      <c r="PVH37" s="1551">
        <v>44150</v>
      </c>
      <c r="PVI37" s="1551"/>
      <c r="PVJ37" s="1551">
        <v>44150</v>
      </c>
      <c r="PVK37" s="1551"/>
      <c r="PVL37" s="1551">
        <v>44150</v>
      </c>
      <c r="PVM37" s="1551">
        <v>44150</v>
      </c>
      <c r="PVN37" s="1551"/>
      <c r="PVO37" s="1551">
        <v>44150</v>
      </c>
      <c r="PVP37" s="1551"/>
      <c r="PVQ37" s="1551">
        <v>44150</v>
      </c>
      <c r="PVR37" s="1551"/>
      <c r="PVS37" s="1551">
        <v>44150</v>
      </c>
      <c r="PVT37" s="1551">
        <v>44150</v>
      </c>
      <c r="PVU37" s="1551"/>
      <c r="PVV37" s="1551">
        <v>44150</v>
      </c>
      <c r="PVW37" s="1551"/>
      <c r="PVX37" s="1551">
        <v>44150</v>
      </c>
      <c r="PVY37" s="1551"/>
      <c r="PVZ37" s="1551">
        <v>44150</v>
      </c>
      <c r="PWA37" s="1551">
        <v>44150</v>
      </c>
      <c r="PWB37" s="1551"/>
      <c r="PWC37" s="1551">
        <v>44150</v>
      </c>
      <c r="PWD37" s="1551"/>
      <c r="PWE37" s="1551">
        <v>44150</v>
      </c>
      <c r="PWF37" s="1551"/>
      <c r="PWG37" s="1551">
        <v>44150</v>
      </c>
      <c r="PWH37" s="1551">
        <v>44150</v>
      </c>
      <c r="PWI37" s="1551"/>
      <c r="PWJ37" s="1551">
        <v>44150</v>
      </c>
      <c r="PWK37" s="1551"/>
      <c r="PWL37" s="1551">
        <v>44150</v>
      </c>
      <c r="PWM37" s="1551"/>
      <c r="PWN37" s="1551">
        <v>44150</v>
      </c>
      <c r="PWO37" s="1551">
        <v>44150</v>
      </c>
      <c r="PWP37" s="1551"/>
      <c r="PWQ37" s="1551">
        <v>44150</v>
      </c>
      <c r="PWR37" s="1551"/>
      <c r="PWS37" s="1551">
        <v>44150</v>
      </c>
      <c r="PWT37" s="1551"/>
      <c r="PWU37" s="1551">
        <v>44150</v>
      </c>
      <c r="PWV37" s="1551">
        <v>44150</v>
      </c>
      <c r="PWW37" s="1551"/>
      <c r="PWX37" s="1551">
        <v>44150</v>
      </c>
      <c r="PWY37" s="1551"/>
      <c r="PWZ37" s="1551">
        <v>44150</v>
      </c>
      <c r="PXA37" s="1551"/>
      <c r="PXB37" s="1551">
        <v>44150</v>
      </c>
      <c r="PXC37" s="1551">
        <v>44150</v>
      </c>
      <c r="PXD37" s="1551"/>
      <c r="PXE37" s="1551">
        <v>44150</v>
      </c>
      <c r="PXF37" s="1551"/>
      <c r="PXG37" s="1551">
        <v>44150</v>
      </c>
      <c r="PXH37" s="1551"/>
      <c r="PXI37" s="1551">
        <v>44150</v>
      </c>
      <c r="PXJ37" s="1551">
        <v>44150</v>
      </c>
      <c r="PXK37" s="1551"/>
      <c r="PXL37" s="1551">
        <v>44150</v>
      </c>
      <c r="PXM37" s="1551"/>
      <c r="PXN37" s="1551">
        <v>44150</v>
      </c>
      <c r="PXO37" s="1551"/>
      <c r="PXP37" s="1551">
        <v>44150</v>
      </c>
      <c r="PXQ37" s="1551">
        <v>44150</v>
      </c>
      <c r="PXR37" s="1551"/>
      <c r="PXS37" s="1551">
        <v>44150</v>
      </c>
      <c r="PXT37" s="1551"/>
      <c r="PXU37" s="1551">
        <v>44150</v>
      </c>
      <c r="PXV37" s="1551"/>
      <c r="PXW37" s="1551">
        <v>44150</v>
      </c>
      <c r="PXX37" s="1551">
        <v>44150</v>
      </c>
      <c r="PXY37" s="1551"/>
      <c r="PXZ37" s="1551">
        <v>44150</v>
      </c>
      <c r="PYA37" s="1551"/>
      <c r="PYB37" s="1551">
        <v>44150</v>
      </c>
      <c r="PYC37" s="1551"/>
      <c r="PYD37" s="1551">
        <v>44150</v>
      </c>
      <c r="PYE37" s="1551">
        <v>44150</v>
      </c>
      <c r="PYF37" s="1551"/>
      <c r="PYG37" s="1551">
        <v>44150</v>
      </c>
      <c r="PYH37" s="1551"/>
      <c r="PYI37" s="1551">
        <v>44150</v>
      </c>
      <c r="PYJ37" s="1551"/>
      <c r="PYK37" s="1551">
        <v>44150</v>
      </c>
      <c r="PYL37" s="1551">
        <v>44150</v>
      </c>
      <c r="PYM37" s="1551"/>
      <c r="PYN37" s="1551">
        <v>44150</v>
      </c>
      <c r="PYO37" s="1551"/>
      <c r="PYP37" s="1551">
        <v>44150</v>
      </c>
      <c r="PYQ37" s="1551"/>
      <c r="PYR37" s="1551">
        <v>44150</v>
      </c>
      <c r="PYS37" s="1551">
        <v>44150</v>
      </c>
      <c r="PYT37" s="1551"/>
      <c r="PYU37" s="1551">
        <v>44150</v>
      </c>
      <c r="PYV37" s="1551"/>
      <c r="PYW37" s="1551">
        <v>44150</v>
      </c>
      <c r="PYX37" s="1551"/>
      <c r="PYY37" s="1551">
        <v>44150</v>
      </c>
      <c r="PYZ37" s="1551">
        <v>44150</v>
      </c>
      <c r="PZA37" s="1551"/>
      <c r="PZB37" s="1551">
        <v>44150</v>
      </c>
      <c r="PZC37" s="1551"/>
      <c r="PZD37" s="1551">
        <v>44150</v>
      </c>
      <c r="PZE37" s="1551"/>
      <c r="PZF37" s="1551">
        <v>44150</v>
      </c>
      <c r="PZG37" s="1551">
        <v>44150</v>
      </c>
      <c r="PZH37" s="1551"/>
      <c r="PZI37" s="1551">
        <v>44150</v>
      </c>
      <c r="PZJ37" s="1551"/>
      <c r="PZK37" s="1551">
        <v>44150</v>
      </c>
      <c r="PZL37" s="1551"/>
      <c r="PZM37" s="1551">
        <v>44150</v>
      </c>
      <c r="PZN37" s="1551">
        <v>44150</v>
      </c>
      <c r="PZO37" s="1551"/>
      <c r="PZP37" s="1551">
        <v>44150</v>
      </c>
      <c r="PZQ37" s="1551"/>
      <c r="PZR37" s="1551">
        <v>44150</v>
      </c>
      <c r="PZS37" s="1551"/>
      <c r="PZT37" s="1551">
        <v>44150</v>
      </c>
      <c r="PZU37" s="1551">
        <v>44150</v>
      </c>
      <c r="PZV37" s="1551"/>
      <c r="PZW37" s="1551">
        <v>44150</v>
      </c>
      <c r="PZX37" s="1551"/>
      <c r="PZY37" s="1551">
        <v>44150</v>
      </c>
      <c r="PZZ37" s="1551"/>
      <c r="QAA37" s="1551">
        <v>44150</v>
      </c>
      <c r="QAB37" s="1551">
        <v>44150</v>
      </c>
      <c r="QAC37" s="1551"/>
      <c r="QAD37" s="1551">
        <v>44150</v>
      </c>
      <c r="QAE37" s="1551"/>
      <c r="QAF37" s="1551">
        <v>44150</v>
      </c>
      <c r="QAG37" s="1551"/>
      <c r="QAH37" s="1551">
        <v>44150</v>
      </c>
      <c r="QAI37" s="1551">
        <v>44150</v>
      </c>
      <c r="QAJ37" s="1551"/>
      <c r="QAK37" s="1551">
        <v>44150</v>
      </c>
      <c r="QAL37" s="1551"/>
      <c r="QAM37" s="1551">
        <v>44150</v>
      </c>
      <c r="QAN37" s="1551"/>
      <c r="QAO37" s="1551">
        <v>44150</v>
      </c>
      <c r="QAP37" s="1551">
        <v>44150</v>
      </c>
      <c r="QAQ37" s="1551"/>
      <c r="QAR37" s="1551">
        <v>44150</v>
      </c>
      <c r="QAS37" s="1551"/>
      <c r="QAT37" s="1551">
        <v>44150</v>
      </c>
      <c r="QAU37" s="1551"/>
      <c r="QAV37" s="1551">
        <v>44150</v>
      </c>
      <c r="QAW37" s="1551">
        <v>44150</v>
      </c>
      <c r="QAX37" s="1551"/>
      <c r="QAY37" s="1551">
        <v>44150</v>
      </c>
      <c r="QAZ37" s="1551"/>
      <c r="QBA37" s="1551">
        <v>44150</v>
      </c>
      <c r="QBB37" s="1551"/>
      <c r="QBC37" s="1551">
        <v>44150</v>
      </c>
      <c r="QBD37" s="1551">
        <v>44150</v>
      </c>
      <c r="QBE37" s="1551"/>
      <c r="QBF37" s="1551">
        <v>44150</v>
      </c>
      <c r="QBG37" s="1551"/>
      <c r="QBH37" s="1551">
        <v>44150</v>
      </c>
      <c r="QBI37" s="1551"/>
      <c r="QBJ37" s="1551">
        <v>44150</v>
      </c>
      <c r="QBK37" s="1551">
        <v>44150</v>
      </c>
      <c r="QBL37" s="1551"/>
      <c r="QBM37" s="1551">
        <v>44150</v>
      </c>
      <c r="QBN37" s="1551"/>
      <c r="QBO37" s="1551">
        <v>44150</v>
      </c>
      <c r="QBP37" s="1551"/>
      <c r="QBQ37" s="1551">
        <v>44150</v>
      </c>
      <c r="QBR37" s="1551">
        <v>44150</v>
      </c>
      <c r="QBS37" s="1551"/>
      <c r="QBT37" s="1551">
        <v>44150</v>
      </c>
      <c r="QBU37" s="1551"/>
      <c r="QBV37" s="1551">
        <v>44150</v>
      </c>
      <c r="QBW37" s="1551"/>
      <c r="QBX37" s="1551">
        <v>44150</v>
      </c>
      <c r="QBY37" s="1551">
        <v>44150</v>
      </c>
      <c r="QBZ37" s="1551"/>
      <c r="QCA37" s="1551">
        <v>44150</v>
      </c>
      <c r="QCB37" s="1551"/>
      <c r="QCC37" s="1551">
        <v>44150</v>
      </c>
      <c r="QCD37" s="1551"/>
      <c r="QCE37" s="1551">
        <v>44150</v>
      </c>
      <c r="QCF37" s="1551">
        <v>44150</v>
      </c>
      <c r="QCG37" s="1551"/>
      <c r="QCH37" s="1551">
        <v>44150</v>
      </c>
      <c r="QCI37" s="1551"/>
      <c r="QCJ37" s="1551">
        <v>44150</v>
      </c>
      <c r="QCK37" s="1551"/>
      <c r="QCL37" s="1551">
        <v>44150</v>
      </c>
      <c r="QCM37" s="1551">
        <v>44150</v>
      </c>
      <c r="QCN37" s="1551"/>
      <c r="QCO37" s="1551">
        <v>44150</v>
      </c>
      <c r="QCP37" s="1551"/>
      <c r="QCQ37" s="1551">
        <v>44150</v>
      </c>
      <c r="QCR37" s="1551"/>
      <c r="QCS37" s="1551">
        <v>44150</v>
      </c>
      <c r="QCT37" s="1551">
        <v>44150</v>
      </c>
      <c r="QCU37" s="1551"/>
      <c r="QCV37" s="1551">
        <v>44150</v>
      </c>
      <c r="QCW37" s="1551"/>
      <c r="QCX37" s="1551">
        <v>44150</v>
      </c>
      <c r="QCY37" s="1551"/>
      <c r="QCZ37" s="1551">
        <v>44150</v>
      </c>
      <c r="QDA37" s="1551">
        <v>44150</v>
      </c>
      <c r="QDB37" s="1551"/>
      <c r="QDC37" s="1551">
        <v>44150</v>
      </c>
      <c r="QDD37" s="1551"/>
      <c r="QDE37" s="1551">
        <v>44150</v>
      </c>
      <c r="QDF37" s="1551"/>
      <c r="QDG37" s="1551">
        <v>44150</v>
      </c>
      <c r="QDH37" s="1551">
        <v>44150</v>
      </c>
      <c r="QDI37" s="1551"/>
      <c r="QDJ37" s="1551">
        <v>44150</v>
      </c>
      <c r="QDK37" s="1551"/>
      <c r="QDL37" s="1551">
        <v>44150</v>
      </c>
      <c r="QDM37" s="1551"/>
      <c r="QDN37" s="1551">
        <v>44150</v>
      </c>
      <c r="QDO37" s="1551">
        <v>44150</v>
      </c>
      <c r="QDP37" s="1551"/>
      <c r="QDQ37" s="1551">
        <v>44150</v>
      </c>
      <c r="QDR37" s="1551"/>
      <c r="QDS37" s="1551">
        <v>44150</v>
      </c>
      <c r="QDT37" s="1551"/>
      <c r="QDU37" s="1551">
        <v>44150</v>
      </c>
      <c r="QDV37" s="1551">
        <v>44150</v>
      </c>
      <c r="QDW37" s="1551"/>
      <c r="QDX37" s="1551">
        <v>44150</v>
      </c>
      <c r="QDY37" s="1551"/>
      <c r="QDZ37" s="1551">
        <v>44150</v>
      </c>
      <c r="QEA37" s="1551"/>
      <c r="QEB37" s="1551">
        <v>44150</v>
      </c>
      <c r="QEC37" s="1551">
        <v>44150</v>
      </c>
      <c r="QED37" s="1551"/>
      <c r="QEE37" s="1551">
        <v>44150</v>
      </c>
      <c r="QEF37" s="1551"/>
      <c r="QEG37" s="1551">
        <v>44150</v>
      </c>
      <c r="QEH37" s="1551"/>
      <c r="QEI37" s="1551">
        <v>44150</v>
      </c>
      <c r="QEJ37" s="1551">
        <v>44150</v>
      </c>
      <c r="QEK37" s="1551"/>
      <c r="QEL37" s="1551">
        <v>44150</v>
      </c>
      <c r="QEM37" s="1551"/>
      <c r="QEN37" s="1551">
        <v>44150</v>
      </c>
      <c r="QEO37" s="1551"/>
      <c r="QEP37" s="1551">
        <v>44150</v>
      </c>
      <c r="QEQ37" s="1551">
        <v>44150</v>
      </c>
      <c r="QER37" s="1551"/>
      <c r="QES37" s="1551">
        <v>44150</v>
      </c>
      <c r="QET37" s="1551"/>
      <c r="QEU37" s="1551">
        <v>44150</v>
      </c>
      <c r="QEV37" s="1551"/>
      <c r="QEW37" s="1551">
        <v>44150</v>
      </c>
      <c r="QEX37" s="1551">
        <v>44150</v>
      </c>
      <c r="QEY37" s="1551"/>
      <c r="QEZ37" s="1551">
        <v>44150</v>
      </c>
      <c r="QFA37" s="1551"/>
      <c r="QFB37" s="1551">
        <v>44150</v>
      </c>
      <c r="QFC37" s="1551"/>
      <c r="QFD37" s="1551">
        <v>44150</v>
      </c>
      <c r="QFE37" s="1551">
        <v>44150</v>
      </c>
      <c r="QFF37" s="1551"/>
      <c r="QFG37" s="1551">
        <v>44150</v>
      </c>
      <c r="QFH37" s="1551"/>
      <c r="QFI37" s="1551">
        <v>44150</v>
      </c>
      <c r="QFJ37" s="1551"/>
      <c r="QFK37" s="1551">
        <v>44150</v>
      </c>
      <c r="QFL37" s="1551">
        <v>44150</v>
      </c>
      <c r="QFM37" s="1551"/>
      <c r="QFN37" s="1551">
        <v>44150</v>
      </c>
      <c r="QFO37" s="1551"/>
      <c r="QFP37" s="1551">
        <v>44150</v>
      </c>
      <c r="QFQ37" s="1551"/>
      <c r="QFR37" s="1551">
        <v>44150</v>
      </c>
      <c r="QFS37" s="1551">
        <v>44150</v>
      </c>
      <c r="QFT37" s="1551"/>
      <c r="QFU37" s="1551">
        <v>44150</v>
      </c>
      <c r="QFV37" s="1551"/>
      <c r="QFW37" s="1551">
        <v>44150</v>
      </c>
      <c r="QFX37" s="1551"/>
      <c r="QFY37" s="1551">
        <v>44150</v>
      </c>
      <c r="QFZ37" s="1551">
        <v>44150</v>
      </c>
      <c r="QGA37" s="1551"/>
      <c r="QGB37" s="1551">
        <v>44150</v>
      </c>
      <c r="QGC37" s="1551"/>
      <c r="QGD37" s="1551">
        <v>44150</v>
      </c>
      <c r="QGE37" s="1551"/>
      <c r="QGF37" s="1551">
        <v>44150</v>
      </c>
      <c r="QGG37" s="1551">
        <v>44150</v>
      </c>
      <c r="QGH37" s="1551"/>
      <c r="QGI37" s="1551">
        <v>44150</v>
      </c>
      <c r="QGJ37" s="1551"/>
      <c r="QGK37" s="1551">
        <v>44150</v>
      </c>
      <c r="QGL37" s="1551"/>
      <c r="QGM37" s="1551">
        <v>44150</v>
      </c>
      <c r="QGN37" s="1551">
        <v>44150</v>
      </c>
      <c r="QGO37" s="1551"/>
      <c r="QGP37" s="1551">
        <v>44150</v>
      </c>
      <c r="QGQ37" s="1551"/>
      <c r="QGR37" s="1551">
        <v>44150</v>
      </c>
      <c r="QGS37" s="1551"/>
      <c r="QGT37" s="1551">
        <v>44150</v>
      </c>
      <c r="QGU37" s="1551">
        <v>44150</v>
      </c>
      <c r="QGV37" s="1551"/>
      <c r="QGW37" s="1551">
        <v>44150</v>
      </c>
      <c r="QGX37" s="1551"/>
      <c r="QGY37" s="1551">
        <v>44150</v>
      </c>
      <c r="QGZ37" s="1551"/>
      <c r="QHA37" s="1551">
        <v>44150</v>
      </c>
      <c r="QHB37" s="1551">
        <v>44150</v>
      </c>
      <c r="QHC37" s="1551"/>
      <c r="QHD37" s="1551">
        <v>44150</v>
      </c>
      <c r="QHE37" s="1551"/>
      <c r="QHF37" s="1551">
        <v>44150</v>
      </c>
      <c r="QHG37" s="1551"/>
      <c r="QHH37" s="1551">
        <v>44150</v>
      </c>
      <c r="QHI37" s="1551">
        <v>44150</v>
      </c>
      <c r="QHJ37" s="1551"/>
      <c r="QHK37" s="1551">
        <v>44150</v>
      </c>
      <c r="QHL37" s="1551"/>
      <c r="QHM37" s="1551">
        <v>44150</v>
      </c>
      <c r="QHN37" s="1551"/>
      <c r="QHO37" s="1551">
        <v>44150</v>
      </c>
      <c r="QHP37" s="1551">
        <v>44150</v>
      </c>
      <c r="QHQ37" s="1551"/>
      <c r="QHR37" s="1551">
        <v>44150</v>
      </c>
      <c r="QHS37" s="1551"/>
      <c r="QHT37" s="1551">
        <v>44150</v>
      </c>
      <c r="QHU37" s="1551"/>
      <c r="QHV37" s="1551">
        <v>44150</v>
      </c>
      <c r="QHW37" s="1551">
        <v>44150</v>
      </c>
      <c r="QHX37" s="1551"/>
      <c r="QHY37" s="1551">
        <v>44150</v>
      </c>
      <c r="QHZ37" s="1551"/>
      <c r="QIA37" s="1551">
        <v>44150</v>
      </c>
      <c r="QIB37" s="1551"/>
      <c r="QIC37" s="1551">
        <v>44150</v>
      </c>
      <c r="QID37" s="1551">
        <v>44150</v>
      </c>
      <c r="QIE37" s="1551"/>
      <c r="QIF37" s="1551">
        <v>44150</v>
      </c>
      <c r="QIG37" s="1551"/>
      <c r="QIH37" s="1551">
        <v>44150</v>
      </c>
      <c r="QII37" s="1551"/>
      <c r="QIJ37" s="1551">
        <v>44150</v>
      </c>
      <c r="QIK37" s="1551">
        <v>44150</v>
      </c>
      <c r="QIL37" s="1551"/>
      <c r="QIM37" s="1551">
        <v>44150</v>
      </c>
      <c r="QIN37" s="1551"/>
      <c r="QIO37" s="1551">
        <v>44150</v>
      </c>
      <c r="QIP37" s="1551"/>
      <c r="QIQ37" s="1551">
        <v>44150</v>
      </c>
      <c r="QIR37" s="1551">
        <v>44150</v>
      </c>
      <c r="QIS37" s="1551"/>
      <c r="QIT37" s="1551">
        <v>44150</v>
      </c>
      <c r="QIU37" s="1551"/>
      <c r="QIV37" s="1551">
        <v>44150</v>
      </c>
      <c r="QIW37" s="1551"/>
      <c r="QIX37" s="1551">
        <v>44150</v>
      </c>
      <c r="QIY37" s="1551">
        <v>44150</v>
      </c>
      <c r="QIZ37" s="1551"/>
      <c r="QJA37" s="1551">
        <v>44150</v>
      </c>
      <c r="QJB37" s="1551"/>
      <c r="QJC37" s="1551">
        <v>44150</v>
      </c>
      <c r="QJD37" s="1551"/>
      <c r="QJE37" s="1551">
        <v>44150</v>
      </c>
      <c r="QJF37" s="1551">
        <v>44150</v>
      </c>
      <c r="QJG37" s="1551"/>
      <c r="QJH37" s="1551">
        <v>44150</v>
      </c>
      <c r="QJI37" s="1551"/>
      <c r="QJJ37" s="1551">
        <v>44150</v>
      </c>
      <c r="QJK37" s="1551"/>
      <c r="QJL37" s="1551">
        <v>44150</v>
      </c>
      <c r="QJM37" s="1551">
        <v>44150</v>
      </c>
      <c r="QJN37" s="1551"/>
      <c r="QJO37" s="1551">
        <v>44150</v>
      </c>
      <c r="QJP37" s="1551"/>
      <c r="QJQ37" s="1551">
        <v>44150</v>
      </c>
      <c r="QJR37" s="1551"/>
      <c r="QJS37" s="1551">
        <v>44150</v>
      </c>
      <c r="QJT37" s="1551">
        <v>44150</v>
      </c>
      <c r="QJU37" s="1551"/>
      <c r="QJV37" s="1551">
        <v>44150</v>
      </c>
      <c r="QJW37" s="1551"/>
      <c r="QJX37" s="1551">
        <v>44150</v>
      </c>
      <c r="QJY37" s="1551"/>
      <c r="QJZ37" s="1551">
        <v>44150</v>
      </c>
      <c r="QKA37" s="1551">
        <v>44150</v>
      </c>
      <c r="QKB37" s="1551"/>
      <c r="QKC37" s="1551">
        <v>44150</v>
      </c>
      <c r="QKD37" s="1551"/>
      <c r="QKE37" s="1551">
        <v>44150</v>
      </c>
      <c r="QKF37" s="1551"/>
      <c r="QKG37" s="1551">
        <v>44150</v>
      </c>
      <c r="QKH37" s="1551">
        <v>44150</v>
      </c>
      <c r="QKI37" s="1551"/>
      <c r="QKJ37" s="1551">
        <v>44150</v>
      </c>
      <c r="QKK37" s="1551"/>
      <c r="QKL37" s="1551">
        <v>44150</v>
      </c>
      <c r="QKM37" s="1551"/>
      <c r="QKN37" s="1551">
        <v>44150</v>
      </c>
      <c r="QKO37" s="1551">
        <v>44150</v>
      </c>
      <c r="QKP37" s="1551"/>
      <c r="QKQ37" s="1551">
        <v>44150</v>
      </c>
      <c r="QKR37" s="1551"/>
      <c r="QKS37" s="1551">
        <v>44150</v>
      </c>
      <c r="QKT37" s="1551"/>
      <c r="QKU37" s="1551">
        <v>44150</v>
      </c>
      <c r="QKV37" s="1551">
        <v>44150</v>
      </c>
      <c r="QKW37" s="1551"/>
      <c r="QKX37" s="1551">
        <v>44150</v>
      </c>
      <c r="QKY37" s="1551"/>
      <c r="QKZ37" s="1551">
        <v>44150</v>
      </c>
      <c r="QLA37" s="1551"/>
      <c r="QLB37" s="1551">
        <v>44150</v>
      </c>
      <c r="QLC37" s="1551">
        <v>44150</v>
      </c>
      <c r="QLD37" s="1551"/>
      <c r="QLE37" s="1551">
        <v>44150</v>
      </c>
      <c r="QLF37" s="1551"/>
      <c r="QLG37" s="1551">
        <v>44150</v>
      </c>
      <c r="QLH37" s="1551"/>
      <c r="QLI37" s="1551">
        <v>44150</v>
      </c>
      <c r="QLJ37" s="1551">
        <v>44150</v>
      </c>
      <c r="QLK37" s="1551"/>
      <c r="QLL37" s="1551">
        <v>44150</v>
      </c>
      <c r="QLM37" s="1551"/>
      <c r="QLN37" s="1551">
        <v>44150</v>
      </c>
      <c r="QLO37" s="1551"/>
      <c r="QLP37" s="1551">
        <v>44150</v>
      </c>
      <c r="QLQ37" s="1551">
        <v>44150</v>
      </c>
      <c r="QLR37" s="1551"/>
      <c r="QLS37" s="1551">
        <v>44150</v>
      </c>
      <c r="QLT37" s="1551"/>
      <c r="QLU37" s="1551">
        <v>44150</v>
      </c>
      <c r="QLV37" s="1551"/>
      <c r="QLW37" s="1551">
        <v>44150</v>
      </c>
      <c r="QLX37" s="1551">
        <v>44150</v>
      </c>
      <c r="QLY37" s="1551"/>
      <c r="QLZ37" s="1551">
        <v>44150</v>
      </c>
      <c r="QMA37" s="1551"/>
      <c r="QMB37" s="1551">
        <v>44150</v>
      </c>
      <c r="QMC37" s="1551"/>
      <c r="QMD37" s="1551">
        <v>44150</v>
      </c>
      <c r="QME37" s="1551">
        <v>44150</v>
      </c>
      <c r="QMF37" s="1551"/>
      <c r="QMG37" s="1551">
        <v>44150</v>
      </c>
      <c r="QMH37" s="1551"/>
      <c r="QMI37" s="1551">
        <v>44150</v>
      </c>
      <c r="QMJ37" s="1551"/>
      <c r="QMK37" s="1551">
        <v>44150</v>
      </c>
      <c r="QML37" s="1551">
        <v>44150</v>
      </c>
      <c r="QMM37" s="1551"/>
      <c r="QMN37" s="1551">
        <v>44150</v>
      </c>
      <c r="QMO37" s="1551"/>
      <c r="QMP37" s="1551">
        <v>44150</v>
      </c>
      <c r="QMQ37" s="1551"/>
      <c r="QMR37" s="1551">
        <v>44150</v>
      </c>
      <c r="QMS37" s="1551">
        <v>44150</v>
      </c>
      <c r="QMT37" s="1551"/>
      <c r="QMU37" s="1551">
        <v>44150</v>
      </c>
      <c r="QMV37" s="1551"/>
      <c r="QMW37" s="1551">
        <v>44150</v>
      </c>
      <c r="QMX37" s="1551"/>
      <c r="QMY37" s="1551">
        <v>44150</v>
      </c>
      <c r="QMZ37" s="1551">
        <v>44150</v>
      </c>
      <c r="QNA37" s="1551"/>
      <c r="QNB37" s="1551">
        <v>44150</v>
      </c>
      <c r="QNC37" s="1551"/>
      <c r="QND37" s="1551">
        <v>44150</v>
      </c>
      <c r="QNE37" s="1551"/>
      <c r="QNF37" s="1551">
        <v>44150</v>
      </c>
      <c r="QNG37" s="1551">
        <v>44150</v>
      </c>
      <c r="QNH37" s="1551"/>
      <c r="QNI37" s="1551">
        <v>44150</v>
      </c>
      <c r="QNJ37" s="1551"/>
      <c r="QNK37" s="1551">
        <v>44150</v>
      </c>
      <c r="QNL37" s="1551"/>
      <c r="QNM37" s="1551">
        <v>44150</v>
      </c>
      <c r="QNN37" s="1551">
        <v>44150</v>
      </c>
      <c r="QNO37" s="1551"/>
      <c r="QNP37" s="1551">
        <v>44150</v>
      </c>
      <c r="QNQ37" s="1551"/>
      <c r="QNR37" s="1551">
        <v>44150</v>
      </c>
      <c r="QNS37" s="1551"/>
      <c r="QNT37" s="1551">
        <v>44150</v>
      </c>
      <c r="QNU37" s="1551">
        <v>44150</v>
      </c>
      <c r="QNV37" s="1551"/>
      <c r="QNW37" s="1551">
        <v>44150</v>
      </c>
      <c r="QNX37" s="1551"/>
      <c r="QNY37" s="1551">
        <v>44150</v>
      </c>
      <c r="QNZ37" s="1551"/>
      <c r="QOA37" s="1551">
        <v>44150</v>
      </c>
      <c r="QOB37" s="1551">
        <v>44150</v>
      </c>
      <c r="QOC37" s="1551"/>
      <c r="QOD37" s="1551">
        <v>44150</v>
      </c>
      <c r="QOE37" s="1551"/>
      <c r="QOF37" s="1551">
        <v>44150</v>
      </c>
      <c r="QOG37" s="1551"/>
      <c r="QOH37" s="1551">
        <v>44150</v>
      </c>
      <c r="QOI37" s="1551">
        <v>44150</v>
      </c>
      <c r="QOJ37" s="1551"/>
      <c r="QOK37" s="1551">
        <v>44150</v>
      </c>
      <c r="QOL37" s="1551"/>
      <c r="QOM37" s="1551">
        <v>44150</v>
      </c>
      <c r="QON37" s="1551"/>
      <c r="QOO37" s="1551">
        <v>44150</v>
      </c>
      <c r="QOP37" s="1551">
        <v>44150</v>
      </c>
      <c r="QOQ37" s="1551"/>
      <c r="QOR37" s="1551">
        <v>44150</v>
      </c>
      <c r="QOS37" s="1551"/>
      <c r="QOT37" s="1551">
        <v>44150</v>
      </c>
      <c r="QOU37" s="1551"/>
      <c r="QOV37" s="1551">
        <v>44150</v>
      </c>
      <c r="QOW37" s="1551">
        <v>44150</v>
      </c>
      <c r="QOX37" s="1551"/>
      <c r="QOY37" s="1551">
        <v>44150</v>
      </c>
      <c r="QOZ37" s="1551"/>
      <c r="QPA37" s="1551">
        <v>44150</v>
      </c>
      <c r="QPB37" s="1551"/>
      <c r="QPC37" s="1551">
        <v>44150</v>
      </c>
      <c r="QPD37" s="1551">
        <v>44150</v>
      </c>
      <c r="QPE37" s="1551"/>
      <c r="QPF37" s="1551">
        <v>44150</v>
      </c>
      <c r="QPG37" s="1551"/>
      <c r="QPH37" s="1551">
        <v>44150</v>
      </c>
      <c r="QPI37" s="1551"/>
      <c r="QPJ37" s="1551">
        <v>44150</v>
      </c>
      <c r="QPK37" s="1551">
        <v>44150</v>
      </c>
      <c r="QPL37" s="1551"/>
      <c r="QPM37" s="1551">
        <v>44150</v>
      </c>
      <c r="QPN37" s="1551"/>
      <c r="QPO37" s="1551">
        <v>44150</v>
      </c>
      <c r="QPP37" s="1551"/>
      <c r="QPQ37" s="1551">
        <v>44150</v>
      </c>
      <c r="QPR37" s="1551">
        <v>44150</v>
      </c>
      <c r="QPS37" s="1551"/>
      <c r="QPT37" s="1551">
        <v>44150</v>
      </c>
      <c r="QPU37" s="1551"/>
      <c r="QPV37" s="1551">
        <v>44150</v>
      </c>
      <c r="QPW37" s="1551"/>
      <c r="QPX37" s="1551">
        <v>44150</v>
      </c>
      <c r="QPY37" s="1551">
        <v>44150</v>
      </c>
      <c r="QPZ37" s="1551"/>
      <c r="QQA37" s="1551">
        <v>44150</v>
      </c>
      <c r="QQB37" s="1551"/>
      <c r="QQC37" s="1551">
        <v>44150</v>
      </c>
      <c r="QQD37" s="1551"/>
      <c r="QQE37" s="1551">
        <v>44150</v>
      </c>
      <c r="QQF37" s="1551">
        <v>44150</v>
      </c>
      <c r="QQG37" s="1551"/>
      <c r="QQH37" s="1551">
        <v>44150</v>
      </c>
      <c r="QQI37" s="1551"/>
      <c r="QQJ37" s="1551">
        <v>44150</v>
      </c>
      <c r="QQK37" s="1551"/>
      <c r="QQL37" s="1551">
        <v>44150</v>
      </c>
      <c r="QQM37" s="1551">
        <v>44150</v>
      </c>
      <c r="QQN37" s="1551"/>
      <c r="QQO37" s="1551">
        <v>44150</v>
      </c>
      <c r="QQP37" s="1551"/>
      <c r="QQQ37" s="1551">
        <v>44150</v>
      </c>
      <c r="QQR37" s="1551"/>
      <c r="QQS37" s="1551">
        <v>44150</v>
      </c>
      <c r="QQT37" s="1551">
        <v>44150</v>
      </c>
      <c r="QQU37" s="1551"/>
      <c r="QQV37" s="1551">
        <v>44150</v>
      </c>
      <c r="QQW37" s="1551"/>
      <c r="QQX37" s="1551">
        <v>44150</v>
      </c>
      <c r="QQY37" s="1551"/>
      <c r="QQZ37" s="1551">
        <v>44150</v>
      </c>
      <c r="QRA37" s="1551">
        <v>44150</v>
      </c>
      <c r="QRB37" s="1551"/>
      <c r="QRC37" s="1551">
        <v>44150</v>
      </c>
      <c r="QRD37" s="1551"/>
      <c r="QRE37" s="1551">
        <v>44150</v>
      </c>
      <c r="QRF37" s="1551"/>
      <c r="QRG37" s="1551">
        <v>44150</v>
      </c>
      <c r="QRH37" s="1551">
        <v>44150</v>
      </c>
      <c r="QRI37" s="1551"/>
      <c r="QRJ37" s="1551">
        <v>44150</v>
      </c>
      <c r="QRK37" s="1551"/>
      <c r="QRL37" s="1551">
        <v>44150</v>
      </c>
      <c r="QRM37" s="1551"/>
      <c r="QRN37" s="1551">
        <v>44150</v>
      </c>
      <c r="QRO37" s="1551">
        <v>44150</v>
      </c>
      <c r="QRP37" s="1551"/>
      <c r="QRQ37" s="1551">
        <v>44150</v>
      </c>
      <c r="QRR37" s="1551"/>
      <c r="QRS37" s="1551">
        <v>44150</v>
      </c>
      <c r="QRT37" s="1551"/>
      <c r="QRU37" s="1551">
        <v>44150</v>
      </c>
      <c r="QRV37" s="1551">
        <v>44150</v>
      </c>
      <c r="QRW37" s="1551"/>
      <c r="QRX37" s="1551">
        <v>44150</v>
      </c>
      <c r="QRY37" s="1551"/>
      <c r="QRZ37" s="1551">
        <v>44150</v>
      </c>
      <c r="QSA37" s="1551"/>
      <c r="QSB37" s="1551">
        <v>44150</v>
      </c>
      <c r="QSC37" s="1551">
        <v>44150</v>
      </c>
      <c r="QSD37" s="1551"/>
      <c r="QSE37" s="1551">
        <v>44150</v>
      </c>
      <c r="QSF37" s="1551"/>
      <c r="QSG37" s="1551">
        <v>44150</v>
      </c>
      <c r="QSH37" s="1551"/>
      <c r="QSI37" s="1551">
        <v>44150</v>
      </c>
      <c r="QSJ37" s="1551">
        <v>44150</v>
      </c>
      <c r="QSK37" s="1551"/>
      <c r="QSL37" s="1551">
        <v>44150</v>
      </c>
      <c r="QSM37" s="1551"/>
      <c r="QSN37" s="1551">
        <v>44150</v>
      </c>
      <c r="QSO37" s="1551"/>
      <c r="QSP37" s="1551">
        <v>44150</v>
      </c>
      <c r="QSQ37" s="1551">
        <v>44150</v>
      </c>
      <c r="QSR37" s="1551"/>
      <c r="QSS37" s="1551">
        <v>44150</v>
      </c>
      <c r="QST37" s="1551"/>
      <c r="QSU37" s="1551">
        <v>44150</v>
      </c>
      <c r="QSV37" s="1551"/>
      <c r="QSW37" s="1551">
        <v>44150</v>
      </c>
      <c r="QSX37" s="1551">
        <v>44150</v>
      </c>
      <c r="QSY37" s="1551"/>
      <c r="QSZ37" s="1551">
        <v>44150</v>
      </c>
      <c r="QTA37" s="1551"/>
      <c r="QTB37" s="1551">
        <v>44150</v>
      </c>
      <c r="QTC37" s="1551"/>
      <c r="QTD37" s="1551">
        <v>44150</v>
      </c>
      <c r="QTE37" s="1551">
        <v>44150</v>
      </c>
      <c r="QTF37" s="1551"/>
      <c r="QTG37" s="1551">
        <v>44150</v>
      </c>
      <c r="QTH37" s="1551"/>
      <c r="QTI37" s="1551">
        <v>44150</v>
      </c>
      <c r="QTJ37" s="1551"/>
      <c r="QTK37" s="1551">
        <v>44150</v>
      </c>
      <c r="QTL37" s="1551">
        <v>44150</v>
      </c>
      <c r="QTM37" s="1551"/>
      <c r="QTN37" s="1551">
        <v>44150</v>
      </c>
      <c r="QTO37" s="1551"/>
      <c r="QTP37" s="1551">
        <v>44150</v>
      </c>
      <c r="QTQ37" s="1551"/>
      <c r="QTR37" s="1551">
        <v>44150</v>
      </c>
      <c r="QTS37" s="1551">
        <v>44150</v>
      </c>
      <c r="QTT37" s="1551"/>
      <c r="QTU37" s="1551">
        <v>44150</v>
      </c>
      <c r="QTV37" s="1551"/>
      <c r="QTW37" s="1551">
        <v>44150</v>
      </c>
      <c r="QTX37" s="1551"/>
      <c r="QTY37" s="1551">
        <v>44150</v>
      </c>
      <c r="QTZ37" s="1551">
        <v>44150</v>
      </c>
      <c r="QUA37" s="1551"/>
      <c r="QUB37" s="1551">
        <v>44150</v>
      </c>
      <c r="QUC37" s="1551"/>
      <c r="QUD37" s="1551">
        <v>44150</v>
      </c>
      <c r="QUE37" s="1551"/>
      <c r="QUF37" s="1551">
        <v>44150</v>
      </c>
      <c r="QUG37" s="1551">
        <v>44150</v>
      </c>
      <c r="QUH37" s="1551"/>
      <c r="QUI37" s="1551">
        <v>44150</v>
      </c>
      <c r="QUJ37" s="1551"/>
      <c r="QUK37" s="1551">
        <v>44150</v>
      </c>
      <c r="QUL37" s="1551"/>
      <c r="QUM37" s="1551">
        <v>44150</v>
      </c>
      <c r="QUN37" s="1551">
        <v>44150</v>
      </c>
      <c r="QUO37" s="1551"/>
      <c r="QUP37" s="1551">
        <v>44150</v>
      </c>
      <c r="QUQ37" s="1551"/>
      <c r="QUR37" s="1551">
        <v>44150</v>
      </c>
      <c r="QUS37" s="1551"/>
      <c r="QUT37" s="1551">
        <v>44150</v>
      </c>
      <c r="QUU37" s="1551">
        <v>44150</v>
      </c>
      <c r="QUV37" s="1551"/>
      <c r="QUW37" s="1551">
        <v>44150</v>
      </c>
      <c r="QUX37" s="1551"/>
      <c r="QUY37" s="1551">
        <v>44150</v>
      </c>
      <c r="QUZ37" s="1551"/>
      <c r="QVA37" s="1551">
        <v>44150</v>
      </c>
      <c r="QVB37" s="1551">
        <v>44150</v>
      </c>
      <c r="QVC37" s="1551"/>
      <c r="QVD37" s="1551">
        <v>44150</v>
      </c>
      <c r="QVE37" s="1551"/>
      <c r="QVF37" s="1551">
        <v>44150</v>
      </c>
      <c r="QVG37" s="1551"/>
      <c r="QVH37" s="1551">
        <v>44150</v>
      </c>
      <c r="QVI37" s="1551">
        <v>44150</v>
      </c>
      <c r="QVJ37" s="1551"/>
      <c r="QVK37" s="1551">
        <v>44150</v>
      </c>
      <c r="QVL37" s="1551"/>
      <c r="QVM37" s="1551">
        <v>44150</v>
      </c>
      <c r="QVN37" s="1551"/>
      <c r="QVO37" s="1551">
        <v>44150</v>
      </c>
      <c r="QVP37" s="1551">
        <v>44150</v>
      </c>
      <c r="QVQ37" s="1551"/>
      <c r="QVR37" s="1551">
        <v>44150</v>
      </c>
      <c r="QVS37" s="1551"/>
      <c r="QVT37" s="1551">
        <v>44150</v>
      </c>
      <c r="QVU37" s="1551"/>
      <c r="QVV37" s="1551">
        <v>44150</v>
      </c>
      <c r="QVW37" s="1551">
        <v>44150</v>
      </c>
      <c r="QVX37" s="1551"/>
      <c r="QVY37" s="1551">
        <v>44150</v>
      </c>
      <c r="QVZ37" s="1551"/>
      <c r="QWA37" s="1551">
        <v>44150</v>
      </c>
      <c r="QWB37" s="1551"/>
      <c r="QWC37" s="1551">
        <v>44150</v>
      </c>
      <c r="QWD37" s="1551">
        <v>44150</v>
      </c>
      <c r="QWE37" s="1551"/>
      <c r="QWF37" s="1551">
        <v>44150</v>
      </c>
      <c r="QWG37" s="1551"/>
      <c r="QWH37" s="1551">
        <v>44150</v>
      </c>
      <c r="QWI37" s="1551"/>
      <c r="QWJ37" s="1551">
        <v>44150</v>
      </c>
      <c r="QWK37" s="1551">
        <v>44150</v>
      </c>
      <c r="QWL37" s="1551"/>
      <c r="QWM37" s="1551">
        <v>44150</v>
      </c>
      <c r="QWN37" s="1551"/>
      <c r="QWO37" s="1551">
        <v>44150</v>
      </c>
      <c r="QWP37" s="1551"/>
      <c r="QWQ37" s="1551">
        <v>44150</v>
      </c>
      <c r="QWR37" s="1551">
        <v>44150</v>
      </c>
      <c r="QWS37" s="1551"/>
      <c r="QWT37" s="1551">
        <v>44150</v>
      </c>
      <c r="QWU37" s="1551"/>
      <c r="QWV37" s="1551">
        <v>44150</v>
      </c>
      <c r="QWW37" s="1551"/>
      <c r="QWX37" s="1551">
        <v>44150</v>
      </c>
      <c r="QWY37" s="1551">
        <v>44150</v>
      </c>
      <c r="QWZ37" s="1551"/>
      <c r="QXA37" s="1551">
        <v>44150</v>
      </c>
      <c r="QXB37" s="1551"/>
      <c r="QXC37" s="1551">
        <v>44150</v>
      </c>
      <c r="QXD37" s="1551"/>
      <c r="QXE37" s="1551">
        <v>44150</v>
      </c>
      <c r="QXF37" s="1551">
        <v>44150</v>
      </c>
      <c r="QXG37" s="1551"/>
      <c r="QXH37" s="1551">
        <v>44150</v>
      </c>
      <c r="QXI37" s="1551"/>
      <c r="QXJ37" s="1551">
        <v>44150</v>
      </c>
      <c r="QXK37" s="1551"/>
      <c r="QXL37" s="1551">
        <v>44150</v>
      </c>
      <c r="QXM37" s="1551">
        <v>44150</v>
      </c>
      <c r="QXN37" s="1551"/>
      <c r="QXO37" s="1551">
        <v>44150</v>
      </c>
      <c r="QXP37" s="1551"/>
      <c r="QXQ37" s="1551">
        <v>44150</v>
      </c>
      <c r="QXR37" s="1551"/>
      <c r="QXS37" s="1551">
        <v>44150</v>
      </c>
      <c r="QXT37" s="1551">
        <v>44150</v>
      </c>
      <c r="QXU37" s="1551"/>
      <c r="QXV37" s="1551">
        <v>44150</v>
      </c>
      <c r="QXW37" s="1551"/>
      <c r="QXX37" s="1551">
        <v>44150</v>
      </c>
      <c r="QXY37" s="1551"/>
      <c r="QXZ37" s="1551">
        <v>44150</v>
      </c>
      <c r="QYA37" s="1551">
        <v>44150</v>
      </c>
      <c r="QYB37" s="1551"/>
      <c r="QYC37" s="1551">
        <v>44150</v>
      </c>
      <c r="QYD37" s="1551"/>
      <c r="QYE37" s="1551">
        <v>44150</v>
      </c>
      <c r="QYF37" s="1551"/>
      <c r="QYG37" s="1551">
        <v>44150</v>
      </c>
      <c r="QYH37" s="1551">
        <v>44150</v>
      </c>
      <c r="QYI37" s="1551"/>
      <c r="QYJ37" s="1551">
        <v>44150</v>
      </c>
      <c r="QYK37" s="1551"/>
      <c r="QYL37" s="1551">
        <v>44150</v>
      </c>
      <c r="QYM37" s="1551"/>
      <c r="QYN37" s="1551">
        <v>44150</v>
      </c>
      <c r="QYO37" s="1551">
        <v>44150</v>
      </c>
      <c r="QYP37" s="1551"/>
      <c r="QYQ37" s="1551">
        <v>44150</v>
      </c>
      <c r="QYR37" s="1551"/>
      <c r="QYS37" s="1551">
        <v>44150</v>
      </c>
      <c r="QYT37" s="1551"/>
      <c r="QYU37" s="1551">
        <v>44150</v>
      </c>
      <c r="QYV37" s="1551">
        <v>44150</v>
      </c>
      <c r="QYW37" s="1551"/>
      <c r="QYX37" s="1551">
        <v>44150</v>
      </c>
      <c r="QYY37" s="1551"/>
      <c r="QYZ37" s="1551">
        <v>44150</v>
      </c>
      <c r="QZA37" s="1551"/>
      <c r="QZB37" s="1551">
        <v>44150</v>
      </c>
      <c r="QZC37" s="1551">
        <v>44150</v>
      </c>
      <c r="QZD37" s="1551"/>
      <c r="QZE37" s="1551">
        <v>44150</v>
      </c>
      <c r="QZF37" s="1551"/>
      <c r="QZG37" s="1551">
        <v>44150</v>
      </c>
      <c r="QZH37" s="1551"/>
      <c r="QZI37" s="1551">
        <v>44150</v>
      </c>
      <c r="QZJ37" s="1551">
        <v>44150</v>
      </c>
      <c r="QZK37" s="1551"/>
      <c r="QZL37" s="1551">
        <v>44150</v>
      </c>
      <c r="QZM37" s="1551"/>
      <c r="QZN37" s="1551">
        <v>44150</v>
      </c>
      <c r="QZO37" s="1551"/>
      <c r="QZP37" s="1551">
        <v>44150</v>
      </c>
      <c r="QZQ37" s="1551">
        <v>44150</v>
      </c>
      <c r="QZR37" s="1551"/>
      <c r="QZS37" s="1551">
        <v>44150</v>
      </c>
      <c r="QZT37" s="1551"/>
      <c r="QZU37" s="1551">
        <v>44150</v>
      </c>
      <c r="QZV37" s="1551"/>
      <c r="QZW37" s="1551">
        <v>44150</v>
      </c>
      <c r="QZX37" s="1551">
        <v>44150</v>
      </c>
      <c r="QZY37" s="1551"/>
      <c r="QZZ37" s="1551">
        <v>44150</v>
      </c>
      <c r="RAA37" s="1551"/>
      <c r="RAB37" s="1551">
        <v>44150</v>
      </c>
      <c r="RAC37" s="1551"/>
      <c r="RAD37" s="1551">
        <v>44150</v>
      </c>
      <c r="RAE37" s="1551">
        <v>44150</v>
      </c>
      <c r="RAF37" s="1551"/>
      <c r="RAG37" s="1551">
        <v>44150</v>
      </c>
      <c r="RAH37" s="1551"/>
      <c r="RAI37" s="1551">
        <v>44150</v>
      </c>
      <c r="RAJ37" s="1551"/>
      <c r="RAK37" s="1551">
        <v>44150</v>
      </c>
      <c r="RAL37" s="1551">
        <v>44150</v>
      </c>
      <c r="RAM37" s="1551"/>
      <c r="RAN37" s="1551">
        <v>44150</v>
      </c>
      <c r="RAO37" s="1551"/>
      <c r="RAP37" s="1551">
        <v>44150</v>
      </c>
      <c r="RAQ37" s="1551"/>
      <c r="RAR37" s="1551">
        <v>44150</v>
      </c>
      <c r="RAS37" s="1551">
        <v>44150</v>
      </c>
      <c r="RAT37" s="1551"/>
      <c r="RAU37" s="1551">
        <v>44150</v>
      </c>
      <c r="RAV37" s="1551"/>
      <c r="RAW37" s="1551">
        <v>44150</v>
      </c>
      <c r="RAX37" s="1551"/>
      <c r="RAY37" s="1551">
        <v>44150</v>
      </c>
      <c r="RAZ37" s="1551">
        <v>44150</v>
      </c>
      <c r="RBA37" s="1551"/>
      <c r="RBB37" s="1551">
        <v>44150</v>
      </c>
      <c r="RBC37" s="1551"/>
      <c r="RBD37" s="1551">
        <v>44150</v>
      </c>
      <c r="RBE37" s="1551"/>
      <c r="RBF37" s="1551">
        <v>44150</v>
      </c>
      <c r="RBG37" s="1551">
        <v>44150</v>
      </c>
      <c r="RBH37" s="1551"/>
      <c r="RBI37" s="1551">
        <v>44150</v>
      </c>
      <c r="RBJ37" s="1551"/>
      <c r="RBK37" s="1551">
        <v>44150</v>
      </c>
      <c r="RBL37" s="1551"/>
      <c r="RBM37" s="1551">
        <v>44150</v>
      </c>
      <c r="RBN37" s="1551">
        <v>44150</v>
      </c>
      <c r="RBO37" s="1551"/>
      <c r="RBP37" s="1551">
        <v>44150</v>
      </c>
      <c r="RBQ37" s="1551"/>
      <c r="RBR37" s="1551">
        <v>44150</v>
      </c>
      <c r="RBS37" s="1551"/>
      <c r="RBT37" s="1551">
        <v>44150</v>
      </c>
      <c r="RBU37" s="1551">
        <v>44150</v>
      </c>
      <c r="RBV37" s="1551"/>
      <c r="RBW37" s="1551">
        <v>44150</v>
      </c>
      <c r="RBX37" s="1551"/>
      <c r="RBY37" s="1551">
        <v>44150</v>
      </c>
      <c r="RBZ37" s="1551"/>
      <c r="RCA37" s="1551">
        <v>44150</v>
      </c>
      <c r="RCB37" s="1551">
        <v>44150</v>
      </c>
      <c r="RCC37" s="1551"/>
      <c r="RCD37" s="1551">
        <v>44150</v>
      </c>
      <c r="RCE37" s="1551"/>
      <c r="RCF37" s="1551">
        <v>44150</v>
      </c>
      <c r="RCG37" s="1551"/>
      <c r="RCH37" s="1551">
        <v>44150</v>
      </c>
      <c r="RCI37" s="1551">
        <v>44150</v>
      </c>
      <c r="RCJ37" s="1551"/>
      <c r="RCK37" s="1551">
        <v>44150</v>
      </c>
      <c r="RCL37" s="1551"/>
      <c r="RCM37" s="1551">
        <v>44150</v>
      </c>
      <c r="RCN37" s="1551"/>
      <c r="RCO37" s="1551">
        <v>44150</v>
      </c>
      <c r="RCP37" s="1551">
        <v>44150</v>
      </c>
      <c r="RCQ37" s="1551"/>
      <c r="RCR37" s="1551">
        <v>44150</v>
      </c>
      <c r="RCS37" s="1551"/>
      <c r="RCT37" s="1551">
        <v>44150</v>
      </c>
      <c r="RCU37" s="1551"/>
      <c r="RCV37" s="1551">
        <v>44150</v>
      </c>
      <c r="RCW37" s="1551">
        <v>44150</v>
      </c>
      <c r="RCX37" s="1551"/>
      <c r="RCY37" s="1551">
        <v>44150</v>
      </c>
      <c r="RCZ37" s="1551"/>
      <c r="RDA37" s="1551">
        <v>44150</v>
      </c>
      <c r="RDB37" s="1551"/>
      <c r="RDC37" s="1551">
        <v>44150</v>
      </c>
      <c r="RDD37" s="1551">
        <v>44150</v>
      </c>
      <c r="RDE37" s="1551"/>
      <c r="RDF37" s="1551">
        <v>44150</v>
      </c>
      <c r="RDG37" s="1551"/>
      <c r="RDH37" s="1551">
        <v>44150</v>
      </c>
      <c r="RDI37" s="1551"/>
      <c r="RDJ37" s="1551">
        <v>44150</v>
      </c>
      <c r="RDK37" s="1551">
        <v>44150</v>
      </c>
      <c r="RDL37" s="1551"/>
      <c r="RDM37" s="1551">
        <v>44150</v>
      </c>
      <c r="RDN37" s="1551"/>
      <c r="RDO37" s="1551">
        <v>44150</v>
      </c>
      <c r="RDP37" s="1551"/>
      <c r="RDQ37" s="1551">
        <v>44150</v>
      </c>
      <c r="RDR37" s="1551">
        <v>44150</v>
      </c>
      <c r="RDS37" s="1551"/>
      <c r="RDT37" s="1551">
        <v>44150</v>
      </c>
      <c r="RDU37" s="1551"/>
      <c r="RDV37" s="1551">
        <v>44150</v>
      </c>
      <c r="RDW37" s="1551"/>
      <c r="RDX37" s="1551">
        <v>44150</v>
      </c>
      <c r="RDY37" s="1551">
        <v>44150</v>
      </c>
      <c r="RDZ37" s="1551"/>
      <c r="REA37" s="1551">
        <v>44150</v>
      </c>
      <c r="REB37" s="1551"/>
      <c r="REC37" s="1551">
        <v>44150</v>
      </c>
      <c r="RED37" s="1551"/>
      <c r="REE37" s="1551">
        <v>44150</v>
      </c>
      <c r="REF37" s="1551">
        <v>44150</v>
      </c>
      <c r="REG37" s="1551"/>
      <c r="REH37" s="1551">
        <v>44150</v>
      </c>
      <c r="REI37" s="1551"/>
      <c r="REJ37" s="1551">
        <v>44150</v>
      </c>
      <c r="REK37" s="1551"/>
      <c r="REL37" s="1551">
        <v>44150</v>
      </c>
      <c r="REM37" s="1551">
        <v>44150</v>
      </c>
      <c r="REN37" s="1551"/>
      <c r="REO37" s="1551">
        <v>44150</v>
      </c>
      <c r="REP37" s="1551"/>
      <c r="REQ37" s="1551">
        <v>44150</v>
      </c>
      <c r="RER37" s="1551"/>
      <c r="RES37" s="1551">
        <v>44150</v>
      </c>
      <c r="RET37" s="1551">
        <v>44150</v>
      </c>
      <c r="REU37" s="1551"/>
      <c r="REV37" s="1551">
        <v>44150</v>
      </c>
      <c r="REW37" s="1551"/>
      <c r="REX37" s="1551">
        <v>44150</v>
      </c>
      <c r="REY37" s="1551"/>
      <c r="REZ37" s="1551">
        <v>44150</v>
      </c>
      <c r="RFA37" s="1551">
        <v>44150</v>
      </c>
      <c r="RFB37" s="1551"/>
      <c r="RFC37" s="1551">
        <v>44150</v>
      </c>
      <c r="RFD37" s="1551"/>
      <c r="RFE37" s="1551">
        <v>44150</v>
      </c>
      <c r="RFF37" s="1551"/>
      <c r="RFG37" s="1551">
        <v>44150</v>
      </c>
      <c r="RFH37" s="1551">
        <v>44150</v>
      </c>
      <c r="RFI37" s="1551"/>
      <c r="RFJ37" s="1551">
        <v>44150</v>
      </c>
      <c r="RFK37" s="1551"/>
      <c r="RFL37" s="1551">
        <v>44150</v>
      </c>
      <c r="RFM37" s="1551"/>
      <c r="RFN37" s="1551">
        <v>44150</v>
      </c>
      <c r="RFO37" s="1551">
        <v>44150</v>
      </c>
      <c r="RFP37" s="1551"/>
      <c r="RFQ37" s="1551">
        <v>44150</v>
      </c>
      <c r="RFR37" s="1551"/>
      <c r="RFS37" s="1551">
        <v>44150</v>
      </c>
      <c r="RFT37" s="1551"/>
      <c r="RFU37" s="1551">
        <v>44150</v>
      </c>
      <c r="RFV37" s="1551">
        <v>44150</v>
      </c>
      <c r="RFW37" s="1551"/>
      <c r="RFX37" s="1551">
        <v>44150</v>
      </c>
      <c r="RFY37" s="1551"/>
      <c r="RFZ37" s="1551">
        <v>44150</v>
      </c>
      <c r="RGA37" s="1551"/>
      <c r="RGB37" s="1551">
        <v>44150</v>
      </c>
      <c r="RGC37" s="1551">
        <v>44150</v>
      </c>
      <c r="RGD37" s="1551"/>
      <c r="RGE37" s="1551">
        <v>44150</v>
      </c>
      <c r="RGF37" s="1551"/>
      <c r="RGG37" s="1551">
        <v>44150</v>
      </c>
      <c r="RGH37" s="1551"/>
      <c r="RGI37" s="1551">
        <v>44150</v>
      </c>
      <c r="RGJ37" s="1551">
        <v>44150</v>
      </c>
      <c r="RGK37" s="1551"/>
      <c r="RGL37" s="1551">
        <v>44150</v>
      </c>
      <c r="RGM37" s="1551"/>
      <c r="RGN37" s="1551">
        <v>44150</v>
      </c>
      <c r="RGO37" s="1551"/>
      <c r="RGP37" s="1551">
        <v>44150</v>
      </c>
      <c r="RGQ37" s="1551">
        <v>44150</v>
      </c>
      <c r="RGR37" s="1551"/>
      <c r="RGS37" s="1551">
        <v>44150</v>
      </c>
      <c r="RGT37" s="1551"/>
      <c r="RGU37" s="1551">
        <v>44150</v>
      </c>
      <c r="RGV37" s="1551"/>
      <c r="RGW37" s="1551">
        <v>44150</v>
      </c>
      <c r="RGX37" s="1551">
        <v>44150</v>
      </c>
      <c r="RGY37" s="1551"/>
      <c r="RGZ37" s="1551">
        <v>44150</v>
      </c>
      <c r="RHA37" s="1551"/>
      <c r="RHB37" s="1551">
        <v>44150</v>
      </c>
      <c r="RHC37" s="1551"/>
      <c r="RHD37" s="1551">
        <v>44150</v>
      </c>
      <c r="RHE37" s="1551">
        <v>44150</v>
      </c>
      <c r="RHF37" s="1551"/>
      <c r="RHG37" s="1551">
        <v>44150</v>
      </c>
      <c r="RHH37" s="1551"/>
      <c r="RHI37" s="1551">
        <v>44150</v>
      </c>
      <c r="RHJ37" s="1551"/>
      <c r="RHK37" s="1551">
        <v>44150</v>
      </c>
      <c r="RHL37" s="1551">
        <v>44150</v>
      </c>
      <c r="RHM37" s="1551"/>
      <c r="RHN37" s="1551">
        <v>44150</v>
      </c>
      <c r="RHO37" s="1551"/>
      <c r="RHP37" s="1551">
        <v>44150</v>
      </c>
      <c r="RHQ37" s="1551"/>
      <c r="RHR37" s="1551">
        <v>44150</v>
      </c>
      <c r="RHS37" s="1551">
        <v>44150</v>
      </c>
      <c r="RHT37" s="1551"/>
      <c r="RHU37" s="1551">
        <v>44150</v>
      </c>
      <c r="RHV37" s="1551"/>
      <c r="RHW37" s="1551">
        <v>44150</v>
      </c>
      <c r="RHX37" s="1551"/>
      <c r="RHY37" s="1551">
        <v>44150</v>
      </c>
      <c r="RHZ37" s="1551">
        <v>44150</v>
      </c>
      <c r="RIA37" s="1551"/>
      <c r="RIB37" s="1551">
        <v>44150</v>
      </c>
      <c r="RIC37" s="1551"/>
      <c r="RID37" s="1551">
        <v>44150</v>
      </c>
      <c r="RIE37" s="1551"/>
      <c r="RIF37" s="1551">
        <v>44150</v>
      </c>
      <c r="RIG37" s="1551">
        <v>44150</v>
      </c>
      <c r="RIH37" s="1551"/>
      <c r="RII37" s="1551">
        <v>44150</v>
      </c>
      <c r="RIJ37" s="1551"/>
      <c r="RIK37" s="1551">
        <v>44150</v>
      </c>
      <c r="RIL37" s="1551"/>
      <c r="RIM37" s="1551">
        <v>44150</v>
      </c>
      <c r="RIN37" s="1551">
        <v>44150</v>
      </c>
      <c r="RIO37" s="1551"/>
      <c r="RIP37" s="1551">
        <v>44150</v>
      </c>
      <c r="RIQ37" s="1551"/>
      <c r="RIR37" s="1551">
        <v>44150</v>
      </c>
      <c r="RIS37" s="1551"/>
      <c r="RIT37" s="1551">
        <v>44150</v>
      </c>
      <c r="RIU37" s="1551">
        <v>44150</v>
      </c>
      <c r="RIV37" s="1551"/>
      <c r="RIW37" s="1551">
        <v>44150</v>
      </c>
      <c r="RIX37" s="1551"/>
      <c r="RIY37" s="1551">
        <v>44150</v>
      </c>
      <c r="RIZ37" s="1551"/>
      <c r="RJA37" s="1551">
        <v>44150</v>
      </c>
      <c r="RJB37" s="1551">
        <v>44150</v>
      </c>
      <c r="RJC37" s="1551"/>
      <c r="RJD37" s="1551">
        <v>44150</v>
      </c>
      <c r="RJE37" s="1551"/>
      <c r="RJF37" s="1551">
        <v>44150</v>
      </c>
      <c r="RJG37" s="1551"/>
      <c r="RJH37" s="1551">
        <v>44150</v>
      </c>
      <c r="RJI37" s="1551">
        <v>44150</v>
      </c>
      <c r="RJJ37" s="1551"/>
      <c r="RJK37" s="1551">
        <v>44150</v>
      </c>
      <c r="RJL37" s="1551"/>
      <c r="RJM37" s="1551">
        <v>44150</v>
      </c>
      <c r="RJN37" s="1551"/>
      <c r="RJO37" s="1551">
        <v>44150</v>
      </c>
      <c r="RJP37" s="1551">
        <v>44150</v>
      </c>
      <c r="RJQ37" s="1551"/>
      <c r="RJR37" s="1551">
        <v>44150</v>
      </c>
      <c r="RJS37" s="1551"/>
      <c r="RJT37" s="1551">
        <v>44150</v>
      </c>
      <c r="RJU37" s="1551"/>
      <c r="RJV37" s="1551">
        <v>44150</v>
      </c>
      <c r="RJW37" s="1551">
        <v>44150</v>
      </c>
      <c r="RJX37" s="1551"/>
      <c r="RJY37" s="1551">
        <v>44150</v>
      </c>
      <c r="RJZ37" s="1551"/>
      <c r="RKA37" s="1551">
        <v>44150</v>
      </c>
      <c r="RKB37" s="1551"/>
      <c r="RKC37" s="1551">
        <v>44150</v>
      </c>
      <c r="RKD37" s="1551">
        <v>44150</v>
      </c>
      <c r="RKE37" s="1551"/>
      <c r="RKF37" s="1551">
        <v>44150</v>
      </c>
      <c r="RKG37" s="1551"/>
      <c r="RKH37" s="1551">
        <v>44150</v>
      </c>
      <c r="RKI37" s="1551"/>
      <c r="RKJ37" s="1551">
        <v>44150</v>
      </c>
      <c r="RKK37" s="1551">
        <v>44150</v>
      </c>
      <c r="RKL37" s="1551"/>
      <c r="RKM37" s="1551">
        <v>44150</v>
      </c>
      <c r="RKN37" s="1551"/>
      <c r="RKO37" s="1551">
        <v>44150</v>
      </c>
      <c r="RKP37" s="1551"/>
      <c r="RKQ37" s="1551">
        <v>44150</v>
      </c>
      <c r="RKR37" s="1551">
        <v>44150</v>
      </c>
      <c r="RKS37" s="1551"/>
      <c r="RKT37" s="1551">
        <v>44150</v>
      </c>
      <c r="RKU37" s="1551"/>
      <c r="RKV37" s="1551">
        <v>44150</v>
      </c>
      <c r="RKW37" s="1551"/>
      <c r="RKX37" s="1551">
        <v>44150</v>
      </c>
      <c r="RKY37" s="1551">
        <v>44150</v>
      </c>
      <c r="RKZ37" s="1551"/>
      <c r="RLA37" s="1551">
        <v>44150</v>
      </c>
      <c r="RLB37" s="1551"/>
      <c r="RLC37" s="1551">
        <v>44150</v>
      </c>
      <c r="RLD37" s="1551"/>
      <c r="RLE37" s="1551">
        <v>44150</v>
      </c>
      <c r="RLF37" s="1551">
        <v>44150</v>
      </c>
      <c r="RLG37" s="1551"/>
      <c r="RLH37" s="1551">
        <v>44150</v>
      </c>
      <c r="RLI37" s="1551"/>
      <c r="RLJ37" s="1551">
        <v>44150</v>
      </c>
      <c r="RLK37" s="1551"/>
      <c r="RLL37" s="1551">
        <v>44150</v>
      </c>
      <c r="RLM37" s="1551">
        <v>44150</v>
      </c>
      <c r="RLN37" s="1551"/>
      <c r="RLO37" s="1551">
        <v>44150</v>
      </c>
      <c r="RLP37" s="1551"/>
      <c r="RLQ37" s="1551">
        <v>44150</v>
      </c>
      <c r="RLR37" s="1551"/>
      <c r="RLS37" s="1551">
        <v>44150</v>
      </c>
      <c r="RLT37" s="1551">
        <v>44150</v>
      </c>
      <c r="RLU37" s="1551"/>
      <c r="RLV37" s="1551">
        <v>44150</v>
      </c>
      <c r="RLW37" s="1551"/>
      <c r="RLX37" s="1551">
        <v>44150</v>
      </c>
      <c r="RLY37" s="1551"/>
      <c r="RLZ37" s="1551">
        <v>44150</v>
      </c>
      <c r="RMA37" s="1551">
        <v>44150</v>
      </c>
      <c r="RMB37" s="1551"/>
      <c r="RMC37" s="1551">
        <v>44150</v>
      </c>
      <c r="RMD37" s="1551"/>
      <c r="RME37" s="1551">
        <v>44150</v>
      </c>
      <c r="RMF37" s="1551"/>
      <c r="RMG37" s="1551">
        <v>44150</v>
      </c>
      <c r="RMH37" s="1551">
        <v>44150</v>
      </c>
      <c r="RMI37" s="1551"/>
      <c r="RMJ37" s="1551">
        <v>44150</v>
      </c>
      <c r="RMK37" s="1551"/>
      <c r="RML37" s="1551">
        <v>44150</v>
      </c>
      <c r="RMM37" s="1551"/>
      <c r="RMN37" s="1551">
        <v>44150</v>
      </c>
      <c r="RMO37" s="1551">
        <v>44150</v>
      </c>
      <c r="RMP37" s="1551"/>
      <c r="RMQ37" s="1551">
        <v>44150</v>
      </c>
      <c r="RMR37" s="1551"/>
      <c r="RMS37" s="1551">
        <v>44150</v>
      </c>
      <c r="RMT37" s="1551"/>
      <c r="RMU37" s="1551">
        <v>44150</v>
      </c>
      <c r="RMV37" s="1551">
        <v>44150</v>
      </c>
      <c r="RMW37" s="1551"/>
      <c r="RMX37" s="1551">
        <v>44150</v>
      </c>
      <c r="RMY37" s="1551"/>
      <c r="RMZ37" s="1551">
        <v>44150</v>
      </c>
      <c r="RNA37" s="1551"/>
      <c r="RNB37" s="1551">
        <v>44150</v>
      </c>
      <c r="RNC37" s="1551">
        <v>44150</v>
      </c>
      <c r="RND37" s="1551"/>
      <c r="RNE37" s="1551">
        <v>44150</v>
      </c>
      <c r="RNF37" s="1551"/>
      <c r="RNG37" s="1551">
        <v>44150</v>
      </c>
      <c r="RNH37" s="1551"/>
      <c r="RNI37" s="1551">
        <v>44150</v>
      </c>
      <c r="RNJ37" s="1551">
        <v>44150</v>
      </c>
      <c r="RNK37" s="1551"/>
      <c r="RNL37" s="1551">
        <v>44150</v>
      </c>
      <c r="RNM37" s="1551"/>
      <c r="RNN37" s="1551">
        <v>44150</v>
      </c>
      <c r="RNO37" s="1551"/>
      <c r="RNP37" s="1551">
        <v>44150</v>
      </c>
      <c r="RNQ37" s="1551">
        <v>44150</v>
      </c>
      <c r="RNR37" s="1551"/>
      <c r="RNS37" s="1551">
        <v>44150</v>
      </c>
      <c r="RNT37" s="1551"/>
      <c r="RNU37" s="1551">
        <v>44150</v>
      </c>
      <c r="RNV37" s="1551"/>
      <c r="RNW37" s="1551">
        <v>44150</v>
      </c>
      <c r="RNX37" s="1551">
        <v>44150</v>
      </c>
      <c r="RNY37" s="1551"/>
      <c r="RNZ37" s="1551">
        <v>44150</v>
      </c>
      <c r="ROA37" s="1551"/>
      <c r="ROB37" s="1551">
        <v>44150</v>
      </c>
      <c r="ROC37" s="1551"/>
      <c r="ROD37" s="1551">
        <v>44150</v>
      </c>
      <c r="ROE37" s="1551">
        <v>44150</v>
      </c>
      <c r="ROF37" s="1551"/>
      <c r="ROG37" s="1551">
        <v>44150</v>
      </c>
      <c r="ROH37" s="1551"/>
      <c r="ROI37" s="1551">
        <v>44150</v>
      </c>
      <c r="ROJ37" s="1551"/>
      <c r="ROK37" s="1551">
        <v>44150</v>
      </c>
      <c r="ROL37" s="1551">
        <v>44150</v>
      </c>
      <c r="ROM37" s="1551"/>
      <c r="RON37" s="1551">
        <v>44150</v>
      </c>
      <c r="ROO37" s="1551"/>
      <c r="ROP37" s="1551">
        <v>44150</v>
      </c>
      <c r="ROQ37" s="1551"/>
      <c r="ROR37" s="1551">
        <v>44150</v>
      </c>
      <c r="ROS37" s="1551">
        <v>44150</v>
      </c>
      <c r="ROT37" s="1551"/>
      <c r="ROU37" s="1551">
        <v>44150</v>
      </c>
      <c r="ROV37" s="1551"/>
      <c r="ROW37" s="1551">
        <v>44150</v>
      </c>
      <c r="ROX37" s="1551"/>
      <c r="ROY37" s="1551">
        <v>44150</v>
      </c>
      <c r="ROZ37" s="1551">
        <v>44150</v>
      </c>
      <c r="RPA37" s="1551"/>
      <c r="RPB37" s="1551">
        <v>44150</v>
      </c>
      <c r="RPC37" s="1551"/>
      <c r="RPD37" s="1551">
        <v>44150</v>
      </c>
      <c r="RPE37" s="1551"/>
      <c r="RPF37" s="1551">
        <v>44150</v>
      </c>
      <c r="RPG37" s="1551">
        <v>44150</v>
      </c>
      <c r="RPH37" s="1551"/>
      <c r="RPI37" s="1551">
        <v>44150</v>
      </c>
      <c r="RPJ37" s="1551"/>
      <c r="RPK37" s="1551">
        <v>44150</v>
      </c>
      <c r="RPL37" s="1551"/>
      <c r="RPM37" s="1551">
        <v>44150</v>
      </c>
      <c r="RPN37" s="1551">
        <v>44150</v>
      </c>
      <c r="RPO37" s="1551"/>
      <c r="RPP37" s="1551">
        <v>44150</v>
      </c>
      <c r="RPQ37" s="1551"/>
      <c r="RPR37" s="1551">
        <v>44150</v>
      </c>
      <c r="RPS37" s="1551"/>
      <c r="RPT37" s="1551">
        <v>44150</v>
      </c>
      <c r="RPU37" s="1551">
        <v>44150</v>
      </c>
      <c r="RPV37" s="1551"/>
      <c r="RPW37" s="1551">
        <v>44150</v>
      </c>
      <c r="RPX37" s="1551"/>
      <c r="RPY37" s="1551">
        <v>44150</v>
      </c>
      <c r="RPZ37" s="1551"/>
      <c r="RQA37" s="1551">
        <v>44150</v>
      </c>
      <c r="RQB37" s="1551">
        <v>44150</v>
      </c>
      <c r="RQC37" s="1551"/>
      <c r="RQD37" s="1551">
        <v>44150</v>
      </c>
      <c r="RQE37" s="1551"/>
      <c r="RQF37" s="1551">
        <v>44150</v>
      </c>
      <c r="RQG37" s="1551"/>
      <c r="RQH37" s="1551">
        <v>44150</v>
      </c>
      <c r="RQI37" s="1551">
        <v>44150</v>
      </c>
      <c r="RQJ37" s="1551"/>
      <c r="RQK37" s="1551">
        <v>44150</v>
      </c>
      <c r="RQL37" s="1551"/>
      <c r="RQM37" s="1551">
        <v>44150</v>
      </c>
      <c r="RQN37" s="1551"/>
      <c r="RQO37" s="1551">
        <v>44150</v>
      </c>
      <c r="RQP37" s="1551">
        <v>44150</v>
      </c>
      <c r="RQQ37" s="1551"/>
      <c r="RQR37" s="1551">
        <v>44150</v>
      </c>
      <c r="RQS37" s="1551"/>
      <c r="RQT37" s="1551">
        <v>44150</v>
      </c>
      <c r="RQU37" s="1551"/>
      <c r="RQV37" s="1551">
        <v>44150</v>
      </c>
      <c r="RQW37" s="1551">
        <v>44150</v>
      </c>
      <c r="RQX37" s="1551"/>
      <c r="RQY37" s="1551">
        <v>44150</v>
      </c>
      <c r="RQZ37" s="1551"/>
      <c r="RRA37" s="1551">
        <v>44150</v>
      </c>
      <c r="RRB37" s="1551"/>
      <c r="RRC37" s="1551">
        <v>44150</v>
      </c>
      <c r="RRD37" s="1551">
        <v>44150</v>
      </c>
      <c r="RRE37" s="1551"/>
      <c r="RRF37" s="1551">
        <v>44150</v>
      </c>
      <c r="RRG37" s="1551"/>
      <c r="RRH37" s="1551">
        <v>44150</v>
      </c>
      <c r="RRI37" s="1551"/>
      <c r="RRJ37" s="1551">
        <v>44150</v>
      </c>
      <c r="RRK37" s="1551">
        <v>44150</v>
      </c>
      <c r="RRL37" s="1551"/>
      <c r="RRM37" s="1551">
        <v>44150</v>
      </c>
      <c r="RRN37" s="1551"/>
      <c r="RRO37" s="1551">
        <v>44150</v>
      </c>
      <c r="RRP37" s="1551"/>
      <c r="RRQ37" s="1551">
        <v>44150</v>
      </c>
      <c r="RRR37" s="1551">
        <v>44150</v>
      </c>
      <c r="RRS37" s="1551"/>
      <c r="RRT37" s="1551">
        <v>44150</v>
      </c>
      <c r="RRU37" s="1551"/>
      <c r="RRV37" s="1551">
        <v>44150</v>
      </c>
      <c r="RRW37" s="1551"/>
      <c r="RRX37" s="1551">
        <v>44150</v>
      </c>
      <c r="RRY37" s="1551">
        <v>44150</v>
      </c>
      <c r="RRZ37" s="1551"/>
      <c r="RSA37" s="1551">
        <v>44150</v>
      </c>
      <c r="RSB37" s="1551"/>
      <c r="RSC37" s="1551">
        <v>44150</v>
      </c>
      <c r="RSD37" s="1551"/>
      <c r="RSE37" s="1551">
        <v>44150</v>
      </c>
      <c r="RSF37" s="1551">
        <v>44150</v>
      </c>
      <c r="RSG37" s="1551"/>
      <c r="RSH37" s="1551">
        <v>44150</v>
      </c>
      <c r="RSI37" s="1551"/>
      <c r="RSJ37" s="1551">
        <v>44150</v>
      </c>
      <c r="RSK37" s="1551"/>
      <c r="RSL37" s="1551">
        <v>44150</v>
      </c>
      <c r="RSM37" s="1551">
        <v>44150</v>
      </c>
      <c r="RSN37" s="1551"/>
      <c r="RSO37" s="1551">
        <v>44150</v>
      </c>
      <c r="RSP37" s="1551"/>
      <c r="RSQ37" s="1551">
        <v>44150</v>
      </c>
      <c r="RSR37" s="1551"/>
      <c r="RSS37" s="1551">
        <v>44150</v>
      </c>
      <c r="RST37" s="1551">
        <v>44150</v>
      </c>
      <c r="RSU37" s="1551"/>
      <c r="RSV37" s="1551">
        <v>44150</v>
      </c>
      <c r="RSW37" s="1551"/>
      <c r="RSX37" s="1551">
        <v>44150</v>
      </c>
      <c r="RSY37" s="1551"/>
      <c r="RSZ37" s="1551">
        <v>44150</v>
      </c>
      <c r="RTA37" s="1551">
        <v>44150</v>
      </c>
      <c r="RTB37" s="1551"/>
      <c r="RTC37" s="1551">
        <v>44150</v>
      </c>
      <c r="RTD37" s="1551"/>
      <c r="RTE37" s="1551">
        <v>44150</v>
      </c>
      <c r="RTF37" s="1551"/>
      <c r="RTG37" s="1551">
        <v>44150</v>
      </c>
      <c r="RTH37" s="1551">
        <v>44150</v>
      </c>
      <c r="RTI37" s="1551"/>
      <c r="RTJ37" s="1551">
        <v>44150</v>
      </c>
      <c r="RTK37" s="1551"/>
      <c r="RTL37" s="1551">
        <v>44150</v>
      </c>
      <c r="RTM37" s="1551"/>
      <c r="RTN37" s="1551">
        <v>44150</v>
      </c>
      <c r="RTO37" s="1551">
        <v>44150</v>
      </c>
      <c r="RTP37" s="1551"/>
      <c r="RTQ37" s="1551">
        <v>44150</v>
      </c>
      <c r="RTR37" s="1551"/>
      <c r="RTS37" s="1551">
        <v>44150</v>
      </c>
      <c r="RTT37" s="1551"/>
      <c r="RTU37" s="1551">
        <v>44150</v>
      </c>
      <c r="RTV37" s="1551">
        <v>44150</v>
      </c>
      <c r="RTW37" s="1551"/>
      <c r="RTX37" s="1551">
        <v>44150</v>
      </c>
      <c r="RTY37" s="1551"/>
      <c r="RTZ37" s="1551">
        <v>44150</v>
      </c>
      <c r="RUA37" s="1551"/>
      <c r="RUB37" s="1551">
        <v>44150</v>
      </c>
      <c r="RUC37" s="1551">
        <v>44150</v>
      </c>
      <c r="RUD37" s="1551"/>
      <c r="RUE37" s="1551">
        <v>44150</v>
      </c>
      <c r="RUF37" s="1551"/>
      <c r="RUG37" s="1551">
        <v>44150</v>
      </c>
      <c r="RUH37" s="1551"/>
      <c r="RUI37" s="1551">
        <v>44150</v>
      </c>
      <c r="RUJ37" s="1551">
        <v>44150</v>
      </c>
      <c r="RUK37" s="1551"/>
      <c r="RUL37" s="1551">
        <v>44150</v>
      </c>
      <c r="RUM37" s="1551"/>
      <c r="RUN37" s="1551">
        <v>44150</v>
      </c>
      <c r="RUO37" s="1551"/>
      <c r="RUP37" s="1551">
        <v>44150</v>
      </c>
      <c r="RUQ37" s="1551">
        <v>44150</v>
      </c>
      <c r="RUR37" s="1551"/>
      <c r="RUS37" s="1551">
        <v>44150</v>
      </c>
      <c r="RUT37" s="1551"/>
      <c r="RUU37" s="1551">
        <v>44150</v>
      </c>
      <c r="RUV37" s="1551"/>
      <c r="RUW37" s="1551">
        <v>44150</v>
      </c>
      <c r="RUX37" s="1551">
        <v>44150</v>
      </c>
      <c r="RUY37" s="1551"/>
      <c r="RUZ37" s="1551">
        <v>44150</v>
      </c>
      <c r="RVA37" s="1551"/>
      <c r="RVB37" s="1551">
        <v>44150</v>
      </c>
      <c r="RVC37" s="1551"/>
      <c r="RVD37" s="1551">
        <v>44150</v>
      </c>
      <c r="RVE37" s="1551">
        <v>44150</v>
      </c>
      <c r="RVF37" s="1551"/>
      <c r="RVG37" s="1551">
        <v>44150</v>
      </c>
      <c r="RVH37" s="1551"/>
      <c r="RVI37" s="1551">
        <v>44150</v>
      </c>
      <c r="RVJ37" s="1551"/>
      <c r="RVK37" s="1551">
        <v>44150</v>
      </c>
      <c r="RVL37" s="1551">
        <v>44150</v>
      </c>
      <c r="RVM37" s="1551"/>
      <c r="RVN37" s="1551">
        <v>44150</v>
      </c>
      <c r="RVO37" s="1551"/>
      <c r="RVP37" s="1551">
        <v>44150</v>
      </c>
      <c r="RVQ37" s="1551"/>
      <c r="RVR37" s="1551">
        <v>44150</v>
      </c>
      <c r="RVS37" s="1551">
        <v>44150</v>
      </c>
      <c r="RVT37" s="1551"/>
      <c r="RVU37" s="1551">
        <v>44150</v>
      </c>
      <c r="RVV37" s="1551"/>
      <c r="RVW37" s="1551">
        <v>44150</v>
      </c>
      <c r="RVX37" s="1551"/>
      <c r="RVY37" s="1551">
        <v>44150</v>
      </c>
      <c r="RVZ37" s="1551">
        <v>44150</v>
      </c>
      <c r="RWA37" s="1551"/>
      <c r="RWB37" s="1551">
        <v>44150</v>
      </c>
      <c r="RWC37" s="1551"/>
      <c r="RWD37" s="1551">
        <v>44150</v>
      </c>
      <c r="RWE37" s="1551"/>
      <c r="RWF37" s="1551">
        <v>44150</v>
      </c>
      <c r="RWG37" s="1551">
        <v>44150</v>
      </c>
      <c r="RWH37" s="1551"/>
      <c r="RWI37" s="1551">
        <v>44150</v>
      </c>
      <c r="RWJ37" s="1551"/>
      <c r="RWK37" s="1551">
        <v>44150</v>
      </c>
      <c r="RWL37" s="1551"/>
      <c r="RWM37" s="1551">
        <v>44150</v>
      </c>
      <c r="RWN37" s="1551">
        <v>44150</v>
      </c>
      <c r="RWO37" s="1551"/>
      <c r="RWP37" s="1551">
        <v>44150</v>
      </c>
      <c r="RWQ37" s="1551"/>
      <c r="RWR37" s="1551">
        <v>44150</v>
      </c>
      <c r="RWS37" s="1551"/>
      <c r="RWT37" s="1551">
        <v>44150</v>
      </c>
      <c r="RWU37" s="1551">
        <v>44150</v>
      </c>
      <c r="RWV37" s="1551"/>
      <c r="RWW37" s="1551">
        <v>44150</v>
      </c>
      <c r="RWX37" s="1551"/>
      <c r="RWY37" s="1551">
        <v>44150</v>
      </c>
      <c r="RWZ37" s="1551"/>
      <c r="RXA37" s="1551">
        <v>44150</v>
      </c>
      <c r="RXB37" s="1551">
        <v>44150</v>
      </c>
      <c r="RXC37" s="1551"/>
      <c r="RXD37" s="1551">
        <v>44150</v>
      </c>
      <c r="RXE37" s="1551"/>
      <c r="RXF37" s="1551">
        <v>44150</v>
      </c>
      <c r="RXG37" s="1551"/>
      <c r="RXH37" s="1551">
        <v>44150</v>
      </c>
      <c r="RXI37" s="1551">
        <v>44150</v>
      </c>
      <c r="RXJ37" s="1551"/>
      <c r="RXK37" s="1551">
        <v>44150</v>
      </c>
      <c r="RXL37" s="1551"/>
      <c r="RXM37" s="1551">
        <v>44150</v>
      </c>
      <c r="RXN37" s="1551"/>
      <c r="RXO37" s="1551">
        <v>44150</v>
      </c>
      <c r="RXP37" s="1551">
        <v>44150</v>
      </c>
      <c r="RXQ37" s="1551"/>
      <c r="RXR37" s="1551">
        <v>44150</v>
      </c>
      <c r="RXS37" s="1551"/>
      <c r="RXT37" s="1551">
        <v>44150</v>
      </c>
      <c r="RXU37" s="1551"/>
      <c r="RXV37" s="1551">
        <v>44150</v>
      </c>
      <c r="RXW37" s="1551">
        <v>44150</v>
      </c>
      <c r="RXX37" s="1551"/>
      <c r="RXY37" s="1551">
        <v>44150</v>
      </c>
      <c r="RXZ37" s="1551"/>
      <c r="RYA37" s="1551">
        <v>44150</v>
      </c>
      <c r="RYB37" s="1551"/>
      <c r="RYC37" s="1551">
        <v>44150</v>
      </c>
      <c r="RYD37" s="1551">
        <v>44150</v>
      </c>
      <c r="RYE37" s="1551"/>
      <c r="RYF37" s="1551">
        <v>44150</v>
      </c>
      <c r="RYG37" s="1551"/>
      <c r="RYH37" s="1551">
        <v>44150</v>
      </c>
      <c r="RYI37" s="1551"/>
      <c r="RYJ37" s="1551">
        <v>44150</v>
      </c>
      <c r="RYK37" s="1551">
        <v>44150</v>
      </c>
      <c r="RYL37" s="1551"/>
      <c r="RYM37" s="1551">
        <v>44150</v>
      </c>
      <c r="RYN37" s="1551"/>
      <c r="RYO37" s="1551">
        <v>44150</v>
      </c>
      <c r="RYP37" s="1551"/>
      <c r="RYQ37" s="1551">
        <v>44150</v>
      </c>
      <c r="RYR37" s="1551">
        <v>44150</v>
      </c>
      <c r="RYS37" s="1551"/>
      <c r="RYT37" s="1551">
        <v>44150</v>
      </c>
      <c r="RYU37" s="1551"/>
      <c r="RYV37" s="1551">
        <v>44150</v>
      </c>
      <c r="RYW37" s="1551"/>
      <c r="RYX37" s="1551">
        <v>44150</v>
      </c>
      <c r="RYY37" s="1551">
        <v>44150</v>
      </c>
      <c r="RYZ37" s="1551"/>
      <c r="RZA37" s="1551">
        <v>44150</v>
      </c>
      <c r="RZB37" s="1551"/>
      <c r="RZC37" s="1551">
        <v>44150</v>
      </c>
      <c r="RZD37" s="1551"/>
      <c r="RZE37" s="1551">
        <v>44150</v>
      </c>
      <c r="RZF37" s="1551">
        <v>44150</v>
      </c>
      <c r="RZG37" s="1551"/>
      <c r="RZH37" s="1551">
        <v>44150</v>
      </c>
      <c r="RZI37" s="1551"/>
      <c r="RZJ37" s="1551">
        <v>44150</v>
      </c>
      <c r="RZK37" s="1551"/>
      <c r="RZL37" s="1551">
        <v>44150</v>
      </c>
      <c r="RZM37" s="1551">
        <v>44150</v>
      </c>
      <c r="RZN37" s="1551"/>
      <c r="RZO37" s="1551">
        <v>44150</v>
      </c>
      <c r="RZP37" s="1551"/>
      <c r="RZQ37" s="1551">
        <v>44150</v>
      </c>
      <c r="RZR37" s="1551"/>
      <c r="RZS37" s="1551">
        <v>44150</v>
      </c>
      <c r="RZT37" s="1551">
        <v>44150</v>
      </c>
      <c r="RZU37" s="1551"/>
      <c r="RZV37" s="1551">
        <v>44150</v>
      </c>
      <c r="RZW37" s="1551"/>
      <c r="RZX37" s="1551">
        <v>44150</v>
      </c>
      <c r="RZY37" s="1551"/>
      <c r="RZZ37" s="1551">
        <v>44150</v>
      </c>
      <c r="SAA37" s="1551">
        <v>44150</v>
      </c>
      <c r="SAB37" s="1551"/>
      <c r="SAC37" s="1551">
        <v>44150</v>
      </c>
      <c r="SAD37" s="1551"/>
      <c r="SAE37" s="1551">
        <v>44150</v>
      </c>
      <c r="SAF37" s="1551"/>
      <c r="SAG37" s="1551">
        <v>44150</v>
      </c>
      <c r="SAH37" s="1551">
        <v>44150</v>
      </c>
      <c r="SAI37" s="1551"/>
      <c r="SAJ37" s="1551">
        <v>44150</v>
      </c>
      <c r="SAK37" s="1551"/>
      <c r="SAL37" s="1551">
        <v>44150</v>
      </c>
      <c r="SAM37" s="1551"/>
      <c r="SAN37" s="1551">
        <v>44150</v>
      </c>
      <c r="SAO37" s="1551">
        <v>44150</v>
      </c>
      <c r="SAP37" s="1551"/>
      <c r="SAQ37" s="1551">
        <v>44150</v>
      </c>
      <c r="SAR37" s="1551"/>
      <c r="SAS37" s="1551">
        <v>44150</v>
      </c>
      <c r="SAT37" s="1551"/>
      <c r="SAU37" s="1551">
        <v>44150</v>
      </c>
      <c r="SAV37" s="1551">
        <v>44150</v>
      </c>
      <c r="SAW37" s="1551"/>
      <c r="SAX37" s="1551">
        <v>44150</v>
      </c>
      <c r="SAY37" s="1551"/>
      <c r="SAZ37" s="1551">
        <v>44150</v>
      </c>
      <c r="SBA37" s="1551"/>
      <c r="SBB37" s="1551">
        <v>44150</v>
      </c>
      <c r="SBC37" s="1551">
        <v>44150</v>
      </c>
      <c r="SBD37" s="1551"/>
      <c r="SBE37" s="1551">
        <v>44150</v>
      </c>
      <c r="SBF37" s="1551"/>
      <c r="SBG37" s="1551">
        <v>44150</v>
      </c>
      <c r="SBH37" s="1551"/>
      <c r="SBI37" s="1551">
        <v>44150</v>
      </c>
      <c r="SBJ37" s="1551">
        <v>44150</v>
      </c>
      <c r="SBK37" s="1551"/>
      <c r="SBL37" s="1551">
        <v>44150</v>
      </c>
      <c r="SBM37" s="1551"/>
      <c r="SBN37" s="1551">
        <v>44150</v>
      </c>
      <c r="SBO37" s="1551"/>
      <c r="SBP37" s="1551">
        <v>44150</v>
      </c>
      <c r="SBQ37" s="1551">
        <v>44150</v>
      </c>
      <c r="SBR37" s="1551"/>
      <c r="SBS37" s="1551">
        <v>44150</v>
      </c>
      <c r="SBT37" s="1551"/>
      <c r="SBU37" s="1551">
        <v>44150</v>
      </c>
      <c r="SBV37" s="1551"/>
      <c r="SBW37" s="1551">
        <v>44150</v>
      </c>
      <c r="SBX37" s="1551">
        <v>44150</v>
      </c>
      <c r="SBY37" s="1551"/>
      <c r="SBZ37" s="1551">
        <v>44150</v>
      </c>
      <c r="SCA37" s="1551"/>
      <c r="SCB37" s="1551">
        <v>44150</v>
      </c>
      <c r="SCC37" s="1551"/>
      <c r="SCD37" s="1551">
        <v>44150</v>
      </c>
      <c r="SCE37" s="1551">
        <v>44150</v>
      </c>
      <c r="SCF37" s="1551"/>
      <c r="SCG37" s="1551">
        <v>44150</v>
      </c>
      <c r="SCH37" s="1551"/>
      <c r="SCI37" s="1551">
        <v>44150</v>
      </c>
      <c r="SCJ37" s="1551"/>
      <c r="SCK37" s="1551">
        <v>44150</v>
      </c>
      <c r="SCL37" s="1551">
        <v>44150</v>
      </c>
      <c r="SCM37" s="1551"/>
      <c r="SCN37" s="1551">
        <v>44150</v>
      </c>
      <c r="SCO37" s="1551"/>
      <c r="SCP37" s="1551">
        <v>44150</v>
      </c>
      <c r="SCQ37" s="1551"/>
      <c r="SCR37" s="1551">
        <v>44150</v>
      </c>
      <c r="SCS37" s="1551">
        <v>44150</v>
      </c>
      <c r="SCT37" s="1551"/>
      <c r="SCU37" s="1551">
        <v>44150</v>
      </c>
      <c r="SCV37" s="1551"/>
      <c r="SCW37" s="1551">
        <v>44150</v>
      </c>
      <c r="SCX37" s="1551"/>
      <c r="SCY37" s="1551">
        <v>44150</v>
      </c>
      <c r="SCZ37" s="1551">
        <v>44150</v>
      </c>
      <c r="SDA37" s="1551"/>
      <c r="SDB37" s="1551">
        <v>44150</v>
      </c>
      <c r="SDC37" s="1551"/>
      <c r="SDD37" s="1551">
        <v>44150</v>
      </c>
      <c r="SDE37" s="1551"/>
      <c r="SDF37" s="1551">
        <v>44150</v>
      </c>
      <c r="SDG37" s="1551">
        <v>44150</v>
      </c>
      <c r="SDH37" s="1551"/>
      <c r="SDI37" s="1551">
        <v>44150</v>
      </c>
      <c r="SDJ37" s="1551"/>
      <c r="SDK37" s="1551">
        <v>44150</v>
      </c>
      <c r="SDL37" s="1551"/>
      <c r="SDM37" s="1551">
        <v>44150</v>
      </c>
      <c r="SDN37" s="1551">
        <v>44150</v>
      </c>
      <c r="SDO37" s="1551"/>
      <c r="SDP37" s="1551">
        <v>44150</v>
      </c>
      <c r="SDQ37" s="1551"/>
      <c r="SDR37" s="1551">
        <v>44150</v>
      </c>
      <c r="SDS37" s="1551"/>
      <c r="SDT37" s="1551">
        <v>44150</v>
      </c>
      <c r="SDU37" s="1551">
        <v>44150</v>
      </c>
      <c r="SDV37" s="1551"/>
      <c r="SDW37" s="1551">
        <v>44150</v>
      </c>
      <c r="SDX37" s="1551"/>
      <c r="SDY37" s="1551">
        <v>44150</v>
      </c>
      <c r="SDZ37" s="1551"/>
      <c r="SEA37" s="1551">
        <v>44150</v>
      </c>
      <c r="SEB37" s="1551">
        <v>44150</v>
      </c>
      <c r="SEC37" s="1551"/>
      <c r="SED37" s="1551">
        <v>44150</v>
      </c>
      <c r="SEE37" s="1551"/>
      <c r="SEF37" s="1551">
        <v>44150</v>
      </c>
      <c r="SEG37" s="1551"/>
      <c r="SEH37" s="1551">
        <v>44150</v>
      </c>
      <c r="SEI37" s="1551">
        <v>44150</v>
      </c>
      <c r="SEJ37" s="1551"/>
      <c r="SEK37" s="1551">
        <v>44150</v>
      </c>
      <c r="SEL37" s="1551"/>
      <c r="SEM37" s="1551">
        <v>44150</v>
      </c>
      <c r="SEN37" s="1551"/>
      <c r="SEO37" s="1551">
        <v>44150</v>
      </c>
      <c r="SEP37" s="1551">
        <v>44150</v>
      </c>
      <c r="SEQ37" s="1551"/>
      <c r="SER37" s="1551">
        <v>44150</v>
      </c>
      <c r="SES37" s="1551"/>
      <c r="SET37" s="1551">
        <v>44150</v>
      </c>
      <c r="SEU37" s="1551"/>
      <c r="SEV37" s="1551">
        <v>44150</v>
      </c>
      <c r="SEW37" s="1551">
        <v>44150</v>
      </c>
      <c r="SEX37" s="1551"/>
      <c r="SEY37" s="1551">
        <v>44150</v>
      </c>
      <c r="SEZ37" s="1551"/>
      <c r="SFA37" s="1551">
        <v>44150</v>
      </c>
      <c r="SFB37" s="1551"/>
      <c r="SFC37" s="1551">
        <v>44150</v>
      </c>
      <c r="SFD37" s="1551">
        <v>44150</v>
      </c>
      <c r="SFE37" s="1551"/>
      <c r="SFF37" s="1551">
        <v>44150</v>
      </c>
      <c r="SFG37" s="1551"/>
      <c r="SFH37" s="1551">
        <v>44150</v>
      </c>
      <c r="SFI37" s="1551"/>
      <c r="SFJ37" s="1551">
        <v>44150</v>
      </c>
      <c r="SFK37" s="1551">
        <v>44150</v>
      </c>
      <c r="SFL37" s="1551"/>
      <c r="SFM37" s="1551">
        <v>44150</v>
      </c>
      <c r="SFN37" s="1551"/>
      <c r="SFO37" s="1551">
        <v>44150</v>
      </c>
      <c r="SFP37" s="1551"/>
      <c r="SFQ37" s="1551">
        <v>44150</v>
      </c>
      <c r="SFR37" s="1551">
        <v>44150</v>
      </c>
      <c r="SFS37" s="1551"/>
      <c r="SFT37" s="1551">
        <v>44150</v>
      </c>
      <c r="SFU37" s="1551"/>
      <c r="SFV37" s="1551">
        <v>44150</v>
      </c>
      <c r="SFW37" s="1551"/>
      <c r="SFX37" s="1551">
        <v>44150</v>
      </c>
      <c r="SFY37" s="1551">
        <v>44150</v>
      </c>
      <c r="SFZ37" s="1551"/>
      <c r="SGA37" s="1551">
        <v>44150</v>
      </c>
      <c r="SGB37" s="1551"/>
      <c r="SGC37" s="1551">
        <v>44150</v>
      </c>
      <c r="SGD37" s="1551"/>
      <c r="SGE37" s="1551">
        <v>44150</v>
      </c>
      <c r="SGF37" s="1551">
        <v>44150</v>
      </c>
      <c r="SGG37" s="1551"/>
      <c r="SGH37" s="1551">
        <v>44150</v>
      </c>
      <c r="SGI37" s="1551"/>
      <c r="SGJ37" s="1551">
        <v>44150</v>
      </c>
      <c r="SGK37" s="1551"/>
      <c r="SGL37" s="1551">
        <v>44150</v>
      </c>
      <c r="SGM37" s="1551">
        <v>44150</v>
      </c>
      <c r="SGN37" s="1551"/>
      <c r="SGO37" s="1551">
        <v>44150</v>
      </c>
      <c r="SGP37" s="1551"/>
      <c r="SGQ37" s="1551">
        <v>44150</v>
      </c>
      <c r="SGR37" s="1551"/>
      <c r="SGS37" s="1551">
        <v>44150</v>
      </c>
      <c r="SGT37" s="1551">
        <v>44150</v>
      </c>
      <c r="SGU37" s="1551"/>
      <c r="SGV37" s="1551">
        <v>44150</v>
      </c>
      <c r="SGW37" s="1551"/>
      <c r="SGX37" s="1551">
        <v>44150</v>
      </c>
      <c r="SGY37" s="1551"/>
      <c r="SGZ37" s="1551">
        <v>44150</v>
      </c>
      <c r="SHA37" s="1551">
        <v>44150</v>
      </c>
      <c r="SHB37" s="1551"/>
      <c r="SHC37" s="1551">
        <v>44150</v>
      </c>
      <c r="SHD37" s="1551"/>
      <c r="SHE37" s="1551">
        <v>44150</v>
      </c>
      <c r="SHF37" s="1551"/>
      <c r="SHG37" s="1551">
        <v>44150</v>
      </c>
      <c r="SHH37" s="1551">
        <v>44150</v>
      </c>
      <c r="SHI37" s="1551"/>
      <c r="SHJ37" s="1551">
        <v>44150</v>
      </c>
      <c r="SHK37" s="1551"/>
      <c r="SHL37" s="1551">
        <v>44150</v>
      </c>
      <c r="SHM37" s="1551"/>
      <c r="SHN37" s="1551">
        <v>44150</v>
      </c>
      <c r="SHO37" s="1551">
        <v>44150</v>
      </c>
      <c r="SHP37" s="1551"/>
      <c r="SHQ37" s="1551">
        <v>44150</v>
      </c>
      <c r="SHR37" s="1551"/>
      <c r="SHS37" s="1551">
        <v>44150</v>
      </c>
      <c r="SHT37" s="1551"/>
      <c r="SHU37" s="1551">
        <v>44150</v>
      </c>
      <c r="SHV37" s="1551">
        <v>44150</v>
      </c>
      <c r="SHW37" s="1551"/>
      <c r="SHX37" s="1551">
        <v>44150</v>
      </c>
      <c r="SHY37" s="1551"/>
      <c r="SHZ37" s="1551">
        <v>44150</v>
      </c>
      <c r="SIA37" s="1551"/>
      <c r="SIB37" s="1551">
        <v>44150</v>
      </c>
      <c r="SIC37" s="1551">
        <v>44150</v>
      </c>
      <c r="SID37" s="1551"/>
      <c r="SIE37" s="1551">
        <v>44150</v>
      </c>
      <c r="SIF37" s="1551"/>
      <c r="SIG37" s="1551">
        <v>44150</v>
      </c>
      <c r="SIH37" s="1551"/>
      <c r="SII37" s="1551">
        <v>44150</v>
      </c>
      <c r="SIJ37" s="1551">
        <v>44150</v>
      </c>
      <c r="SIK37" s="1551"/>
      <c r="SIL37" s="1551">
        <v>44150</v>
      </c>
      <c r="SIM37" s="1551"/>
      <c r="SIN37" s="1551">
        <v>44150</v>
      </c>
      <c r="SIO37" s="1551"/>
      <c r="SIP37" s="1551">
        <v>44150</v>
      </c>
      <c r="SIQ37" s="1551">
        <v>44150</v>
      </c>
      <c r="SIR37" s="1551"/>
      <c r="SIS37" s="1551">
        <v>44150</v>
      </c>
      <c r="SIT37" s="1551"/>
      <c r="SIU37" s="1551">
        <v>44150</v>
      </c>
      <c r="SIV37" s="1551"/>
      <c r="SIW37" s="1551">
        <v>44150</v>
      </c>
      <c r="SIX37" s="1551">
        <v>44150</v>
      </c>
      <c r="SIY37" s="1551"/>
      <c r="SIZ37" s="1551">
        <v>44150</v>
      </c>
      <c r="SJA37" s="1551"/>
      <c r="SJB37" s="1551">
        <v>44150</v>
      </c>
      <c r="SJC37" s="1551"/>
      <c r="SJD37" s="1551">
        <v>44150</v>
      </c>
      <c r="SJE37" s="1551">
        <v>44150</v>
      </c>
      <c r="SJF37" s="1551"/>
      <c r="SJG37" s="1551">
        <v>44150</v>
      </c>
      <c r="SJH37" s="1551"/>
      <c r="SJI37" s="1551">
        <v>44150</v>
      </c>
      <c r="SJJ37" s="1551"/>
      <c r="SJK37" s="1551">
        <v>44150</v>
      </c>
      <c r="SJL37" s="1551">
        <v>44150</v>
      </c>
      <c r="SJM37" s="1551"/>
      <c r="SJN37" s="1551">
        <v>44150</v>
      </c>
      <c r="SJO37" s="1551"/>
      <c r="SJP37" s="1551">
        <v>44150</v>
      </c>
      <c r="SJQ37" s="1551"/>
      <c r="SJR37" s="1551">
        <v>44150</v>
      </c>
      <c r="SJS37" s="1551">
        <v>44150</v>
      </c>
      <c r="SJT37" s="1551"/>
      <c r="SJU37" s="1551">
        <v>44150</v>
      </c>
      <c r="SJV37" s="1551"/>
      <c r="SJW37" s="1551">
        <v>44150</v>
      </c>
      <c r="SJX37" s="1551"/>
      <c r="SJY37" s="1551">
        <v>44150</v>
      </c>
      <c r="SJZ37" s="1551">
        <v>44150</v>
      </c>
      <c r="SKA37" s="1551"/>
      <c r="SKB37" s="1551">
        <v>44150</v>
      </c>
      <c r="SKC37" s="1551"/>
      <c r="SKD37" s="1551">
        <v>44150</v>
      </c>
      <c r="SKE37" s="1551"/>
      <c r="SKF37" s="1551">
        <v>44150</v>
      </c>
      <c r="SKG37" s="1551">
        <v>44150</v>
      </c>
      <c r="SKH37" s="1551"/>
      <c r="SKI37" s="1551">
        <v>44150</v>
      </c>
      <c r="SKJ37" s="1551"/>
      <c r="SKK37" s="1551">
        <v>44150</v>
      </c>
      <c r="SKL37" s="1551"/>
      <c r="SKM37" s="1551">
        <v>44150</v>
      </c>
      <c r="SKN37" s="1551">
        <v>44150</v>
      </c>
      <c r="SKO37" s="1551"/>
      <c r="SKP37" s="1551">
        <v>44150</v>
      </c>
      <c r="SKQ37" s="1551"/>
      <c r="SKR37" s="1551">
        <v>44150</v>
      </c>
      <c r="SKS37" s="1551"/>
      <c r="SKT37" s="1551">
        <v>44150</v>
      </c>
      <c r="SKU37" s="1551">
        <v>44150</v>
      </c>
      <c r="SKV37" s="1551"/>
      <c r="SKW37" s="1551">
        <v>44150</v>
      </c>
      <c r="SKX37" s="1551"/>
      <c r="SKY37" s="1551">
        <v>44150</v>
      </c>
      <c r="SKZ37" s="1551"/>
      <c r="SLA37" s="1551">
        <v>44150</v>
      </c>
      <c r="SLB37" s="1551">
        <v>44150</v>
      </c>
      <c r="SLC37" s="1551"/>
      <c r="SLD37" s="1551">
        <v>44150</v>
      </c>
      <c r="SLE37" s="1551"/>
      <c r="SLF37" s="1551">
        <v>44150</v>
      </c>
      <c r="SLG37" s="1551"/>
      <c r="SLH37" s="1551">
        <v>44150</v>
      </c>
      <c r="SLI37" s="1551">
        <v>44150</v>
      </c>
      <c r="SLJ37" s="1551"/>
      <c r="SLK37" s="1551">
        <v>44150</v>
      </c>
      <c r="SLL37" s="1551"/>
      <c r="SLM37" s="1551">
        <v>44150</v>
      </c>
      <c r="SLN37" s="1551"/>
      <c r="SLO37" s="1551">
        <v>44150</v>
      </c>
      <c r="SLP37" s="1551">
        <v>44150</v>
      </c>
      <c r="SLQ37" s="1551"/>
      <c r="SLR37" s="1551">
        <v>44150</v>
      </c>
      <c r="SLS37" s="1551"/>
      <c r="SLT37" s="1551">
        <v>44150</v>
      </c>
      <c r="SLU37" s="1551"/>
      <c r="SLV37" s="1551">
        <v>44150</v>
      </c>
      <c r="SLW37" s="1551">
        <v>44150</v>
      </c>
      <c r="SLX37" s="1551"/>
      <c r="SLY37" s="1551">
        <v>44150</v>
      </c>
      <c r="SLZ37" s="1551"/>
      <c r="SMA37" s="1551">
        <v>44150</v>
      </c>
      <c r="SMB37" s="1551"/>
      <c r="SMC37" s="1551">
        <v>44150</v>
      </c>
      <c r="SMD37" s="1551">
        <v>44150</v>
      </c>
      <c r="SME37" s="1551"/>
      <c r="SMF37" s="1551">
        <v>44150</v>
      </c>
      <c r="SMG37" s="1551"/>
      <c r="SMH37" s="1551">
        <v>44150</v>
      </c>
      <c r="SMI37" s="1551"/>
      <c r="SMJ37" s="1551">
        <v>44150</v>
      </c>
      <c r="SMK37" s="1551">
        <v>44150</v>
      </c>
      <c r="SML37" s="1551"/>
      <c r="SMM37" s="1551">
        <v>44150</v>
      </c>
      <c r="SMN37" s="1551"/>
      <c r="SMO37" s="1551">
        <v>44150</v>
      </c>
      <c r="SMP37" s="1551"/>
      <c r="SMQ37" s="1551">
        <v>44150</v>
      </c>
      <c r="SMR37" s="1551">
        <v>44150</v>
      </c>
      <c r="SMS37" s="1551"/>
      <c r="SMT37" s="1551">
        <v>44150</v>
      </c>
      <c r="SMU37" s="1551"/>
      <c r="SMV37" s="1551">
        <v>44150</v>
      </c>
      <c r="SMW37" s="1551"/>
      <c r="SMX37" s="1551">
        <v>44150</v>
      </c>
      <c r="SMY37" s="1551">
        <v>44150</v>
      </c>
      <c r="SMZ37" s="1551"/>
      <c r="SNA37" s="1551">
        <v>44150</v>
      </c>
      <c r="SNB37" s="1551"/>
      <c r="SNC37" s="1551">
        <v>44150</v>
      </c>
      <c r="SND37" s="1551"/>
      <c r="SNE37" s="1551">
        <v>44150</v>
      </c>
      <c r="SNF37" s="1551">
        <v>44150</v>
      </c>
      <c r="SNG37" s="1551"/>
      <c r="SNH37" s="1551">
        <v>44150</v>
      </c>
      <c r="SNI37" s="1551"/>
      <c r="SNJ37" s="1551">
        <v>44150</v>
      </c>
      <c r="SNK37" s="1551"/>
      <c r="SNL37" s="1551">
        <v>44150</v>
      </c>
      <c r="SNM37" s="1551">
        <v>44150</v>
      </c>
      <c r="SNN37" s="1551"/>
      <c r="SNO37" s="1551">
        <v>44150</v>
      </c>
      <c r="SNP37" s="1551"/>
      <c r="SNQ37" s="1551">
        <v>44150</v>
      </c>
      <c r="SNR37" s="1551"/>
      <c r="SNS37" s="1551">
        <v>44150</v>
      </c>
      <c r="SNT37" s="1551">
        <v>44150</v>
      </c>
      <c r="SNU37" s="1551"/>
      <c r="SNV37" s="1551">
        <v>44150</v>
      </c>
      <c r="SNW37" s="1551"/>
      <c r="SNX37" s="1551">
        <v>44150</v>
      </c>
      <c r="SNY37" s="1551"/>
      <c r="SNZ37" s="1551">
        <v>44150</v>
      </c>
      <c r="SOA37" s="1551">
        <v>44150</v>
      </c>
      <c r="SOB37" s="1551"/>
      <c r="SOC37" s="1551">
        <v>44150</v>
      </c>
      <c r="SOD37" s="1551"/>
      <c r="SOE37" s="1551">
        <v>44150</v>
      </c>
      <c r="SOF37" s="1551"/>
      <c r="SOG37" s="1551">
        <v>44150</v>
      </c>
      <c r="SOH37" s="1551">
        <v>44150</v>
      </c>
      <c r="SOI37" s="1551"/>
      <c r="SOJ37" s="1551">
        <v>44150</v>
      </c>
      <c r="SOK37" s="1551"/>
      <c r="SOL37" s="1551">
        <v>44150</v>
      </c>
      <c r="SOM37" s="1551"/>
      <c r="SON37" s="1551">
        <v>44150</v>
      </c>
      <c r="SOO37" s="1551">
        <v>44150</v>
      </c>
      <c r="SOP37" s="1551"/>
      <c r="SOQ37" s="1551">
        <v>44150</v>
      </c>
      <c r="SOR37" s="1551"/>
      <c r="SOS37" s="1551">
        <v>44150</v>
      </c>
      <c r="SOT37" s="1551"/>
      <c r="SOU37" s="1551">
        <v>44150</v>
      </c>
      <c r="SOV37" s="1551">
        <v>44150</v>
      </c>
      <c r="SOW37" s="1551"/>
      <c r="SOX37" s="1551">
        <v>44150</v>
      </c>
      <c r="SOY37" s="1551"/>
      <c r="SOZ37" s="1551">
        <v>44150</v>
      </c>
      <c r="SPA37" s="1551"/>
      <c r="SPB37" s="1551">
        <v>44150</v>
      </c>
      <c r="SPC37" s="1551">
        <v>44150</v>
      </c>
      <c r="SPD37" s="1551"/>
      <c r="SPE37" s="1551">
        <v>44150</v>
      </c>
      <c r="SPF37" s="1551"/>
      <c r="SPG37" s="1551">
        <v>44150</v>
      </c>
      <c r="SPH37" s="1551"/>
      <c r="SPI37" s="1551">
        <v>44150</v>
      </c>
      <c r="SPJ37" s="1551">
        <v>44150</v>
      </c>
      <c r="SPK37" s="1551"/>
      <c r="SPL37" s="1551">
        <v>44150</v>
      </c>
      <c r="SPM37" s="1551"/>
      <c r="SPN37" s="1551">
        <v>44150</v>
      </c>
      <c r="SPO37" s="1551"/>
      <c r="SPP37" s="1551">
        <v>44150</v>
      </c>
      <c r="SPQ37" s="1551">
        <v>44150</v>
      </c>
      <c r="SPR37" s="1551"/>
      <c r="SPS37" s="1551">
        <v>44150</v>
      </c>
      <c r="SPT37" s="1551"/>
      <c r="SPU37" s="1551">
        <v>44150</v>
      </c>
      <c r="SPV37" s="1551"/>
      <c r="SPW37" s="1551">
        <v>44150</v>
      </c>
      <c r="SPX37" s="1551">
        <v>44150</v>
      </c>
      <c r="SPY37" s="1551"/>
      <c r="SPZ37" s="1551">
        <v>44150</v>
      </c>
      <c r="SQA37" s="1551"/>
      <c r="SQB37" s="1551">
        <v>44150</v>
      </c>
      <c r="SQC37" s="1551"/>
      <c r="SQD37" s="1551">
        <v>44150</v>
      </c>
      <c r="SQE37" s="1551">
        <v>44150</v>
      </c>
      <c r="SQF37" s="1551"/>
      <c r="SQG37" s="1551">
        <v>44150</v>
      </c>
      <c r="SQH37" s="1551"/>
      <c r="SQI37" s="1551">
        <v>44150</v>
      </c>
      <c r="SQJ37" s="1551"/>
      <c r="SQK37" s="1551">
        <v>44150</v>
      </c>
      <c r="SQL37" s="1551">
        <v>44150</v>
      </c>
      <c r="SQM37" s="1551"/>
      <c r="SQN37" s="1551">
        <v>44150</v>
      </c>
      <c r="SQO37" s="1551"/>
      <c r="SQP37" s="1551">
        <v>44150</v>
      </c>
      <c r="SQQ37" s="1551"/>
      <c r="SQR37" s="1551">
        <v>44150</v>
      </c>
      <c r="SQS37" s="1551">
        <v>44150</v>
      </c>
      <c r="SQT37" s="1551"/>
      <c r="SQU37" s="1551">
        <v>44150</v>
      </c>
      <c r="SQV37" s="1551"/>
      <c r="SQW37" s="1551">
        <v>44150</v>
      </c>
      <c r="SQX37" s="1551"/>
      <c r="SQY37" s="1551">
        <v>44150</v>
      </c>
      <c r="SQZ37" s="1551">
        <v>44150</v>
      </c>
      <c r="SRA37" s="1551"/>
      <c r="SRB37" s="1551">
        <v>44150</v>
      </c>
      <c r="SRC37" s="1551"/>
      <c r="SRD37" s="1551">
        <v>44150</v>
      </c>
      <c r="SRE37" s="1551"/>
      <c r="SRF37" s="1551">
        <v>44150</v>
      </c>
      <c r="SRG37" s="1551">
        <v>44150</v>
      </c>
      <c r="SRH37" s="1551"/>
      <c r="SRI37" s="1551">
        <v>44150</v>
      </c>
      <c r="SRJ37" s="1551"/>
      <c r="SRK37" s="1551">
        <v>44150</v>
      </c>
      <c r="SRL37" s="1551"/>
      <c r="SRM37" s="1551">
        <v>44150</v>
      </c>
      <c r="SRN37" s="1551">
        <v>44150</v>
      </c>
      <c r="SRO37" s="1551"/>
      <c r="SRP37" s="1551">
        <v>44150</v>
      </c>
      <c r="SRQ37" s="1551"/>
      <c r="SRR37" s="1551">
        <v>44150</v>
      </c>
      <c r="SRS37" s="1551"/>
      <c r="SRT37" s="1551">
        <v>44150</v>
      </c>
      <c r="SRU37" s="1551">
        <v>44150</v>
      </c>
      <c r="SRV37" s="1551"/>
      <c r="SRW37" s="1551">
        <v>44150</v>
      </c>
      <c r="SRX37" s="1551"/>
      <c r="SRY37" s="1551">
        <v>44150</v>
      </c>
      <c r="SRZ37" s="1551"/>
      <c r="SSA37" s="1551">
        <v>44150</v>
      </c>
      <c r="SSB37" s="1551">
        <v>44150</v>
      </c>
      <c r="SSC37" s="1551"/>
      <c r="SSD37" s="1551">
        <v>44150</v>
      </c>
      <c r="SSE37" s="1551"/>
      <c r="SSF37" s="1551">
        <v>44150</v>
      </c>
      <c r="SSG37" s="1551"/>
      <c r="SSH37" s="1551">
        <v>44150</v>
      </c>
      <c r="SSI37" s="1551">
        <v>44150</v>
      </c>
      <c r="SSJ37" s="1551"/>
      <c r="SSK37" s="1551">
        <v>44150</v>
      </c>
      <c r="SSL37" s="1551"/>
      <c r="SSM37" s="1551">
        <v>44150</v>
      </c>
      <c r="SSN37" s="1551"/>
      <c r="SSO37" s="1551">
        <v>44150</v>
      </c>
      <c r="SSP37" s="1551">
        <v>44150</v>
      </c>
      <c r="SSQ37" s="1551"/>
      <c r="SSR37" s="1551">
        <v>44150</v>
      </c>
      <c r="SSS37" s="1551"/>
      <c r="SST37" s="1551">
        <v>44150</v>
      </c>
      <c r="SSU37" s="1551"/>
      <c r="SSV37" s="1551">
        <v>44150</v>
      </c>
      <c r="SSW37" s="1551">
        <v>44150</v>
      </c>
      <c r="SSX37" s="1551"/>
      <c r="SSY37" s="1551">
        <v>44150</v>
      </c>
      <c r="SSZ37" s="1551"/>
      <c r="STA37" s="1551">
        <v>44150</v>
      </c>
      <c r="STB37" s="1551"/>
      <c r="STC37" s="1551">
        <v>44150</v>
      </c>
      <c r="STD37" s="1551">
        <v>44150</v>
      </c>
      <c r="STE37" s="1551"/>
      <c r="STF37" s="1551">
        <v>44150</v>
      </c>
      <c r="STG37" s="1551"/>
      <c r="STH37" s="1551">
        <v>44150</v>
      </c>
      <c r="STI37" s="1551"/>
      <c r="STJ37" s="1551">
        <v>44150</v>
      </c>
      <c r="STK37" s="1551">
        <v>44150</v>
      </c>
      <c r="STL37" s="1551"/>
      <c r="STM37" s="1551">
        <v>44150</v>
      </c>
      <c r="STN37" s="1551"/>
      <c r="STO37" s="1551">
        <v>44150</v>
      </c>
      <c r="STP37" s="1551"/>
      <c r="STQ37" s="1551">
        <v>44150</v>
      </c>
      <c r="STR37" s="1551">
        <v>44150</v>
      </c>
      <c r="STS37" s="1551"/>
      <c r="STT37" s="1551">
        <v>44150</v>
      </c>
      <c r="STU37" s="1551"/>
      <c r="STV37" s="1551">
        <v>44150</v>
      </c>
      <c r="STW37" s="1551"/>
      <c r="STX37" s="1551">
        <v>44150</v>
      </c>
      <c r="STY37" s="1551">
        <v>44150</v>
      </c>
      <c r="STZ37" s="1551"/>
      <c r="SUA37" s="1551">
        <v>44150</v>
      </c>
      <c r="SUB37" s="1551"/>
      <c r="SUC37" s="1551">
        <v>44150</v>
      </c>
      <c r="SUD37" s="1551"/>
      <c r="SUE37" s="1551">
        <v>44150</v>
      </c>
      <c r="SUF37" s="1551">
        <v>44150</v>
      </c>
      <c r="SUG37" s="1551"/>
      <c r="SUH37" s="1551">
        <v>44150</v>
      </c>
      <c r="SUI37" s="1551"/>
      <c r="SUJ37" s="1551">
        <v>44150</v>
      </c>
      <c r="SUK37" s="1551"/>
      <c r="SUL37" s="1551">
        <v>44150</v>
      </c>
      <c r="SUM37" s="1551">
        <v>44150</v>
      </c>
      <c r="SUN37" s="1551"/>
      <c r="SUO37" s="1551">
        <v>44150</v>
      </c>
      <c r="SUP37" s="1551"/>
      <c r="SUQ37" s="1551">
        <v>44150</v>
      </c>
      <c r="SUR37" s="1551"/>
      <c r="SUS37" s="1551">
        <v>44150</v>
      </c>
      <c r="SUT37" s="1551">
        <v>44150</v>
      </c>
      <c r="SUU37" s="1551"/>
      <c r="SUV37" s="1551">
        <v>44150</v>
      </c>
      <c r="SUW37" s="1551"/>
      <c r="SUX37" s="1551">
        <v>44150</v>
      </c>
      <c r="SUY37" s="1551"/>
      <c r="SUZ37" s="1551">
        <v>44150</v>
      </c>
      <c r="SVA37" s="1551">
        <v>44150</v>
      </c>
      <c r="SVB37" s="1551"/>
      <c r="SVC37" s="1551">
        <v>44150</v>
      </c>
      <c r="SVD37" s="1551"/>
      <c r="SVE37" s="1551">
        <v>44150</v>
      </c>
      <c r="SVF37" s="1551"/>
      <c r="SVG37" s="1551">
        <v>44150</v>
      </c>
      <c r="SVH37" s="1551">
        <v>44150</v>
      </c>
      <c r="SVI37" s="1551"/>
      <c r="SVJ37" s="1551">
        <v>44150</v>
      </c>
      <c r="SVK37" s="1551"/>
      <c r="SVL37" s="1551">
        <v>44150</v>
      </c>
      <c r="SVM37" s="1551"/>
      <c r="SVN37" s="1551">
        <v>44150</v>
      </c>
      <c r="SVO37" s="1551">
        <v>44150</v>
      </c>
      <c r="SVP37" s="1551"/>
      <c r="SVQ37" s="1551">
        <v>44150</v>
      </c>
      <c r="SVR37" s="1551"/>
      <c r="SVS37" s="1551">
        <v>44150</v>
      </c>
      <c r="SVT37" s="1551"/>
      <c r="SVU37" s="1551">
        <v>44150</v>
      </c>
      <c r="SVV37" s="1551">
        <v>44150</v>
      </c>
      <c r="SVW37" s="1551"/>
      <c r="SVX37" s="1551">
        <v>44150</v>
      </c>
      <c r="SVY37" s="1551"/>
      <c r="SVZ37" s="1551">
        <v>44150</v>
      </c>
      <c r="SWA37" s="1551"/>
      <c r="SWB37" s="1551">
        <v>44150</v>
      </c>
      <c r="SWC37" s="1551">
        <v>44150</v>
      </c>
      <c r="SWD37" s="1551"/>
      <c r="SWE37" s="1551">
        <v>44150</v>
      </c>
      <c r="SWF37" s="1551"/>
      <c r="SWG37" s="1551">
        <v>44150</v>
      </c>
      <c r="SWH37" s="1551"/>
      <c r="SWI37" s="1551">
        <v>44150</v>
      </c>
      <c r="SWJ37" s="1551">
        <v>44150</v>
      </c>
      <c r="SWK37" s="1551"/>
      <c r="SWL37" s="1551">
        <v>44150</v>
      </c>
      <c r="SWM37" s="1551"/>
      <c r="SWN37" s="1551">
        <v>44150</v>
      </c>
      <c r="SWO37" s="1551"/>
      <c r="SWP37" s="1551">
        <v>44150</v>
      </c>
      <c r="SWQ37" s="1551">
        <v>44150</v>
      </c>
      <c r="SWR37" s="1551"/>
      <c r="SWS37" s="1551">
        <v>44150</v>
      </c>
      <c r="SWT37" s="1551"/>
      <c r="SWU37" s="1551">
        <v>44150</v>
      </c>
      <c r="SWV37" s="1551"/>
      <c r="SWW37" s="1551">
        <v>44150</v>
      </c>
      <c r="SWX37" s="1551">
        <v>44150</v>
      </c>
      <c r="SWY37" s="1551"/>
      <c r="SWZ37" s="1551">
        <v>44150</v>
      </c>
      <c r="SXA37" s="1551"/>
      <c r="SXB37" s="1551">
        <v>44150</v>
      </c>
      <c r="SXC37" s="1551"/>
      <c r="SXD37" s="1551">
        <v>44150</v>
      </c>
      <c r="SXE37" s="1551">
        <v>44150</v>
      </c>
      <c r="SXF37" s="1551"/>
      <c r="SXG37" s="1551">
        <v>44150</v>
      </c>
      <c r="SXH37" s="1551"/>
      <c r="SXI37" s="1551">
        <v>44150</v>
      </c>
      <c r="SXJ37" s="1551"/>
      <c r="SXK37" s="1551">
        <v>44150</v>
      </c>
      <c r="SXL37" s="1551">
        <v>44150</v>
      </c>
      <c r="SXM37" s="1551"/>
      <c r="SXN37" s="1551">
        <v>44150</v>
      </c>
      <c r="SXO37" s="1551"/>
      <c r="SXP37" s="1551">
        <v>44150</v>
      </c>
      <c r="SXQ37" s="1551"/>
      <c r="SXR37" s="1551">
        <v>44150</v>
      </c>
      <c r="SXS37" s="1551">
        <v>44150</v>
      </c>
      <c r="SXT37" s="1551"/>
      <c r="SXU37" s="1551">
        <v>44150</v>
      </c>
      <c r="SXV37" s="1551"/>
      <c r="SXW37" s="1551">
        <v>44150</v>
      </c>
      <c r="SXX37" s="1551"/>
      <c r="SXY37" s="1551">
        <v>44150</v>
      </c>
      <c r="SXZ37" s="1551">
        <v>44150</v>
      </c>
      <c r="SYA37" s="1551"/>
      <c r="SYB37" s="1551">
        <v>44150</v>
      </c>
      <c r="SYC37" s="1551"/>
      <c r="SYD37" s="1551">
        <v>44150</v>
      </c>
      <c r="SYE37" s="1551"/>
      <c r="SYF37" s="1551">
        <v>44150</v>
      </c>
      <c r="SYG37" s="1551">
        <v>44150</v>
      </c>
      <c r="SYH37" s="1551"/>
      <c r="SYI37" s="1551">
        <v>44150</v>
      </c>
      <c r="SYJ37" s="1551"/>
      <c r="SYK37" s="1551">
        <v>44150</v>
      </c>
      <c r="SYL37" s="1551"/>
      <c r="SYM37" s="1551">
        <v>44150</v>
      </c>
      <c r="SYN37" s="1551">
        <v>44150</v>
      </c>
      <c r="SYO37" s="1551"/>
      <c r="SYP37" s="1551">
        <v>44150</v>
      </c>
      <c r="SYQ37" s="1551"/>
      <c r="SYR37" s="1551">
        <v>44150</v>
      </c>
      <c r="SYS37" s="1551"/>
      <c r="SYT37" s="1551">
        <v>44150</v>
      </c>
      <c r="SYU37" s="1551">
        <v>44150</v>
      </c>
      <c r="SYV37" s="1551"/>
      <c r="SYW37" s="1551">
        <v>44150</v>
      </c>
      <c r="SYX37" s="1551"/>
      <c r="SYY37" s="1551">
        <v>44150</v>
      </c>
      <c r="SYZ37" s="1551"/>
      <c r="SZA37" s="1551">
        <v>44150</v>
      </c>
      <c r="SZB37" s="1551">
        <v>44150</v>
      </c>
      <c r="SZC37" s="1551"/>
      <c r="SZD37" s="1551">
        <v>44150</v>
      </c>
      <c r="SZE37" s="1551"/>
      <c r="SZF37" s="1551">
        <v>44150</v>
      </c>
      <c r="SZG37" s="1551"/>
      <c r="SZH37" s="1551">
        <v>44150</v>
      </c>
      <c r="SZI37" s="1551">
        <v>44150</v>
      </c>
      <c r="SZJ37" s="1551"/>
      <c r="SZK37" s="1551">
        <v>44150</v>
      </c>
      <c r="SZL37" s="1551"/>
      <c r="SZM37" s="1551">
        <v>44150</v>
      </c>
      <c r="SZN37" s="1551"/>
      <c r="SZO37" s="1551">
        <v>44150</v>
      </c>
      <c r="SZP37" s="1551">
        <v>44150</v>
      </c>
      <c r="SZQ37" s="1551"/>
      <c r="SZR37" s="1551">
        <v>44150</v>
      </c>
      <c r="SZS37" s="1551"/>
      <c r="SZT37" s="1551">
        <v>44150</v>
      </c>
      <c r="SZU37" s="1551"/>
      <c r="SZV37" s="1551">
        <v>44150</v>
      </c>
      <c r="SZW37" s="1551">
        <v>44150</v>
      </c>
      <c r="SZX37" s="1551"/>
      <c r="SZY37" s="1551">
        <v>44150</v>
      </c>
      <c r="SZZ37" s="1551"/>
      <c r="TAA37" s="1551">
        <v>44150</v>
      </c>
      <c r="TAB37" s="1551"/>
      <c r="TAC37" s="1551">
        <v>44150</v>
      </c>
      <c r="TAD37" s="1551">
        <v>44150</v>
      </c>
      <c r="TAE37" s="1551"/>
      <c r="TAF37" s="1551">
        <v>44150</v>
      </c>
      <c r="TAG37" s="1551"/>
      <c r="TAH37" s="1551">
        <v>44150</v>
      </c>
      <c r="TAI37" s="1551"/>
      <c r="TAJ37" s="1551">
        <v>44150</v>
      </c>
      <c r="TAK37" s="1551">
        <v>44150</v>
      </c>
      <c r="TAL37" s="1551"/>
      <c r="TAM37" s="1551">
        <v>44150</v>
      </c>
      <c r="TAN37" s="1551"/>
      <c r="TAO37" s="1551">
        <v>44150</v>
      </c>
      <c r="TAP37" s="1551"/>
      <c r="TAQ37" s="1551">
        <v>44150</v>
      </c>
      <c r="TAR37" s="1551">
        <v>44150</v>
      </c>
      <c r="TAS37" s="1551"/>
      <c r="TAT37" s="1551">
        <v>44150</v>
      </c>
      <c r="TAU37" s="1551"/>
      <c r="TAV37" s="1551">
        <v>44150</v>
      </c>
      <c r="TAW37" s="1551"/>
      <c r="TAX37" s="1551">
        <v>44150</v>
      </c>
      <c r="TAY37" s="1551">
        <v>44150</v>
      </c>
      <c r="TAZ37" s="1551"/>
      <c r="TBA37" s="1551">
        <v>44150</v>
      </c>
      <c r="TBB37" s="1551"/>
      <c r="TBC37" s="1551">
        <v>44150</v>
      </c>
      <c r="TBD37" s="1551"/>
      <c r="TBE37" s="1551">
        <v>44150</v>
      </c>
      <c r="TBF37" s="1551">
        <v>44150</v>
      </c>
      <c r="TBG37" s="1551"/>
      <c r="TBH37" s="1551">
        <v>44150</v>
      </c>
      <c r="TBI37" s="1551"/>
      <c r="TBJ37" s="1551">
        <v>44150</v>
      </c>
      <c r="TBK37" s="1551"/>
      <c r="TBL37" s="1551">
        <v>44150</v>
      </c>
      <c r="TBM37" s="1551">
        <v>44150</v>
      </c>
      <c r="TBN37" s="1551"/>
      <c r="TBO37" s="1551">
        <v>44150</v>
      </c>
      <c r="TBP37" s="1551"/>
      <c r="TBQ37" s="1551">
        <v>44150</v>
      </c>
      <c r="TBR37" s="1551"/>
      <c r="TBS37" s="1551">
        <v>44150</v>
      </c>
      <c r="TBT37" s="1551">
        <v>44150</v>
      </c>
      <c r="TBU37" s="1551"/>
      <c r="TBV37" s="1551">
        <v>44150</v>
      </c>
      <c r="TBW37" s="1551"/>
      <c r="TBX37" s="1551">
        <v>44150</v>
      </c>
      <c r="TBY37" s="1551"/>
      <c r="TBZ37" s="1551">
        <v>44150</v>
      </c>
      <c r="TCA37" s="1551">
        <v>44150</v>
      </c>
      <c r="TCB37" s="1551"/>
      <c r="TCC37" s="1551">
        <v>44150</v>
      </c>
      <c r="TCD37" s="1551"/>
      <c r="TCE37" s="1551">
        <v>44150</v>
      </c>
      <c r="TCF37" s="1551"/>
      <c r="TCG37" s="1551">
        <v>44150</v>
      </c>
      <c r="TCH37" s="1551">
        <v>44150</v>
      </c>
      <c r="TCI37" s="1551"/>
      <c r="TCJ37" s="1551">
        <v>44150</v>
      </c>
      <c r="TCK37" s="1551"/>
      <c r="TCL37" s="1551">
        <v>44150</v>
      </c>
      <c r="TCM37" s="1551"/>
      <c r="TCN37" s="1551">
        <v>44150</v>
      </c>
      <c r="TCO37" s="1551">
        <v>44150</v>
      </c>
      <c r="TCP37" s="1551"/>
      <c r="TCQ37" s="1551">
        <v>44150</v>
      </c>
      <c r="TCR37" s="1551"/>
      <c r="TCS37" s="1551">
        <v>44150</v>
      </c>
      <c r="TCT37" s="1551"/>
      <c r="TCU37" s="1551">
        <v>44150</v>
      </c>
      <c r="TCV37" s="1551">
        <v>44150</v>
      </c>
      <c r="TCW37" s="1551"/>
      <c r="TCX37" s="1551">
        <v>44150</v>
      </c>
      <c r="TCY37" s="1551"/>
      <c r="TCZ37" s="1551">
        <v>44150</v>
      </c>
      <c r="TDA37" s="1551"/>
      <c r="TDB37" s="1551">
        <v>44150</v>
      </c>
      <c r="TDC37" s="1551">
        <v>44150</v>
      </c>
      <c r="TDD37" s="1551"/>
      <c r="TDE37" s="1551">
        <v>44150</v>
      </c>
      <c r="TDF37" s="1551"/>
      <c r="TDG37" s="1551">
        <v>44150</v>
      </c>
      <c r="TDH37" s="1551"/>
      <c r="TDI37" s="1551">
        <v>44150</v>
      </c>
      <c r="TDJ37" s="1551">
        <v>44150</v>
      </c>
      <c r="TDK37" s="1551"/>
      <c r="TDL37" s="1551">
        <v>44150</v>
      </c>
      <c r="TDM37" s="1551"/>
      <c r="TDN37" s="1551">
        <v>44150</v>
      </c>
      <c r="TDO37" s="1551"/>
      <c r="TDP37" s="1551">
        <v>44150</v>
      </c>
      <c r="TDQ37" s="1551">
        <v>44150</v>
      </c>
      <c r="TDR37" s="1551"/>
      <c r="TDS37" s="1551">
        <v>44150</v>
      </c>
      <c r="TDT37" s="1551"/>
      <c r="TDU37" s="1551">
        <v>44150</v>
      </c>
      <c r="TDV37" s="1551"/>
      <c r="TDW37" s="1551">
        <v>44150</v>
      </c>
      <c r="TDX37" s="1551">
        <v>44150</v>
      </c>
      <c r="TDY37" s="1551"/>
      <c r="TDZ37" s="1551">
        <v>44150</v>
      </c>
      <c r="TEA37" s="1551"/>
      <c r="TEB37" s="1551">
        <v>44150</v>
      </c>
      <c r="TEC37" s="1551"/>
      <c r="TED37" s="1551">
        <v>44150</v>
      </c>
      <c r="TEE37" s="1551">
        <v>44150</v>
      </c>
      <c r="TEF37" s="1551"/>
      <c r="TEG37" s="1551">
        <v>44150</v>
      </c>
      <c r="TEH37" s="1551"/>
      <c r="TEI37" s="1551">
        <v>44150</v>
      </c>
      <c r="TEJ37" s="1551"/>
      <c r="TEK37" s="1551">
        <v>44150</v>
      </c>
      <c r="TEL37" s="1551">
        <v>44150</v>
      </c>
      <c r="TEM37" s="1551"/>
      <c r="TEN37" s="1551">
        <v>44150</v>
      </c>
      <c r="TEO37" s="1551"/>
      <c r="TEP37" s="1551">
        <v>44150</v>
      </c>
      <c r="TEQ37" s="1551"/>
      <c r="TER37" s="1551">
        <v>44150</v>
      </c>
      <c r="TES37" s="1551">
        <v>44150</v>
      </c>
      <c r="TET37" s="1551"/>
      <c r="TEU37" s="1551">
        <v>44150</v>
      </c>
      <c r="TEV37" s="1551"/>
      <c r="TEW37" s="1551">
        <v>44150</v>
      </c>
      <c r="TEX37" s="1551"/>
      <c r="TEY37" s="1551">
        <v>44150</v>
      </c>
      <c r="TEZ37" s="1551">
        <v>44150</v>
      </c>
      <c r="TFA37" s="1551"/>
      <c r="TFB37" s="1551">
        <v>44150</v>
      </c>
      <c r="TFC37" s="1551"/>
      <c r="TFD37" s="1551">
        <v>44150</v>
      </c>
      <c r="TFE37" s="1551"/>
      <c r="TFF37" s="1551">
        <v>44150</v>
      </c>
      <c r="TFG37" s="1551">
        <v>44150</v>
      </c>
      <c r="TFH37" s="1551"/>
      <c r="TFI37" s="1551">
        <v>44150</v>
      </c>
      <c r="TFJ37" s="1551"/>
      <c r="TFK37" s="1551">
        <v>44150</v>
      </c>
      <c r="TFL37" s="1551"/>
      <c r="TFM37" s="1551">
        <v>44150</v>
      </c>
      <c r="TFN37" s="1551">
        <v>44150</v>
      </c>
      <c r="TFO37" s="1551"/>
      <c r="TFP37" s="1551">
        <v>44150</v>
      </c>
      <c r="TFQ37" s="1551"/>
      <c r="TFR37" s="1551">
        <v>44150</v>
      </c>
      <c r="TFS37" s="1551"/>
      <c r="TFT37" s="1551">
        <v>44150</v>
      </c>
      <c r="TFU37" s="1551">
        <v>44150</v>
      </c>
      <c r="TFV37" s="1551"/>
      <c r="TFW37" s="1551">
        <v>44150</v>
      </c>
      <c r="TFX37" s="1551"/>
      <c r="TFY37" s="1551">
        <v>44150</v>
      </c>
      <c r="TFZ37" s="1551"/>
      <c r="TGA37" s="1551">
        <v>44150</v>
      </c>
      <c r="TGB37" s="1551">
        <v>44150</v>
      </c>
      <c r="TGC37" s="1551"/>
      <c r="TGD37" s="1551">
        <v>44150</v>
      </c>
      <c r="TGE37" s="1551"/>
      <c r="TGF37" s="1551">
        <v>44150</v>
      </c>
      <c r="TGG37" s="1551"/>
      <c r="TGH37" s="1551">
        <v>44150</v>
      </c>
      <c r="TGI37" s="1551">
        <v>44150</v>
      </c>
      <c r="TGJ37" s="1551"/>
      <c r="TGK37" s="1551">
        <v>44150</v>
      </c>
      <c r="TGL37" s="1551"/>
      <c r="TGM37" s="1551">
        <v>44150</v>
      </c>
      <c r="TGN37" s="1551"/>
      <c r="TGO37" s="1551">
        <v>44150</v>
      </c>
      <c r="TGP37" s="1551">
        <v>44150</v>
      </c>
      <c r="TGQ37" s="1551"/>
      <c r="TGR37" s="1551">
        <v>44150</v>
      </c>
      <c r="TGS37" s="1551"/>
      <c r="TGT37" s="1551">
        <v>44150</v>
      </c>
      <c r="TGU37" s="1551"/>
      <c r="TGV37" s="1551">
        <v>44150</v>
      </c>
      <c r="TGW37" s="1551">
        <v>44150</v>
      </c>
      <c r="TGX37" s="1551"/>
      <c r="TGY37" s="1551">
        <v>44150</v>
      </c>
      <c r="TGZ37" s="1551"/>
      <c r="THA37" s="1551">
        <v>44150</v>
      </c>
      <c r="THB37" s="1551"/>
      <c r="THC37" s="1551">
        <v>44150</v>
      </c>
      <c r="THD37" s="1551">
        <v>44150</v>
      </c>
      <c r="THE37" s="1551"/>
      <c r="THF37" s="1551">
        <v>44150</v>
      </c>
      <c r="THG37" s="1551"/>
      <c r="THH37" s="1551">
        <v>44150</v>
      </c>
      <c r="THI37" s="1551"/>
      <c r="THJ37" s="1551">
        <v>44150</v>
      </c>
      <c r="THK37" s="1551">
        <v>44150</v>
      </c>
      <c r="THL37" s="1551"/>
      <c r="THM37" s="1551">
        <v>44150</v>
      </c>
      <c r="THN37" s="1551"/>
      <c r="THO37" s="1551">
        <v>44150</v>
      </c>
      <c r="THP37" s="1551"/>
      <c r="THQ37" s="1551">
        <v>44150</v>
      </c>
      <c r="THR37" s="1551">
        <v>44150</v>
      </c>
      <c r="THS37" s="1551"/>
      <c r="THT37" s="1551">
        <v>44150</v>
      </c>
      <c r="THU37" s="1551"/>
      <c r="THV37" s="1551">
        <v>44150</v>
      </c>
      <c r="THW37" s="1551"/>
      <c r="THX37" s="1551">
        <v>44150</v>
      </c>
      <c r="THY37" s="1551">
        <v>44150</v>
      </c>
      <c r="THZ37" s="1551"/>
      <c r="TIA37" s="1551">
        <v>44150</v>
      </c>
      <c r="TIB37" s="1551"/>
      <c r="TIC37" s="1551">
        <v>44150</v>
      </c>
      <c r="TID37" s="1551"/>
      <c r="TIE37" s="1551">
        <v>44150</v>
      </c>
      <c r="TIF37" s="1551">
        <v>44150</v>
      </c>
      <c r="TIG37" s="1551"/>
      <c r="TIH37" s="1551">
        <v>44150</v>
      </c>
      <c r="TII37" s="1551"/>
      <c r="TIJ37" s="1551">
        <v>44150</v>
      </c>
      <c r="TIK37" s="1551"/>
      <c r="TIL37" s="1551">
        <v>44150</v>
      </c>
      <c r="TIM37" s="1551">
        <v>44150</v>
      </c>
      <c r="TIN37" s="1551"/>
      <c r="TIO37" s="1551">
        <v>44150</v>
      </c>
      <c r="TIP37" s="1551"/>
      <c r="TIQ37" s="1551">
        <v>44150</v>
      </c>
      <c r="TIR37" s="1551"/>
      <c r="TIS37" s="1551">
        <v>44150</v>
      </c>
      <c r="TIT37" s="1551">
        <v>44150</v>
      </c>
      <c r="TIU37" s="1551"/>
      <c r="TIV37" s="1551">
        <v>44150</v>
      </c>
      <c r="TIW37" s="1551"/>
      <c r="TIX37" s="1551">
        <v>44150</v>
      </c>
      <c r="TIY37" s="1551"/>
      <c r="TIZ37" s="1551">
        <v>44150</v>
      </c>
      <c r="TJA37" s="1551">
        <v>44150</v>
      </c>
      <c r="TJB37" s="1551"/>
      <c r="TJC37" s="1551">
        <v>44150</v>
      </c>
      <c r="TJD37" s="1551"/>
      <c r="TJE37" s="1551">
        <v>44150</v>
      </c>
      <c r="TJF37" s="1551"/>
      <c r="TJG37" s="1551">
        <v>44150</v>
      </c>
      <c r="TJH37" s="1551">
        <v>44150</v>
      </c>
      <c r="TJI37" s="1551"/>
      <c r="TJJ37" s="1551">
        <v>44150</v>
      </c>
      <c r="TJK37" s="1551"/>
      <c r="TJL37" s="1551">
        <v>44150</v>
      </c>
      <c r="TJM37" s="1551"/>
      <c r="TJN37" s="1551">
        <v>44150</v>
      </c>
      <c r="TJO37" s="1551">
        <v>44150</v>
      </c>
      <c r="TJP37" s="1551"/>
      <c r="TJQ37" s="1551">
        <v>44150</v>
      </c>
      <c r="TJR37" s="1551"/>
      <c r="TJS37" s="1551">
        <v>44150</v>
      </c>
      <c r="TJT37" s="1551"/>
      <c r="TJU37" s="1551">
        <v>44150</v>
      </c>
      <c r="TJV37" s="1551">
        <v>44150</v>
      </c>
      <c r="TJW37" s="1551"/>
      <c r="TJX37" s="1551">
        <v>44150</v>
      </c>
      <c r="TJY37" s="1551"/>
      <c r="TJZ37" s="1551">
        <v>44150</v>
      </c>
      <c r="TKA37" s="1551"/>
      <c r="TKB37" s="1551">
        <v>44150</v>
      </c>
      <c r="TKC37" s="1551">
        <v>44150</v>
      </c>
      <c r="TKD37" s="1551"/>
      <c r="TKE37" s="1551">
        <v>44150</v>
      </c>
      <c r="TKF37" s="1551"/>
      <c r="TKG37" s="1551">
        <v>44150</v>
      </c>
      <c r="TKH37" s="1551"/>
      <c r="TKI37" s="1551">
        <v>44150</v>
      </c>
      <c r="TKJ37" s="1551">
        <v>44150</v>
      </c>
      <c r="TKK37" s="1551"/>
      <c r="TKL37" s="1551">
        <v>44150</v>
      </c>
      <c r="TKM37" s="1551"/>
      <c r="TKN37" s="1551">
        <v>44150</v>
      </c>
      <c r="TKO37" s="1551"/>
      <c r="TKP37" s="1551">
        <v>44150</v>
      </c>
      <c r="TKQ37" s="1551">
        <v>44150</v>
      </c>
      <c r="TKR37" s="1551"/>
      <c r="TKS37" s="1551">
        <v>44150</v>
      </c>
      <c r="TKT37" s="1551"/>
      <c r="TKU37" s="1551">
        <v>44150</v>
      </c>
      <c r="TKV37" s="1551"/>
      <c r="TKW37" s="1551">
        <v>44150</v>
      </c>
      <c r="TKX37" s="1551">
        <v>44150</v>
      </c>
      <c r="TKY37" s="1551"/>
      <c r="TKZ37" s="1551">
        <v>44150</v>
      </c>
      <c r="TLA37" s="1551"/>
      <c r="TLB37" s="1551">
        <v>44150</v>
      </c>
      <c r="TLC37" s="1551"/>
      <c r="TLD37" s="1551">
        <v>44150</v>
      </c>
      <c r="TLE37" s="1551">
        <v>44150</v>
      </c>
      <c r="TLF37" s="1551"/>
      <c r="TLG37" s="1551">
        <v>44150</v>
      </c>
      <c r="TLH37" s="1551"/>
      <c r="TLI37" s="1551">
        <v>44150</v>
      </c>
      <c r="TLJ37" s="1551"/>
      <c r="TLK37" s="1551">
        <v>44150</v>
      </c>
      <c r="TLL37" s="1551">
        <v>44150</v>
      </c>
      <c r="TLM37" s="1551"/>
      <c r="TLN37" s="1551">
        <v>44150</v>
      </c>
      <c r="TLO37" s="1551"/>
      <c r="TLP37" s="1551">
        <v>44150</v>
      </c>
      <c r="TLQ37" s="1551"/>
      <c r="TLR37" s="1551">
        <v>44150</v>
      </c>
      <c r="TLS37" s="1551">
        <v>44150</v>
      </c>
      <c r="TLT37" s="1551"/>
      <c r="TLU37" s="1551">
        <v>44150</v>
      </c>
      <c r="TLV37" s="1551"/>
      <c r="TLW37" s="1551">
        <v>44150</v>
      </c>
      <c r="TLX37" s="1551"/>
      <c r="TLY37" s="1551">
        <v>44150</v>
      </c>
      <c r="TLZ37" s="1551">
        <v>44150</v>
      </c>
      <c r="TMA37" s="1551"/>
      <c r="TMB37" s="1551">
        <v>44150</v>
      </c>
      <c r="TMC37" s="1551"/>
      <c r="TMD37" s="1551">
        <v>44150</v>
      </c>
      <c r="TME37" s="1551"/>
      <c r="TMF37" s="1551">
        <v>44150</v>
      </c>
      <c r="TMG37" s="1551">
        <v>44150</v>
      </c>
      <c r="TMH37" s="1551"/>
      <c r="TMI37" s="1551">
        <v>44150</v>
      </c>
      <c r="TMJ37" s="1551"/>
      <c r="TMK37" s="1551">
        <v>44150</v>
      </c>
      <c r="TML37" s="1551"/>
      <c r="TMM37" s="1551">
        <v>44150</v>
      </c>
      <c r="TMN37" s="1551">
        <v>44150</v>
      </c>
      <c r="TMO37" s="1551"/>
      <c r="TMP37" s="1551">
        <v>44150</v>
      </c>
      <c r="TMQ37" s="1551"/>
      <c r="TMR37" s="1551">
        <v>44150</v>
      </c>
      <c r="TMS37" s="1551"/>
      <c r="TMT37" s="1551">
        <v>44150</v>
      </c>
      <c r="TMU37" s="1551">
        <v>44150</v>
      </c>
      <c r="TMV37" s="1551"/>
      <c r="TMW37" s="1551">
        <v>44150</v>
      </c>
      <c r="TMX37" s="1551"/>
      <c r="TMY37" s="1551">
        <v>44150</v>
      </c>
      <c r="TMZ37" s="1551"/>
      <c r="TNA37" s="1551">
        <v>44150</v>
      </c>
      <c r="TNB37" s="1551">
        <v>44150</v>
      </c>
      <c r="TNC37" s="1551"/>
      <c r="TND37" s="1551">
        <v>44150</v>
      </c>
      <c r="TNE37" s="1551"/>
      <c r="TNF37" s="1551">
        <v>44150</v>
      </c>
      <c r="TNG37" s="1551"/>
      <c r="TNH37" s="1551">
        <v>44150</v>
      </c>
      <c r="TNI37" s="1551">
        <v>44150</v>
      </c>
      <c r="TNJ37" s="1551"/>
      <c r="TNK37" s="1551">
        <v>44150</v>
      </c>
      <c r="TNL37" s="1551"/>
      <c r="TNM37" s="1551">
        <v>44150</v>
      </c>
      <c r="TNN37" s="1551"/>
      <c r="TNO37" s="1551">
        <v>44150</v>
      </c>
      <c r="TNP37" s="1551">
        <v>44150</v>
      </c>
      <c r="TNQ37" s="1551"/>
      <c r="TNR37" s="1551">
        <v>44150</v>
      </c>
      <c r="TNS37" s="1551"/>
      <c r="TNT37" s="1551">
        <v>44150</v>
      </c>
      <c r="TNU37" s="1551"/>
      <c r="TNV37" s="1551">
        <v>44150</v>
      </c>
      <c r="TNW37" s="1551">
        <v>44150</v>
      </c>
      <c r="TNX37" s="1551"/>
      <c r="TNY37" s="1551">
        <v>44150</v>
      </c>
      <c r="TNZ37" s="1551"/>
      <c r="TOA37" s="1551">
        <v>44150</v>
      </c>
      <c r="TOB37" s="1551"/>
      <c r="TOC37" s="1551">
        <v>44150</v>
      </c>
      <c r="TOD37" s="1551">
        <v>44150</v>
      </c>
      <c r="TOE37" s="1551"/>
      <c r="TOF37" s="1551">
        <v>44150</v>
      </c>
      <c r="TOG37" s="1551"/>
      <c r="TOH37" s="1551">
        <v>44150</v>
      </c>
      <c r="TOI37" s="1551"/>
      <c r="TOJ37" s="1551">
        <v>44150</v>
      </c>
      <c r="TOK37" s="1551">
        <v>44150</v>
      </c>
      <c r="TOL37" s="1551"/>
      <c r="TOM37" s="1551">
        <v>44150</v>
      </c>
      <c r="TON37" s="1551"/>
      <c r="TOO37" s="1551">
        <v>44150</v>
      </c>
      <c r="TOP37" s="1551"/>
      <c r="TOQ37" s="1551">
        <v>44150</v>
      </c>
      <c r="TOR37" s="1551">
        <v>44150</v>
      </c>
      <c r="TOS37" s="1551"/>
      <c r="TOT37" s="1551">
        <v>44150</v>
      </c>
      <c r="TOU37" s="1551"/>
      <c r="TOV37" s="1551">
        <v>44150</v>
      </c>
      <c r="TOW37" s="1551"/>
      <c r="TOX37" s="1551">
        <v>44150</v>
      </c>
      <c r="TOY37" s="1551">
        <v>44150</v>
      </c>
      <c r="TOZ37" s="1551"/>
      <c r="TPA37" s="1551">
        <v>44150</v>
      </c>
      <c r="TPB37" s="1551"/>
      <c r="TPC37" s="1551">
        <v>44150</v>
      </c>
      <c r="TPD37" s="1551"/>
      <c r="TPE37" s="1551">
        <v>44150</v>
      </c>
      <c r="TPF37" s="1551">
        <v>44150</v>
      </c>
      <c r="TPG37" s="1551"/>
      <c r="TPH37" s="1551">
        <v>44150</v>
      </c>
      <c r="TPI37" s="1551"/>
      <c r="TPJ37" s="1551">
        <v>44150</v>
      </c>
      <c r="TPK37" s="1551"/>
      <c r="TPL37" s="1551">
        <v>44150</v>
      </c>
      <c r="TPM37" s="1551">
        <v>44150</v>
      </c>
      <c r="TPN37" s="1551"/>
      <c r="TPO37" s="1551">
        <v>44150</v>
      </c>
      <c r="TPP37" s="1551"/>
      <c r="TPQ37" s="1551">
        <v>44150</v>
      </c>
      <c r="TPR37" s="1551"/>
      <c r="TPS37" s="1551">
        <v>44150</v>
      </c>
      <c r="TPT37" s="1551">
        <v>44150</v>
      </c>
      <c r="TPU37" s="1551"/>
      <c r="TPV37" s="1551">
        <v>44150</v>
      </c>
      <c r="TPW37" s="1551"/>
      <c r="TPX37" s="1551">
        <v>44150</v>
      </c>
      <c r="TPY37" s="1551"/>
      <c r="TPZ37" s="1551">
        <v>44150</v>
      </c>
      <c r="TQA37" s="1551">
        <v>44150</v>
      </c>
      <c r="TQB37" s="1551"/>
      <c r="TQC37" s="1551">
        <v>44150</v>
      </c>
      <c r="TQD37" s="1551"/>
      <c r="TQE37" s="1551">
        <v>44150</v>
      </c>
      <c r="TQF37" s="1551"/>
      <c r="TQG37" s="1551">
        <v>44150</v>
      </c>
      <c r="TQH37" s="1551">
        <v>44150</v>
      </c>
      <c r="TQI37" s="1551"/>
      <c r="TQJ37" s="1551">
        <v>44150</v>
      </c>
      <c r="TQK37" s="1551"/>
      <c r="TQL37" s="1551">
        <v>44150</v>
      </c>
      <c r="TQM37" s="1551"/>
      <c r="TQN37" s="1551">
        <v>44150</v>
      </c>
      <c r="TQO37" s="1551">
        <v>44150</v>
      </c>
      <c r="TQP37" s="1551"/>
      <c r="TQQ37" s="1551">
        <v>44150</v>
      </c>
      <c r="TQR37" s="1551"/>
      <c r="TQS37" s="1551">
        <v>44150</v>
      </c>
      <c r="TQT37" s="1551"/>
      <c r="TQU37" s="1551">
        <v>44150</v>
      </c>
      <c r="TQV37" s="1551">
        <v>44150</v>
      </c>
      <c r="TQW37" s="1551"/>
      <c r="TQX37" s="1551">
        <v>44150</v>
      </c>
      <c r="TQY37" s="1551"/>
      <c r="TQZ37" s="1551">
        <v>44150</v>
      </c>
      <c r="TRA37" s="1551"/>
      <c r="TRB37" s="1551">
        <v>44150</v>
      </c>
      <c r="TRC37" s="1551">
        <v>44150</v>
      </c>
      <c r="TRD37" s="1551"/>
      <c r="TRE37" s="1551">
        <v>44150</v>
      </c>
      <c r="TRF37" s="1551"/>
      <c r="TRG37" s="1551">
        <v>44150</v>
      </c>
      <c r="TRH37" s="1551"/>
      <c r="TRI37" s="1551">
        <v>44150</v>
      </c>
      <c r="TRJ37" s="1551">
        <v>44150</v>
      </c>
      <c r="TRK37" s="1551"/>
      <c r="TRL37" s="1551">
        <v>44150</v>
      </c>
      <c r="TRM37" s="1551"/>
      <c r="TRN37" s="1551">
        <v>44150</v>
      </c>
      <c r="TRO37" s="1551"/>
      <c r="TRP37" s="1551">
        <v>44150</v>
      </c>
      <c r="TRQ37" s="1551">
        <v>44150</v>
      </c>
      <c r="TRR37" s="1551"/>
      <c r="TRS37" s="1551">
        <v>44150</v>
      </c>
      <c r="TRT37" s="1551"/>
      <c r="TRU37" s="1551">
        <v>44150</v>
      </c>
      <c r="TRV37" s="1551"/>
      <c r="TRW37" s="1551">
        <v>44150</v>
      </c>
      <c r="TRX37" s="1551">
        <v>44150</v>
      </c>
      <c r="TRY37" s="1551"/>
      <c r="TRZ37" s="1551">
        <v>44150</v>
      </c>
      <c r="TSA37" s="1551"/>
      <c r="TSB37" s="1551">
        <v>44150</v>
      </c>
      <c r="TSC37" s="1551"/>
      <c r="TSD37" s="1551">
        <v>44150</v>
      </c>
      <c r="TSE37" s="1551">
        <v>44150</v>
      </c>
      <c r="TSF37" s="1551"/>
      <c r="TSG37" s="1551">
        <v>44150</v>
      </c>
      <c r="TSH37" s="1551"/>
      <c r="TSI37" s="1551">
        <v>44150</v>
      </c>
      <c r="TSJ37" s="1551"/>
      <c r="TSK37" s="1551">
        <v>44150</v>
      </c>
      <c r="TSL37" s="1551">
        <v>44150</v>
      </c>
      <c r="TSM37" s="1551"/>
      <c r="TSN37" s="1551">
        <v>44150</v>
      </c>
      <c r="TSO37" s="1551"/>
      <c r="TSP37" s="1551">
        <v>44150</v>
      </c>
      <c r="TSQ37" s="1551"/>
      <c r="TSR37" s="1551">
        <v>44150</v>
      </c>
      <c r="TSS37" s="1551">
        <v>44150</v>
      </c>
      <c r="TST37" s="1551"/>
      <c r="TSU37" s="1551">
        <v>44150</v>
      </c>
      <c r="TSV37" s="1551"/>
      <c r="TSW37" s="1551">
        <v>44150</v>
      </c>
      <c r="TSX37" s="1551"/>
      <c r="TSY37" s="1551">
        <v>44150</v>
      </c>
      <c r="TSZ37" s="1551">
        <v>44150</v>
      </c>
      <c r="TTA37" s="1551"/>
      <c r="TTB37" s="1551">
        <v>44150</v>
      </c>
      <c r="TTC37" s="1551"/>
      <c r="TTD37" s="1551">
        <v>44150</v>
      </c>
      <c r="TTE37" s="1551"/>
      <c r="TTF37" s="1551">
        <v>44150</v>
      </c>
      <c r="TTG37" s="1551">
        <v>44150</v>
      </c>
      <c r="TTH37" s="1551"/>
      <c r="TTI37" s="1551">
        <v>44150</v>
      </c>
      <c r="TTJ37" s="1551"/>
      <c r="TTK37" s="1551">
        <v>44150</v>
      </c>
      <c r="TTL37" s="1551"/>
      <c r="TTM37" s="1551">
        <v>44150</v>
      </c>
      <c r="TTN37" s="1551">
        <v>44150</v>
      </c>
      <c r="TTO37" s="1551"/>
      <c r="TTP37" s="1551">
        <v>44150</v>
      </c>
      <c r="TTQ37" s="1551"/>
      <c r="TTR37" s="1551">
        <v>44150</v>
      </c>
      <c r="TTS37" s="1551"/>
      <c r="TTT37" s="1551">
        <v>44150</v>
      </c>
      <c r="TTU37" s="1551">
        <v>44150</v>
      </c>
      <c r="TTV37" s="1551"/>
      <c r="TTW37" s="1551">
        <v>44150</v>
      </c>
      <c r="TTX37" s="1551"/>
      <c r="TTY37" s="1551">
        <v>44150</v>
      </c>
      <c r="TTZ37" s="1551"/>
      <c r="TUA37" s="1551">
        <v>44150</v>
      </c>
      <c r="TUB37" s="1551">
        <v>44150</v>
      </c>
      <c r="TUC37" s="1551"/>
      <c r="TUD37" s="1551">
        <v>44150</v>
      </c>
      <c r="TUE37" s="1551"/>
      <c r="TUF37" s="1551">
        <v>44150</v>
      </c>
      <c r="TUG37" s="1551"/>
      <c r="TUH37" s="1551">
        <v>44150</v>
      </c>
      <c r="TUI37" s="1551">
        <v>44150</v>
      </c>
      <c r="TUJ37" s="1551"/>
      <c r="TUK37" s="1551">
        <v>44150</v>
      </c>
      <c r="TUL37" s="1551"/>
      <c r="TUM37" s="1551">
        <v>44150</v>
      </c>
      <c r="TUN37" s="1551"/>
      <c r="TUO37" s="1551">
        <v>44150</v>
      </c>
      <c r="TUP37" s="1551">
        <v>44150</v>
      </c>
      <c r="TUQ37" s="1551"/>
      <c r="TUR37" s="1551">
        <v>44150</v>
      </c>
      <c r="TUS37" s="1551"/>
      <c r="TUT37" s="1551">
        <v>44150</v>
      </c>
      <c r="TUU37" s="1551"/>
      <c r="TUV37" s="1551">
        <v>44150</v>
      </c>
      <c r="TUW37" s="1551">
        <v>44150</v>
      </c>
      <c r="TUX37" s="1551"/>
      <c r="TUY37" s="1551">
        <v>44150</v>
      </c>
      <c r="TUZ37" s="1551"/>
      <c r="TVA37" s="1551">
        <v>44150</v>
      </c>
      <c r="TVB37" s="1551"/>
      <c r="TVC37" s="1551">
        <v>44150</v>
      </c>
      <c r="TVD37" s="1551">
        <v>44150</v>
      </c>
      <c r="TVE37" s="1551"/>
      <c r="TVF37" s="1551">
        <v>44150</v>
      </c>
      <c r="TVG37" s="1551"/>
      <c r="TVH37" s="1551">
        <v>44150</v>
      </c>
      <c r="TVI37" s="1551"/>
      <c r="TVJ37" s="1551">
        <v>44150</v>
      </c>
      <c r="TVK37" s="1551">
        <v>44150</v>
      </c>
      <c r="TVL37" s="1551"/>
      <c r="TVM37" s="1551">
        <v>44150</v>
      </c>
      <c r="TVN37" s="1551"/>
      <c r="TVO37" s="1551">
        <v>44150</v>
      </c>
      <c r="TVP37" s="1551"/>
      <c r="TVQ37" s="1551">
        <v>44150</v>
      </c>
      <c r="TVR37" s="1551">
        <v>44150</v>
      </c>
      <c r="TVS37" s="1551"/>
      <c r="TVT37" s="1551">
        <v>44150</v>
      </c>
      <c r="TVU37" s="1551"/>
      <c r="TVV37" s="1551">
        <v>44150</v>
      </c>
      <c r="TVW37" s="1551"/>
      <c r="TVX37" s="1551">
        <v>44150</v>
      </c>
      <c r="TVY37" s="1551">
        <v>44150</v>
      </c>
      <c r="TVZ37" s="1551"/>
      <c r="TWA37" s="1551">
        <v>44150</v>
      </c>
      <c r="TWB37" s="1551"/>
      <c r="TWC37" s="1551">
        <v>44150</v>
      </c>
      <c r="TWD37" s="1551"/>
      <c r="TWE37" s="1551">
        <v>44150</v>
      </c>
      <c r="TWF37" s="1551">
        <v>44150</v>
      </c>
      <c r="TWG37" s="1551"/>
      <c r="TWH37" s="1551">
        <v>44150</v>
      </c>
      <c r="TWI37" s="1551"/>
      <c r="TWJ37" s="1551">
        <v>44150</v>
      </c>
      <c r="TWK37" s="1551"/>
      <c r="TWL37" s="1551">
        <v>44150</v>
      </c>
      <c r="TWM37" s="1551">
        <v>44150</v>
      </c>
      <c r="TWN37" s="1551"/>
      <c r="TWO37" s="1551">
        <v>44150</v>
      </c>
      <c r="TWP37" s="1551"/>
      <c r="TWQ37" s="1551">
        <v>44150</v>
      </c>
      <c r="TWR37" s="1551"/>
      <c r="TWS37" s="1551">
        <v>44150</v>
      </c>
      <c r="TWT37" s="1551">
        <v>44150</v>
      </c>
      <c r="TWU37" s="1551"/>
      <c r="TWV37" s="1551">
        <v>44150</v>
      </c>
      <c r="TWW37" s="1551"/>
      <c r="TWX37" s="1551">
        <v>44150</v>
      </c>
      <c r="TWY37" s="1551"/>
      <c r="TWZ37" s="1551">
        <v>44150</v>
      </c>
      <c r="TXA37" s="1551">
        <v>44150</v>
      </c>
      <c r="TXB37" s="1551"/>
      <c r="TXC37" s="1551">
        <v>44150</v>
      </c>
      <c r="TXD37" s="1551"/>
      <c r="TXE37" s="1551">
        <v>44150</v>
      </c>
      <c r="TXF37" s="1551"/>
      <c r="TXG37" s="1551">
        <v>44150</v>
      </c>
      <c r="TXH37" s="1551">
        <v>44150</v>
      </c>
      <c r="TXI37" s="1551"/>
      <c r="TXJ37" s="1551">
        <v>44150</v>
      </c>
      <c r="TXK37" s="1551"/>
      <c r="TXL37" s="1551">
        <v>44150</v>
      </c>
      <c r="TXM37" s="1551"/>
      <c r="TXN37" s="1551">
        <v>44150</v>
      </c>
      <c r="TXO37" s="1551">
        <v>44150</v>
      </c>
      <c r="TXP37" s="1551"/>
      <c r="TXQ37" s="1551">
        <v>44150</v>
      </c>
      <c r="TXR37" s="1551"/>
      <c r="TXS37" s="1551">
        <v>44150</v>
      </c>
      <c r="TXT37" s="1551"/>
      <c r="TXU37" s="1551">
        <v>44150</v>
      </c>
      <c r="TXV37" s="1551">
        <v>44150</v>
      </c>
      <c r="TXW37" s="1551"/>
      <c r="TXX37" s="1551">
        <v>44150</v>
      </c>
      <c r="TXY37" s="1551"/>
      <c r="TXZ37" s="1551">
        <v>44150</v>
      </c>
      <c r="TYA37" s="1551"/>
      <c r="TYB37" s="1551">
        <v>44150</v>
      </c>
      <c r="TYC37" s="1551">
        <v>44150</v>
      </c>
      <c r="TYD37" s="1551"/>
      <c r="TYE37" s="1551">
        <v>44150</v>
      </c>
      <c r="TYF37" s="1551"/>
      <c r="TYG37" s="1551">
        <v>44150</v>
      </c>
      <c r="TYH37" s="1551"/>
      <c r="TYI37" s="1551">
        <v>44150</v>
      </c>
      <c r="TYJ37" s="1551">
        <v>44150</v>
      </c>
      <c r="TYK37" s="1551"/>
      <c r="TYL37" s="1551">
        <v>44150</v>
      </c>
      <c r="TYM37" s="1551"/>
      <c r="TYN37" s="1551">
        <v>44150</v>
      </c>
      <c r="TYO37" s="1551"/>
      <c r="TYP37" s="1551">
        <v>44150</v>
      </c>
      <c r="TYQ37" s="1551">
        <v>44150</v>
      </c>
      <c r="TYR37" s="1551"/>
      <c r="TYS37" s="1551">
        <v>44150</v>
      </c>
      <c r="TYT37" s="1551"/>
      <c r="TYU37" s="1551">
        <v>44150</v>
      </c>
      <c r="TYV37" s="1551"/>
      <c r="TYW37" s="1551">
        <v>44150</v>
      </c>
      <c r="TYX37" s="1551">
        <v>44150</v>
      </c>
      <c r="TYY37" s="1551"/>
      <c r="TYZ37" s="1551">
        <v>44150</v>
      </c>
      <c r="TZA37" s="1551"/>
      <c r="TZB37" s="1551">
        <v>44150</v>
      </c>
      <c r="TZC37" s="1551"/>
      <c r="TZD37" s="1551">
        <v>44150</v>
      </c>
      <c r="TZE37" s="1551">
        <v>44150</v>
      </c>
      <c r="TZF37" s="1551"/>
      <c r="TZG37" s="1551">
        <v>44150</v>
      </c>
      <c r="TZH37" s="1551"/>
      <c r="TZI37" s="1551">
        <v>44150</v>
      </c>
      <c r="TZJ37" s="1551"/>
      <c r="TZK37" s="1551">
        <v>44150</v>
      </c>
      <c r="TZL37" s="1551">
        <v>44150</v>
      </c>
      <c r="TZM37" s="1551"/>
      <c r="TZN37" s="1551">
        <v>44150</v>
      </c>
      <c r="TZO37" s="1551"/>
      <c r="TZP37" s="1551">
        <v>44150</v>
      </c>
      <c r="TZQ37" s="1551"/>
      <c r="TZR37" s="1551">
        <v>44150</v>
      </c>
      <c r="TZS37" s="1551">
        <v>44150</v>
      </c>
      <c r="TZT37" s="1551"/>
      <c r="TZU37" s="1551">
        <v>44150</v>
      </c>
      <c r="TZV37" s="1551"/>
      <c r="TZW37" s="1551">
        <v>44150</v>
      </c>
      <c r="TZX37" s="1551"/>
      <c r="TZY37" s="1551">
        <v>44150</v>
      </c>
      <c r="TZZ37" s="1551">
        <v>44150</v>
      </c>
      <c r="UAA37" s="1551"/>
      <c r="UAB37" s="1551">
        <v>44150</v>
      </c>
      <c r="UAC37" s="1551"/>
      <c r="UAD37" s="1551">
        <v>44150</v>
      </c>
      <c r="UAE37" s="1551"/>
      <c r="UAF37" s="1551">
        <v>44150</v>
      </c>
      <c r="UAG37" s="1551">
        <v>44150</v>
      </c>
      <c r="UAH37" s="1551"/>
      <c r="UAI37" s="1551">
        <v>44150</v>
      </c>
      <c r="UAJ37" s="1551"/>
      <c r="UAK37" s="1551">
        <v>44150</v>
      </c>
      <c r="UAL37" s="1551"/>
      <c r="UAM37" s="1551">
        <v>44150</v>
      </c>
      <c r="UAN37" s="1551">
        <v>44150</v>
      </c>
      <c r="UAO37" s="1551"/>
      <c r="UAP37" s="1551">
        <v>44150</v>
      </c>
      <c r="UAQ37" s="1551"/>
      <c r="UAR37" s="1551">
        <v>44150</v>
      </c>
      <c r="UAS37" s="1551"/>
      <c r="UAT37" s="1551">
        <v>44150</v>
      </c>
      <c r="UAU37" s="1551">
        <v>44150</v>
      </c>
      <c r="UAV37" s="1551"/>
      <c r="UAW37" s="1551">
        <v>44150</v>
      </c>
      <c r="UAX37" s="1551"/>
      <c r="UAY37" s="1551">
        <v>44150</v>
      </c>
      <c r="UAZ37" s="1551"/>
      <c r="UBA37" s="1551">
        <v>44150</v>
      </c>
      <c r="UBB37" s="1551">
        <v>44150</v>
      </c>
      <c r="UBC37" s="1551"/>
      <c r="UBD37" s="1551">
        <v>44150</v>
      </c>
      <c r="UBE37" s="1551"/>
      <c r="UBF37" s="1551">
        <v>44150</v>
      </c>
      <c r="UBG37" s="1551"/>
      <c r="UBH37" s="1551">
        <v>44150</v>
      </c>
      <c r="UBI37" s="1551">
        <v>44150</v>
      </c>
      <c r="UBJ37" s="1551"/>
      <c r="UBK37" s="1551">
        <v>44150</v>
      </c>
      <c r="UBL37" s="1551"/>
      <c r="UBM37" s="1551">
        <v>44150</v>
      </c>
      <c r="UBN37" s="1551"/>
      <c r="UBO37" s="1551">
        <v>44150</v>
      </c>
      <c r="UBP37" s="1551">
        <v>44150</v>
      </c>
      <c r="UBQ37" s="1551"/>
      <c r="UBR37" s="1551">
        <v>44150</v>
      </c>
      <c r="UBS37" s="1551"/>
      <c r="UBT37" s="1551">
        <v>44150</v>
      </c>
      <c r="UBU37" s="1551"/>
      <c r="UBV37" s="1551">
        <v>44150</v>
      </c>
      <c r="UBW37" s="1551">
        <v>44150</v>
      </c>
      <c r="UBX37" s="1551"/>
      <c r="UBY37" s="1551">
        <v>44150</v>
      </c>
      <c r="UBZ37" s="1551"/>
      <c r="UCA37" s="1551">
        <v>44150</v>
      </c>
      <c r="UCB37" s="1551"/>
      <c r="UCC37" s="1551">
        <v>44150</v>
      </c>
      <c r="UCD37" s="1551">
        <v>44150</v>
      </c>
      <c r="UCE37" s="1551"/>
      <c r="UCF37" s="1551">
        <v>44150</v>
      </c>
      <c r="UCG37" s="1551"/>
      <c r="UCH37" s="1551">
        <v>44150</v>
      </c>
      <c r="UCI37" s="1551"/>
      <c r="UCJ37" s="1551">
        <v>44150</v>
      </c>
      <c r="UCK37" s="1551">
        <v>44150</v>
      </c>
      <c r="UCL37" s="1551"/>
      <c r="UCM37" s="1551">
        <v>44150</v>
      </c>
      <c r="UCN37" s="1551"/>
      <c r="UCO37" s="1551">
        <v>44150</v>
      </c>
      <c r="UCP37" s="1551"/>
      <c r="UCQ37" s="1551">
        <v>44150</v>
      </c>
      <c r="UCR37" s="1551">
        <v>44150</v>
      </c>
      <c r="UCS37" s="1551"/>
      <c r="UCT37" s="1551">
        <v>44150</v>
      </c>
      <c r="UCU37" s="1551"/>
      <c r="UCV37" s="1551">
        <v>44150</v>
      </c>
      <c r="UCW37" s="1551"/>
      <c r="UCX37" s="1551">
        <v>44150</v>
      </c>
      <c r="UCY37" s="1551">
        <v>44150</v>
      </c>
      <c r="UCZ37" s="1551"/>
      <c r="UDA37" s="1551">
        <v>44150</v>
      </c>
      <c r="UDB37" s="1551"/>
      <c r="UDC37" s="1551">
        <v>44150</v>
      </c>
      <c r="UDD37" s="1551"/>
      <c r="UDE37" s="1551">
        <v>44150</v>
      </c>
      <c r="UDF37" s="1551">
        <v>44150</v>
      </c>
      <c r="UDG37" s="1551"/>
      <c r="UDH37" s="1551">
        <v>44150</v>
      </c>
      <c r="UDI37" s="1551"/>
      <c r="UDJ37" s="1551">
        <v>44150</v>
      </c>
      <c r="UDK37" s="1551"/>
      <c r="UDL37" s="1551">
        <v>44150</v>
      </c>
      <c r="UDM37" s="1551">
        <v>44150</v>
      </c>
      <c r="UDN37" s="1551"/>
      <c r="UDO37" s="1551">
        <v>44150</v>
      </c>
      <c r="UDP37" s="1551"/>
      <c r="UDQ37" s="1551">
        <v>44150</v>
      </c>
      <c r="UDR37" s="1551"/>
      <c r="UDS37" s="1551">
        <v>44150</v>
      </c>
      <c r="UDT37" s="1551">
        <v>44150</v>
      </c>
      <c r="UDU37" s="1551"/>
      <c r="UDV37" s="1551">
        <v>44150</v>
      </c>
      <c r="UDW37" s="1551"/>
      <c r="UDX37" s="1551">
        <v>44150</v>
      </c>
      <c r="UDY37" s="1551"/>
      <c r="UDZ37" s="1551">
        <v>44150</v>
      </c>
      <c r="UEA37" s="1551">
        <v>44150</v>
      </c>
      <c r="UEB37" s="1551"/>
      <c r="UEC37" s="1551">
        <v>44150</v>
      </c>
      <c r="UED37" s="1551"/>
      <c r="UEE37" s="1551">
        <v>44150</v>
      </c>
      <c r="UEF37" s="1551"/>
      <c r="UEG37" s="1551">
        <v>44150</v>
      </c>
      <c r="UEH37" s="1551">
        <v>44150</v>
      </c>
      <c r="UEI37" s="1551"/>
      <c r="UEJ37" s="1551">
        <v>44150</v>
      </c>
      <c r="UEK37" s="1551"/>
      <c r="UEL37" s="1551">
        <v>44150</v>
      </c>
      <c r="UEM37" s="1551"/>
      <c r="UEN37" s="1551">
        <v>44150</v>
      </c>
      <c r="UEO37" s="1551">
        <v>44150</v>
      </c>
      <c r="UEP37" s="1551"/>
      <c r="UEQ37" s="1551">
        <v>44150</v>
      </c>
      <c r="UER37" s="1551"/>
      <c r="UES37" s="1551">
        <v>44150</v>
      </c>
      <c r="UET37" s="1551"/>
      <c r="UEU37" s="1551">
        <v>44150</v>
      </c>
      <c r="UEV37" s="1551">
        <v>44150</v>
      </c>
      <c r="UEW37" s="1551"/>
      <c r="UEX37" s="1551">
        <v>44150</v>
      </c>
      <c r="UEY37" s="1551"/>
      <c r="UEZ37" s="1551">
        <v>44150</v>
      </c>
      <c r="UFA37" s="1551"/>
      <c r="UFB37" s="1551">
        <v>44150</v>
      </c>
      <c r="UFC37" s="1551">
        <v>44150</v>
      </c>
      <c r="UFD37" s="1551"/>
      <c r="UFE37" s="1551">
        <v>44150</v>
      </c>
      <c r="UFF37" s="1551"/>
      <c r="UFG37" s="1551">
        <v>44150</v>
      </c>
      <c r="UFH37" s="1551"/>
      <c r="UFI37" s="1551">
        <v>44150</v>
      </c>
      <c r="UFJ37" s="1551">
        <v>44150</v>
      </c>
      <c r="UFK37" s="1551"/>
      <c r="UFL37" s="1551">
        <v>44150</v>
      </c>
      <c r="UFM37" s="1551"/>
      <c r="UFN37" s="1551">
        <v>44150</v>
      </c>
      <c r="UFO37" s="1551"/>
      <c r="UFP37" s="1551">
        <v>44150</v>
      </c>
      <c r="UFQ37" s="1551">
        <v>44150</v>
      </c>
      <c r="UFR37" s="1551"/>
      <c r="UFS37" s="1551">
        <v>44150</v>
      </c>
      <c r="UFT37" s="1551"/>
      <c r="UFU37" s="1551">
        <v>44150</v>
      </c>
      <c r="UFV37" s="1551"/>
      <c r="UFW37" s="1551">
        <v>44150</v>
      </c>
      <c r="UFX37" s="1551">
        <v>44150</v>
      </c>
      <c r="UFY37" s="1551"/>
      <c r="UFZ37" s="1551">
        <v>44150</v>
      </c>
      <c r="UGA37" s="1551"/>
      <c r="UGB37" s="1551">
        <v>44150</v>
      </c>
      <c r="UGC37" s="1551"/>
      <c r="UGD37" s="1551">
        <v>44150</v>
      </c>
      <c r="UGE37" s="1551">
        <v>44150</v>
      </c>
      <c r="UGF37" s="1551"/>
      <c r="UGG37" s="1551">
        <v>44150</v>
      </c>
      <c r="UGH37" s="1551"/>
      <c r="UGI37" s="1551">
        <v>44150</v>
      </c>
      <c r="UGJ37" s="1551"/>
      <c r="UGK37" s="1551">
        <v>44150</v>
      </c>
      <c r="UGL37" s="1551">
        <v>44150</v>
      </c>
      <c r="UGM37" s="1551"/>
      <c r="UGN37" s="1551">
        <v>44150</v>
      </c>
      <c r="UGO37" s="1551"/>
      <c r="UGP37" s="1551">
        <v>44150</v>
      </c>
      <c r="UGQ37" s="1551"/>
      <c r="UGR37" s="1551">
        <v>44150</v>
      </c>
      <c r="UGS37" s="1551">
        <v>44150</v>
      </c>
      <c r="UGT37" s="1551"/>
      <c r="UGU37" s="1551">
        <v>44150</v>
      </c>
      <c r="UGV37" s="1551"/>
      <c r="UGW37" s="1551">
        <v>44150</v>
      </c>
      <c r="UGX37" s="1551"/>
      <c r="UGY37" s="1551">
        <v>44150</v>
      </c>
      <c r="UGZ37" s="1551">
        <v>44150</v>
      </c>
      <c r="UHA37" s="1551"/>
      <c r="UHB37" s="1551">
        <v>44150</v>
      </c>
      <c r="UHC37" s="1551"/>
      <c r="UHD37" s="1551">
        <v>44150</v>
      </c>
      <c r="UHE37" s="1551"/>
      <c r="UHF37" s="1551">
        <v>44150</v>
      </c>
      <c r="UHG37" s="1551">
        <v>44150</v>
      </c>
      <c r="UHH37" s="1551"/>
      <c r="UHI37" s="1551">
        <v>44150</v>
      </c>
      <c r="UHJ37" s="1551"/>
      <c r="UHK37" s="1551">
        <v>44150</v>
      </c>
      <c r="UHL37" s="1551"/>
      <c r="UHM37" s="1551">
        <v>44150</v>
      </c>
      <c r="UHN37" s="1551">
        <v>44150</v>
      </c>
      <c r="UHO37" s="1551"/>
      <c r="UHP37" s="1551">
        <v>44150</v>
      </c>
      <c r="UHQ37" s="1551"/>
      <c r="UHR37" s="1551">
        <v>44150</v>
      </c>
      <c r="UHS37" s="1551"/>
      <c r="UHT37" s="1551">
        <v>44150</v>
      </c>
      <c r="UHU37" s="1551">
        <v>44150</v>
      </c>
      <c r="UHV37" s="1551"/>
      <c r="UHW37" s="1551">
        <v>44150</v>
      </c>
      <c r="UHX37" s="1551"/>
      <c r="UHY37" s="1551">
        <v>44150</v>
      </c>
      <c r="UHZ37" s="1551"/>
      <c r="UIA37" s="1551">
        <v>44150</v>
      </c>
      <c r="UIB37" s="1551">
        <v>44150</v>
      </c>
      <c r="UIC37" s="1551"/>
      <c r="UID37" s="1551">
        <v>44150</v>
      </c>
      <c r="UIE37" s="1551"/>
      <c r="UIF37" s="1551">
        <v>44150</v>
      </c>
      <c r="UIG37" s="1551"/>
      <c r="UIH37" s="1551">
        <v>44150</v>
      </c>
      <c r="UII37" s="1551">
        <v>44150</v>
      </c>
      <c r="UIJ37" s="1551"/>
      <c r="UIK37" s="1551">
        <v>44150</v>
      </c>
      <c r="UIL37" s="1551"/>
      <c r="UIM37" s="1551">
        <v>44150</v>
      </c>
      <c r="UIN37" s="1551"/>
      <c r="UIO37" s="1551">
        <v>44150</v>
      </c>
      <c r="UIP37" s="1551">
        <v>44150</v>
      </c>
      <c r="UIQ37" s="1551"/>
      <c r="UIR37" s="1551">
        <v>44150</v>
      </c>
      <c r="UIS37" s="1551"/>
      <c r="UIT37" s="1551">
        <v>44150</v>
      </c>
      <c r="UIU37" s="1551"/>
      <c r="UIV37" s="1551">
        <v>44150</v>
      </c>
      <c r="UIW37" s="1551">
        <v>44150</v>
      </c>
      <c r="UIX37" s="1551"/>
      <c r="UIY37" s="1551">
        <v>44150</v>
      </c>
      <c r="UIZ37" s="1551"/>
      <c r="UJA37" s="1551">
        <v>44150</v>
      </c>
      <c r="UJB37" s="1551"/>
      <c r="UJC37" s="1551">
        <v>44150</v>
      </c>
      <c r="UJD37" s="1551">
        <v>44150</v>
      </c>
      <c r="UJE37" s="1551"/>
      <c r="UJF37" s="1551">
        <v>44150</v>
      </c>
      <c r="UJG37" s="1551"/>
      <c r="UJH37" s="1551">
        <v>44150</v>
      </c>
      <c r="UJI37" s="1551"/>
      <c r="UJJ37" s="1551">
        <v>44150</v>
      </c>
      <c r="UJK37" s="1551">
        <v>44150</v>
      </c>
      <c r="UJL37" s="1551"/>
      <c r="UJM37" s="1551">
        <v>44150</v>
      </c>
      <c r="UJN37" s="1551"/>
      <c r="UJO37" s="1551">
        <v>44150</v>
      </c>
      <c r="UJP37" s="1551"/>
      <c r="UJQ37" s="1551">
        <v>44150</v>
      </c>
      <c r="UJR37" s="1551">
        <v>44150</v>
      </c>
      <c r="UJS37" s="1551"/>
      <c r="UJT37" s="1551">
        <v>44150</v>
      </c>
      <c r="UJU37" s="1551"/>
      <c r="UJV37" s="1551">
        <v>44150</v>
      </c>
      <c r="UJW37" s="1551"/>
      <c r="UJX37" s="1551">
        <v>44150</v>
      </c>
      <c r="UJY37" s="1551">
        <v>44150</v>
      </c>
      <c r="UJZ37" s="1551"/>
      <c r="UKA37" s="1551">
        <v>44150</v>
      </c>
      <c r="UKB37" s="1551"/>
      <c r="UKC37" s="1551">
        <v>44150</v>
      </c>
      <c r="UKD37" s="1551"/>
      <c r="UKE37" s="1551">
        <v>44150</v>
      </c>
      <c r="UKF37" s="1551">
        <v>44150</v>
      </c>
      <c r="UKG37" s="1551"/>
      <c r="UKH37" s="1551">
        <v>44150</v>
      </c>
      <c r="UKI37" s="1551"/>
      <c r="UKJ37" s="1551">
        <v>44150</v>
      </c>
      <c r="UKK37" s="1551"/>
      <c r="UKL37" s="1551">
        <v>44150</v>
      </c>
      <c r="UKM37" s="1551">
        <v>44150</v>
      </c>
      <c r="UKN37" s="1551"/>
      <c r="UKO37" s="1551">
        <v>44150</v>
      </c>
      <c r="UKP37" s="1551"/>
      <c r="UKQ37" s="1551">
        <v>44150</v>
      </c>
      <c r="UKR37" s="1551"/>
      <c r="UKS37" s="1551">
        <v>44150</v>
      </c>
      <c r="UKT37" s="1551">
        <v>44150</v>
      </c>
      <c r="UKU37" s="1551"/>
      <c r="UKV37" s="1551">
        <v>44150</v>
      </c>
      <c r="UKW37" s="1551"/>
      <c r="UKX37" s="1551">
        <v>44150</v>
      </c>
      <c r="UKY37" s="1551"/>
      <c r="UKZ37" s="1551">
        <v>44150</v>
      </c>
      <c r="ULA37" s="1551">
        <v>44150</v>
      </c>
      <c r="ULB37" s="1551"/>
      <c r="ULC37" s="1551">
        <v>44150</v>
      </c>
      <c r="ULD37" s="1551"/>
      <c r="ULE37" s="1551">
        <v>44150</v>
      </c>
      <c r="ULF37" s="1551"/>
      <c r="ULG37" s="1551">
        <v>44150</v>
      </c>
      <c r="ULH37" s="1551">
        <v>44150</v>
      </c>
      <c r="ULI37" s="1551"/>
      <c r="ULJ37" s="1551">
        <v>44150</v>
      </c>
      <c r="ULK37" s="1551"/>
      <c r="ULL37" s="1551">
        <v>44150</v>
      </c>
      <c r="ULM37" s="1551"/>
      <c r="ULN37" s="1551">
        <v>44150</v>
      </c>
      <c r="ULO37" s="1551">
        <v>44150</v>
      </c>
      <c r="ULP37" s="1551"/>
      <c r="ULQ37" s="1551">
        <v>44150</v>
      </c>
      <c r="ULR37" s="1551"/>
      <c r="ULS37" s="1551">
        <v>44150</v>
      </c>
      <c r="ULT37" s="1551"/>
      <c r="ULU37" s="1551">
        <v>44150</v>
      </c>
      <c r="ULV37" s="1551">
        <v>44150</v>
      </c>
      <c r="ULW37" s="1551"/>
      <c r="ULX37" s="1551">
        <v>44150</v>
      </c>
      <c r="ULY37" s="1551"/>
      <c r="ULZ37" s="1551">
        <v>44150</v>
      </c>
      <c r="UMA37" s="1551"/>
      <c r="UMB37" s="1551">
        <v>44150</v>
      </c>
      <c r="UMC37" s="1551">
        <v>44150</v>
      </c>
      <c r="UMD37" s="1551"/>
      <c r="UME37" s="1551">
        <v>44150</v>
      </c>
      <c r="UMF37" s="1551"/>
      <c r="UMG37" s="1551">
        <v>44150</v>
      </c>
      <c r="UMH37" s="1551"/>
      <c r="UMI37" s="1551">
        <v>44150</v>
      </c>
      <c r="UMJ37" s="1551">
        <v>44150</v>
      </c>
      <c r="UMK37" s="1551"/>
      <c r="UML37" s="1551">
        <v>44150</v>
      </c>
      <c r="UMM37" s="1551"/>
      <c r="UMN37" s="1551">
        <v>44150</v>
      </c>
      <c r="UMO37" s="1551"/>
      <c r="UMP37" s="1551">
        <v>44150</v>
      </c>
      <c r="UMQ37" s="1551">
        <v>44150</v>
      </c>
      <c r="UMR37" s="1551"/>
      <c r="UMS37" s="1551">
        <v>44150</v>
      </c>
      <c r="UMT37" s="1551"/>
      <c r="UMU37" s="1551">
        <v>44150</v>
      </c>
      <c r="UMV37" s="1551"/>
      <c r="UMW37" s="1551">
        <v>44150</v>
      </c>
      <c r="UMX37" s="1551">
        <v>44150</v>
      </c>
      <c r="UMY37" s="1551"/>
      <c r="UMZ37" s="1551">
        <v>44150</v>
      </c>
      <c r="UNA37" s="1551"/>
      <c r="UNB37" s="1551">
        <v>44150</v>
      </c>
      <c r="UNC37" s="1551"/>
      <c r="UND37" s="1551">
        <v>44150</v>
      </c>
      <c r="UNE37" s="1551">
        <v>44150</v>
      </c>
      <c r="UNF37" s="1551"/>
      <c r="UNG37" s="1551">
        <v>44150</v>
      </c>
      <c r="UNH37" s="1551"/>
      <c r="UNI37" s="1551">
        <v>44150</v>
      </c>
      <c r="UNJ37" s="1551"/>
      <c r="UNK37" s="1551">
        <v>44150</v>
      </c>
      <c r="UNL37" s="1551">
        <v>44150</v>
      </c>
      <c r="UNM37" s="1551"/>
      <c r="UNN37" s="1551">
        <v>44150</v>
      </c>
      <c r="UNO37" s="1551"/>
      <c r="UNP37" s="1551">
        <v>44150</v>
      </c>
      <c r="UNQ37" s="1551"/>
      <c r="UNR37" s="1551">
        <v>44150</v>
      </c>
      <c r="UNS37" s="1551">
        <v>44150</v>
      </c>
      <c r="UNT37" s="1551"/>
      <c r="UNU37" s="1551">
        <v>44150</v>
      </c>
      <c r="UNV37" s="1551"/>
      <c r="UNW37" s="1551">
        <v>44150</v>
      </c>
      <c r="UNX37" s="1551"/>
      <c r="UNY37" s="1551">
        <v>44150</v>
      </c>
      <c r="UNZ37" s="1551">
        <v>44150</v>
      </c>
      <c r="UOA37" s="1551"/>
      <c r="UOB37" s="1551">
        <v>44150</v>
      </c>
      <c r="UOC37" s="1551"/>
      <c r="UOD37" s="1551">
        <v>44150</v>
      </c>
      <c r="UOE37" s="1551"/>
      <c r="UOF37" s="1551">
        <v>44150</v>
      </c>
      <c r="UOG37" s="1551">
        <v>44150</v>
      </c>
      <c r="UOH37" s="1551"/>
      <c r="UOI37" s="1551">
        <v>44150</v>
      </c>
      <c r="UOJ37" s="1551"/>
      <c r="UOK37" s="1551">
        <v>44150</v>
      </c>
      <c r="UOL37" s="1551"/>
      <c r="UOM37" s="1551">
        <v>44150</v>
      </c>
      <c r="UON37" s="1551">
        <v>44150</v>
      </c>
      <c r="UOO37" s="1551"/>
      <c r="UOP37" s="1551">
        <v>44150</v>
      </c>
      <c r="UOQ37" s="1551"/>
      <c r="UOR37" s="1551">
        <v>44150</v>
      </c>
      <c r="UOS37" s="1551"/>
      <c r="UOT37" s="1551">
        <v>44150</v>
      </c>
      <c r="UOU37" s="1551">
        <v>44150</v>
      </c>
      <c r="UOV37" s="1551"/>
      <c r="UOW37" s="1551">
        <v>44150</v>
      </c>
      <c r="UOX37" s="1551"/>
      <c r="UOY37" s="1551">
        <v>44150</v>
      </c>
      <c r="UOZ37" s="1551"/>
      <c r="UPA37" s="1551">
        <v>44150</v>
      </c>
      <c r="UPB37" s="1551">
        <v>44150</v>
      </c>
      <c r="UPC37" s="1551"/>
      <c r="UPD37" s="1551">
        <v>44150</v>
      </c>
      <c r="UPE37" s="1551"/>
      <c r="UPF37" s="1551">
        <v>44150</v>
      </c>
      <c r="UPG37" s="1551"/>
      <c r="UPH37" s="1551">
        <v>44150</v>
      </c>
      <c r="UPI37" s="1551">
        <v>44150</v>
      </c>
      <c r="UPJ37" s="1551"/>
      <c r="UPK37" s="1551">
        <v>44150</v>
      </c>
      <c r="UPL37" s="1551"/>
      <c r="UPM37" s="1551">
        <v>44150</v>
      </c>
      <c r="UPN37" s="1551"/>
      <c r="UPO37" s="1551">
        <v>44150</v>
      </c>
      <c r="UPP37" s="1551">
        <v>44150</v>
      </c>
      <c r="UPQ37" s="1551"/>
      <c r="UPR37" s="1551">
        <v>44150</v>
      </c>
      <c r="UPS37" s="1551"/>
      <c r="UPT37" s="1551">
        <v>44150</v>
      </c>
      <c r="UPU37" s="1551"/>
      <c r="UPV37" s="1551">
        <v>44150</v>
      </c>
      <c r="UPW37" s="1551">
        <v>44150</v>
      </c>
      <c r="UPX37" s="1551"/>
      <c r="UPY37" s="1551">
        <v>44150</v>
      </c>
      <c r="UPZ37" s="1551"/>
      <c r="UQA37" s="1551">
        <v>44150</v>
      </c>
      <c r="UQB37" s="1551"/>
      <c r="UQC37" s="1551">
        <v>44150</v>
      </c>
      <c r="UQD37" s="1551">
        <v>44150</v>
      </c>
      <c r="UQE37" s="1551"/>
      <c r="UQF37" s="1551">
        <v>44150</v>
      </c>
      <c r="UQG37" s="1551"/>
      <c r="UQH37" s="1551">
        <v>44150</v>
      </c>
      <c r="UQI37" s="1551"/>
      <c r="UQJ37" s="1551">
        <v>44150</v>
      </c>
      <c r="UQK37" s="1551">
        <v>44150</v>
      </c>
      <c r="UQL37" s="1551"/>
      <c r="UQM37" s="1551">
        <v>44150</v>
      </c>
      <c r="UQN37" s="1551"/>
      <c r="UQO37" s="1551">
        <v>44150</v>
      </c>
      <c r="UQP37" s="1551"/>
      <c r="UQQ37" s="1551">
        <v>44150</v>
      </c>
      <c r="UQR37" s="1551">
        <v>44150</v>
      </c>
      <c r="UQS37" s="1551"/>
      <c r="UQT37" s="1551">
        <v>44150</v>
      </c>
      <c r="UQU37" s="1551"/>
      <c r="UQV37" s="1551">
        <v>44150</v>
      </c>
      <c r="UQW37" s="1551"/>
      <c r="UQX37" s="1551">
        <v>44150</v>
      </c>
      <c r="UQY37" s="1551">
        <v>44150</v>
      </c>
      <c r="UQZ37" s="1551"/>
      <c r="URA37" s="1551">
        <v>44150</v>
      </c>
      <c r="URB37" s="1551"/>
      <c r="URC37" s="1551">
        <v>44150</v>
      </c>
      <c r="URD37" s="1551"/>
      <c r="URE37" s="1551">
        <v>44150</v>
      </c>
      <c r="URF37" s="1551">
        <v>44150</v>
      </c>
      <c r="URG37" s="1551"/>
      <c r="URH37" s="1551">
        <v>44150</v>
      </c>
      <c r="URI37" s="1551"/>
      <c r="URJ37" s="1551">
        <v>44150</v>
      </c>
      <c r="URK37" s="1551"/>
      <c r="URL37" s="1551">
        <v>44150</v>
      </c>
      <c r="URM37" s="1551">
        <v>44150</v>
      </c>
      <c r="URN37" s="1551"/>
      <c r="URO37" s="1551">
        <v>44150</v>
      </c>
      <c r="URP37" s="1551"/>
      <c r="URQ37" s="1551">
        <v>44150</v>
      </c>
      <c r="URR37" s="1551"/>
      <c r="URS37" s="1551">
        <v>44150</v>
      </c>
      <c r="URT37" s="1551">
        <v>44150</v>
      </c>
      <c r="URU37" s="1551"/>
      <c r="URV37" s="1551">
        <v>44150</v>
      </c>
      <c r="URW37" s="1551"/>
      <c r="URX37" s="1551">
        <v>44150</v>
      </c>
      <c r="URY37" s="1551"/>
      <c r="URZ37" s="1551">
        <v>44150</v>
      </c>
      <c r="USA37" s="1551">
        <v>44150</v>
      </c>
      <c r="USB37" s="1551"/>
      <c r="USC37" s="1551">
        <v>44150</v>
      </c>
      <c r="USD37" s="1551"/>
      <c r="USE37" s="1551">
        <v>44150</v>
      </c>
      <c r="USF37" s="1551"/>
      <c r="USG37" s="1551">
        <v>44150</v>
      </c>
      <c r="USH37" s="1551">
        <v>44150</v>
      </c>
      <c r="USI37" s="1551"/>
      <c r="USJ37" s="1551">
        <v>44150</v>
      </c>
      <c r="USK37" s="1551"/>
      <c r="USL37" s="1551">
        <v>44150</v>
      </c>
      <c r="USM37" s="1551"/>
      <c r="USN37" s="1551">
        <v>44150</v>
      </c>
      <c r="USO37" s="1551">
        <v>44150</v>
      </c>
      <c r="USP37" s="1551"/>
      <c r="USQ37" s="1551">
        <v>44150</v>
      </c>
      <c r="USR37" s="1551"/>
      <c r="USS37" s="1551">
        <v>44150</v>
      </c>
      <c r="UST37" s="1551"/>
      <c r="USU37" s="1551">
        <v>44150</v>
      </c>
      <c r="USV37" s="1551">
        <v>44150</v>
      </c>
      <c r="USW37" s="1551"/>
      <c r="USX37" s="1551">
        <v>44150</v>
      </c>
      <c r="USY37" s="1551"/>
      <c r="USZ37" s="1551">
        <v>44150</v>
      </c>
      <c r="UTA37" s="1551"/>
      <c r="UTB37" s="1551">
        <v>44150</v>
      </c>
      <c r="UTC37" s="1551">
        <v>44150</v>
      </c>
      <c r="UTD37" s="1551"/>
      <c r="UTE37" s="1551">
        <v>44150</v>
      </c>
      <c r="UTF37" s="1551"/>
      <c r="UTG37" s="1551">
        <v>44150</v>
      </c>
      <c r="UTH37" s="1551"/>
      <c r="UTI37" s="1551">
        <v>44150</v>
      </c>
      <c r="UTJ37" s="1551">
        <v>44150</v>
      </c>
      <c r="UTK37" s="1551"/>
      <c r="UTL37" s="1551">
        <v>44150</v>
      </c>
      <c r="UTM37" s="1551"/>
      <c r="UTN37" s="1551">
        <v>44150</v>
      </c>
      <c r="UTO37" s="1551"/>
      <c r="UTP37" s="1551">
        <v>44150</v>
      </c>
      <c r="UTQ37" s="1551">
        <v>44150</v>
      </c>
      <c r="UTR37" s="1551"/>
      <c r="UTS37" s="1551">
        <v>44150</v>
      </c>
      <c r="UTT37" s="1551"/>
      <c r="UTU37" s="1551">
        <v>44150</v>
      </c>
      <c r="UTV37" s="1551"/>
      <c r="UTW37" s="1551">
        <v>44150</v>
      </c>
      <c r="UTX37" s="1551">
        <v>44150</v>
      </c>
      <c r="UTY37" s="1551"/>
      <c r="UTZ37" s="1551">
        <v>44150</v>
      </c>
      <c r="UUA37" s="1551"/>
      <c r="UUB37" s="1551">
        <v>44150</v>
      </c>
      <c r="UUC37" s="1551"/>
      <c r="UUD37" s="1551">
        <v>44150</v>
      </c>
      <c r="UUE37" s="1551">
        <v>44150</v>
      </c>
      <c r="UUF37" s="1551"/>
      <c r="UUG37" s="1551">
        <v>44150</v>
      </c>
      <c r="UUH37" s="1551"/>
      <c r="UUI37" s="1551">
        <v>44150</v>
      </c>
      <c r="UUJ37" s="1551"/>
      <c r="UUK37" s="1551">
        <v>44150</v>
      </c>
      <c r="UUL37" s="1551">
        <v>44150</v>
      </c>
      <c r="UUM37" s="1551"/>
      <c r="UUN37" s="1551">
        <v>44150</v>
      </c>
      <c r="UUO37" s="1551"/>
      <c r="UUP37" s="1551">
        <v>44150</v>
      </c>
      <c r="UUQ37" s="1551"/>
      <c r="UUR37" s="1551">
        <v>44150</v>
      </c>
      <c r="UUS37" s="1551">
        <v>44150</v>
      </c>
      <c r="UUT37" s="1551"/>
      <c r="UUU37" s="1551">
        <v>44150</v>
      </c>
      <c r="UUV37" s="1551"/>
      <c r="UUW37" s="1551">
        <v>44150</v>
      </c>
      <c r="UUX37" s="1551"/>
      <c r="UUY37" s="1551">
        <v>44150</v>
      </c>
      <c r="UUZ37" s="1551">
        <v>44150</v>
      </c>
      <c r="UVA37" s="1551"/>
      <c r="UVB37" s="1551">
        <v>44150</v>
      </c>
      <c r="UVC37" s="1551"/>
      <c r="UVD37" s="1551">
        <v>44150</v>
      </c>
      <c r="UVE37" s="1551"/>
      <c r="UVF37" s="1551">
        <v>44150</v>
      </c>
      <c r="UVG37" s="1551">
        <v>44150</v>
      </c>
      <c r="UVH37" s="1551"/>
      <c r="UVI37" s="1551">
        <v>44150</v>
      </c>
      <c r="UVJ37" s="1551"/>
      <c r="UVK37" s="1551">
        <v>44150</v>
      </c>
      <c r="UVL37" s="1551"/>
      <c r="UVM37" s="1551">
        <v>44150</v>
      </c>
      <c r="UVN37" s="1551">
        <v>44150</v>
      </c>
      <c r="UVO37" s="1551"/>
      <c r="UVP37" s="1551">
        <v>44150</v>
      </c>
      <c r="UVQ37" s="1551"/>
      <c r="UVR37" s="1551">
        <v>44150</v>
      </c>
      <c r="UVS37" s="1551"/>
      <c r="UVT37" s="1551">
        <v>44150</v>
      </c>
      <c r="UVU37" s="1551">
        <v>44150</v>
      </c>
      <c r="UVV37" s="1551"/>
      <c r="UVW37" s="1551">
        <v>44150</v>
      </c>
      <c r="UVX37" s="1551"/>
      <c r="UVY37" s="1551">
        <v>44150</v>
      </c>
      <c r="UVZ37" s="1551"/>
      <c r="UWA37" s="1551">
        <v>44150</v>
      </c>
      <c r="UWB37" s="1551">
        <v>44150</v>
      </c>
      <c r="UWC37" s="1551"/>
      <c r="UWD37" s="1551">
        <v>44150</v>
      </c>
      <c r="UWE37" s="1551"/>
      <c r="UWF37" s="1551">
        <v>44150</v>
      </c>
      <c r="UWG37" s="1551"/>
      <c r="UWH37" s="1551">
        <v>44150</v>
      </c>
      <c r="UWI37" s="1551">
        <v>44150</v>
      </c>
      <c r="UWJ37" s="1551"/>
      <c r="UWK37" s="1551">
        <v>44150</v>
      </c>
      <c r="UWL37" s="1551"/>
      <c r="UWM37" s="1551">
        <v>44150</v>
      </c>
      <c r="UWN37" s="1551"/>
      <c r="UWO37" s="1551">
        <v>44150</v>
      </c>
      <c r="UWP37" s="1551">
        <v>44150</v>
      </c>
      <c r="UWQ37" s="1551"/>
      <c r="UWR37" s="1551">
        <v>44150</v>
      </c>
      <c r="UWS37" s="1551"/>
      <c r="UWT37" s="1551">
        <v>44150</v>
      </c>
      <c r="UWU37" s="1551"/>
      <c r="UWV37" s="1551">
        <v>44150</v>
      </c>
      <c r="UWW37" s="1551">
        <v>44150</v>
      </c>
      <c r="UWX37" s="1551"/>
      <c r="UWY37" s="1551">
        <v>44150</v>
      </c>
      <c r="UWZ37" s="1551"/>
      <c r="UXA37" s="1551">
        <v>44150</v>
      </c>
      <c r="UXB37" s="1551"/>
      <c r="UXC37" s="1551">
        <v>44150</v>
      </c>
      <c r="UXD37" s="1551">
        <v>44150</v>
      </c>
      <c r="UXE37" s="1551"/>
      <c r="UXF37" s="1551">
        <v>44150</v>
      </c>
      <c r="UXG37" s="1551"/>
      <c r="UXH37" s="1551">
        <v>44150</v>
      </c>
      <c r="UXI37" s="1551"/>
      <c r="UXJ37" s="1551">
        <v>44150</v>
      </c>
      <c r="UXK37" s="1551">
        <v>44150</v>
      </c>
      <c r="UXL37" s="1551"/>
      <c r="UXM37" s="1551">
        <v>44150</v>
      </c>
      <c r="UXN37" s="1551"/>
      <c r="UXO37" s="1551">
        <v>44150</v>
      </c>
      <c r="UXP37" s="1551"/>
      <c r="UXQ37" s="1551">
        <v>44150</v>
      </c>
      <c r="UXR37" s="1551">
        <v>44150</v>
      </c>
      <c r="UXS37" s="1551"/>
      <c r="UXT37" s="1551">
        <v>44150</v>
      </c>
      <c r="UXU37" s="1551"/>
      <c r="UXV37" s="1551">
        <v>44150</v>
      </c>
      <c r="UXW37" s="1551"/>
      <c r="UXX37" s="1551">
        <v>44150</v>
      </c>
      <c r="UXY37" s="1551">
        <v>44150</v>
      </c>
      <c r="UXZ37" s="1551"/>
      <c r="UYA37" s="1551">
        <v>44150</v>
      </c>
      <c r="UYB37" s="1551"/>
      <c r="UYC37" s="1551">
        <v>44150</v>
      </c>
      <c r="UYD37" s="1551"/>
      <c r="UYE37" s="1551">
        <v>44150</v>
      </c>
      <c r="UYF37" s="1551">
        <v>44150</v>
      </c>
      <c r="UYG37" s="1551"/>
      <c r="UYH37" s="1551">
        <v>44150</v>
      </c>
      <c r="UYI37" s="1551"/>
      <c r="UYJ37" s="1551">
        <v>44150</v>
      </c>
      <c r="UYK37" s="1551"/>
      <c r="UYL37" s="1551">
        <v>44150</v>
      </c>
      <c r="UYM37" s="1551">
        <v>44150</v>
      </c>
      <c r="UYN37" s="1551"/>
      <c r="UYO37" s="1551">
        <v>44150</v>
      </c>
      <c r="UYP37" s="1551"/>
      <c r="UYQ37" s="1551">
        <v>44150</v>
      </c>
      <c r="UYR37" s="1551"/>
      <c r="UYS37" s="1551">
        <v>44150</v>
      </c>
      <c r="UYT37" s="1551">
        <v>44150</v>
      </c>
      <c r="UYU37" s="1551"/>
      <c r="UYV37" s="1551">
        <v>44150</v>
      </c>
      <c r="UYW37" s="1551"/>
      <c r="UYX37" s="1551">
        <v>44150</v>
      </c>
      <c r="UYY37" s="1551"/>
      <c r="UYZ37" s="1551">
        <v>44150</v>
      </c>
      <c r="UZA37" s="1551">
        <v>44150</v>
      </c>
      <c r="UZB37" s="1551"/>
      <c r="UZC37" s="1551">
        <v>44150</v>
      </c>
      <c r="UZD37" s="1551"/>
      <c r="UZE37" s="1551">
        <v>44150</v>
      </c>
      <c r="UZF37" s="1551"/>
      <c r="UZG37" s="1551">
        <v>44150</v>
      </c>
      <c r="UZH37" s="1551">
        <v>44150</v>
      </c>
      <c r="UZI37" s="1551"/>
      <c r="UZJ37" s="1551">
        <v>44150</v>
      </c>
      <c r="UZK37" s="1551"/>
      <c r="UZL37" s="1551">
        <v>44150</v>
      </c>
      <c r="UZM37" s="1551"/>
      <c r="UZN37" s="1551">
        <v>44150</v>
      </c>
      <c r="UZO37" s="1551">
        <v>44150</v>
      </c>
      <c r="UZP37" s="1551"/>
      <c r="UZQ37" s="1551">
        <v>44150</v>
      </c>
      <c r="UZR37" s="1551"/>
      <c r="UZS37" s="1551">
        <v>44150</v>
      </c>
      <c r="UZT37" s="1551"/>
      <c r="UZU37" s="1551">
        <v>44150</v>
      </c>
      <c r="UZV37" s="1551">
        <v>44150</v>
      </c>
      <c r="UZW37" s="1551"/>
      <c r="UZX37" s="1551">
        <v>44150</v>
      </c>
      <c r="UZY37" s="1551"/>
      <c r="UZZ37" s="1551">
        <v>44150</v>
      </c>
      <c r="VAA37" s="1551"/>
      <c r="VAB37" s="1551">
        <v>44150</v>
      </c>
      <c r="VAC37" s="1551">
        <v>44150</v>
      </c>
      <c r="VAD37" s="1551"/>
      <c r="VAE37" s="1551">
        <v>44150</v>
      </c>
      <c r="VAF37" s="1551"/>
      <c r="VAG37" s="1551">
        <v>44150</v>
      </c>
      <c r="VAH37" s="1551"/>
      <c r="VAI37" s="1551">
        <v>44150</v>
      </c>
      <c r="VAJ37" s="1551">
        <v>44150</v>
      </c>
      <c r="VAK37" s="1551"/>
      <c r="VAL37" s="1551">
        <v>44150</v>
      </c>
      <c r="VAM37" s="1551"/>
      <c r="VAN37" s="1551">
        <v>44150</v>
      </c>
      <c r="VAO37" s="1551"/>
      <c r="VAP37" s="1551">
        <v>44150</v>
      </c>
      <c r="VAQ37" s="1551">
        <v>44150</v>
      </c>
      <c r="VAR37" s="1551"/>
      <c r="VAS37" s="1551">
        <v>44150</v>
      </c>
      <c r="VAT37" s="1551"/>
      <c r="VAU37" s="1551">
        <v>44150</v>
      </c>
      <c r="VAV37" s="1551"/>
      <c r="VAW37" s="1551">
        <v>44150</v>
      </c>
      <c r="VAX37" s="1551">
        <v>44150</v>
      </c>
      <c r="VAY37" s="1551"/>
      <c r="VAZ37" s="1551">
        <v>44150</v>
      </c>
      <c r="VBA37" s="1551"/>
      <c r="VBB37" s="1551">
        <v>44150</v>
      </c>
      <c r="VBC37" s="1551"/>
      <c r="VBD37" s="1551">
        <v>44150</v>
      </c>
      <c r="VBE37" s="1551">
        <v>44150</v>
      </c>
      <c r="VBF37" s="1551"/>
      <c r="VBG37" s="1551">
        <v>44150</v>
      </c>
      <c r="VBH37" s="1551"/>
      <c r="VBI37" s="1551">
        <v>44150</v>
      </c>
      <c r="VBJ37" s="1551"/>
      <c r="VBK37" s="1551">
        <v>44150</v>
      </c>
      <c r="VBL37" s="1551">
        <v>44150</v>
      </c>
      <c r="VBM37" s="1551"/>
      <c r="VBN37" s="1551">
        <v>44150</v>
      </c>
      <c r="VBO37" s="1551"/>
      <c r="VBP37" s="1551">
        <v>44150</v>
      </c>
      <c r="VBQ37" s="1551"/>
      <c r="VBR37" s="1551">
        <v>44150</v>
      </c>
      <c r="VBS37" s="1551">
        <v>44150</v>
      </c>
      <c r="VBT37" s="1551"/>
      <c r="VBU37" s="1551">
        <v>44150</v>
      </c>
      <c r="VBV37" s="1551"/>
      <c r="VBW37" s="1551">
        <v>44150</v>
      </c>
      <c r="VBX37" s="1551"/>
      <c r="VBY37" s="1551">
        <v>44150</v>
      </c>
      <c r="VBZ37" s="1551">
        <v>44150</v>
      </c>
      <c r="VCA37" s="1551"/>
      <c r="VCB37" s="1551">
        <v>44150</v>
      </c>
      <c r="VCC37" s="1551"/>
      <c r="VCD37" s="1551">
        <v>44150</v>
      </c>
      <c r="VCE37" s="1551"/>
      <c r="VCF37" s="1551">
        <v>44150</v>
      </c>
      <c r="VCG37" s="1551">
        <v>44150</v>
      </c>
      <c r="VCH37" s="1551"/>
      <c r="VCI37" s="1551">
        <v>44150</v>
      </c>
      <c r="VCJ37" s="1551"/>
      <c r="VCK37" s="1551">
        <v>44150</v>
      </c>
      <c r="VCL37" s="1551"/>
      <c r="VCM37" s="1551">
        <v>44150</v>
      </c>
      <c r="VCN37" s="1551">
        <v>44150</v>
      </c>
      <c r="VCO37" s="1551"/>
      <c r="VCP37" s="1551">
        <v>44150</v>
      </c>
      <c r="VCQ37" s="1551"/>
      <c r="VCR37" s="1551">
        <v>44150</v>
      </c>
      <c r="VCS37" s="1551"/>
      <c r="VCT37" s="1551">
        <v>44150</v>
      </c>
      <c r="VCU37" s="1551">
        <v>44150</v>
      </c>
      <c r="VCV37" s="1551"/>
      <c r="VCW37" s="1551">
        <v>44150</v>
      </c>
      <c r="VCX37" s="1551"/>
      <c r="VCY37" s="1551">
        <v>44150</v>
      </c>
      <c r="VCZ37" s="1551"/>
      <c r="VDA37" s="1551">
        <v>44150</v>
      </c>
      <c r="VDB37" s="1551">
        <v>44150</v>
      </c>
      <c r="VDC37" s="1551"/>
      <c r="VDD37" s="1551">
        <v>44150</v>
      </c>
      <c r="VDE37" s="1551"/>
      <c r="VDF37" s="1551">
        <v>44150</v>
      </c>
      <c r="VDG37" s="1551"/>
      <c r="VDH37" s="1551">
        <v>44150</v>
      </c>
      <c r="VDI37" s="1551">
        <v>44150</v>
      </c>
      <c r="VDJ37" s="1551"/>
      <c r="VDK37" s="1551">
        <v>44150</v>
      </c>
      <c r="VDL37" s="1551"/>
      <c r="VDM37" s="1551">
        <v>44150</v>
      </c>
      <c r="VDN37" s="1551"/>
      <c r="VDO37" s="1551">
        <v>44150</v>
      </c>
      <c r="VDP37" s="1551">
        <v>44150</v>
      </c>
      <c r="VDQ37" s="1551"/>
      <c r="VDR37" s="1551">
        <v>44150</v>
      </c>
      <c r="VDS37" s="1551"/>
      <c r="VDT37" s="1551">
        <v>44150</v>
      </c>
      <c r="VDU37" s="1551"/>
      <c r="VDV37" s="1551">
        <v>44150</v>
      </c>
      <c r="VDW37" s="1551">
        <v>44150</v>
      </c>
      <c r="VDX37" s="1551"/>
      <c r="VDY37" s="1551">
        <v>44150</v>
      </c>
      <c r="VDZ37" s="1551"/>
      <c r="VEA37" s="1551">
        <v>44150</v>
      </c>
      <c r="VEB37" s="1551"/>
      <c r="VEC37" s="1551">
        <v>44150</v>
      </c>
      <c r="VED37" s="1551">
        <v>44150</v>
      </c>
      <c r="VEE37" s="1551"/>
      <c r="VEF37" s="1551">
        <v>44150</v>
      </c>
      <c r="VEG37" s="1551"/>
      <c r="VEH37" s="1551">
        <v>44150</v>
      </c>
      <c r="VEI37" s="1551"/>
      <c r="VEJ37" s="1551">
        <v>44150</v>
      </c>
      <c r="VEK37" s="1551">
        <v>44150</v>
      </c>
      <c r="VEL37" s="1551"/>
      <c r="VEM37" s="1551">
        <v>44150</v>
      </c>
      <c r="VEN37" s="1551"/>
      <c r="VEO37" s="1551">
        <v>44150</v>
      </c>
      <c r="VEP37" s="1551"/>
      <c r="VEQ37" s="1551">
        <v>44150</v>
      </c>
      <c r="VER37" s="1551">
        <v>44150</v>
      </c>
      <c r="VES37" s="1551"/>
      <c r="VET37" s="1551">
        <v>44150</v>
      </c>
      <c r="VEU37" s="1551"/>
      <c r="VEV37" s="1551">
        <v>44150</v>
      </c>
      <c r="VEW37" s="1551"/>
      <c r="VEX37" s="1551">
        <v>44150</v>
      </c>
      <c r="VEY37" s="1551">
        <v>44150</v>
      </c>
      <c r="VEZ37" s="1551"/>
      <c r="VFA37" s="1551">
        <v>44150</v>
      </c>
      <c r="VFB37" s="1551"/>
      <c r="VFC37" s="1551">
        <v>44150</v>
      </c>
      <c r="VFD37" s="1551"/>
      <c r="VFE37" s="1551">
        <v>44150</v>
      </c>
      <c r="VFF37" s="1551">
        <v>44150</v>
      </c>
      <c r="VFG37" s="1551"/>
      <c r="VFH37" s="1551">
        <v>44150</v>
      </c>
      <c r="VFI37" s="1551"/>
      <c r="VFJ37" s="1551">
        <v>44150</v>
      </c>
      <c r="VFK37" s="1551"/>
      <c r="VFL37" s="1551">
        <v>44150</v>
      </c>
      <c r="VFM37" s="1551">
        <v>44150</v>
      </c>
      <c r="VFN37" s="1551"/>
      <c r="VFO37" s="1551">
        <v>44150</v>
      </c>
      <c r="VFP37" s="1551"/>
      <c r="VFQ37" s="1551">
        <v>44150</v>
      </c>
      <c r="VFR37" s="1551"/>
      <c r="VFS37" s="1551">
        <v>44150</v>
      </c>
      <c r="VFT37" s="1551">
        <v>44150</v>
      </c>
      <c r="VFU37" s="1551"/>
      <c r="VFV37" s="1551">
        <v>44150</v>
      </c>
      <c r="VFW37" s="1551"/>
      <c r="VFX37" s="1551">
        <v>44150</v>
      </c>
      <c r="VFY37" s="1551"/>
      <c r="VFZ37" s="1551">
        <v>44150</v>
      </c>
      <c r="VGA37" s="1551">
        <v>44150</v>
      </c>
      <c r="VGB37" s="1551"/>
      <c r="VGC37" s="1551">
        <v>44150</v>
      </c>
      <c r="VGD37" s="1551"/>
      <c r="VGE37" s="1551">
        <v>44150</v>
      </c>
      <c r="VGF37" s="1551"/>
      <c r="VGG37" s="1551">
        <v>44150</v>
      </c>
      <c r="VGH37" s="1551">
        <v>44150</v>
      </c>
      <c r="VGI37" s="1551"/>
      <c r="VGJ37" s="1551">
        <v>44150</v>
      </c>
      <c r="VGK37" s="1551"/>
      <c r="VGL37" s="1551">
        <v>44150</v>
      </c>
      <c r="VGM37" s="1551"/>
      <c r="VGN37" s="1551">
        <v>44150</v>
      </c>
      <c r="VGO37" s="1551">
        <v>44150</v>
      </c>
      <c r="VGP37" s="1551"/>
      <c r="VGQ37" s="1551">
        <v>44150</v>
      </c>
      <c r="VGR37" s="1551"/>
      <c r="VGS37" s="1551">
        <v>44150</v>
      </c>
      <c r="VGT37" s="1551"/>
      <c r="VGU37" s="1551">
        <v>44150</v>
      </c>
      <c r="VGV37" s="1551">
        <v>44150</v>
      </c>
      <c r="VGW37" s="1551"/>
      <c r="VGX37" s="1551">
        <v>44150</v>
      </c>
      <c r="VGY37" s="1551"/>
      <c r="VGZ37" s="1551">
        <v>44150</v>
      </c>
      <c r="VHA37" s="1551"/>
      <c r="VHB37" s="1551">
        <v>44150</v>
      </c>
      <c r="VHC37" s="1551">
        <v>44150</v>
      </c>
      <c r="VHD37" s="1551"/>
      <c r="VHE37" s="1551">
        <v>44150</v>
      </c>
      <c r="VHF37" s="1551"/>
      <c r="VHG37" s="1551">
        <v>44150</v>
      </c>
      <c r="VHH37" s="1551"/>
      <c r="VHI37" s="1551">
        <v>44150</v>
      </c>
      <c r="VHJ37" s="1551">
        <v>44150</v>
      </c>
      <c r="VHK37" s="1551"/>
      <c r="VHL37" s="1551">
        <v>44150</v>
      </c>
      <c r="VHM37" s="1551"/>
      <c r="VHN37" s="1551">
        <v>44150</v>
      </c>
      <c r="VHO37" s="1551"/>
      <c r="VHP37" s="1551">
        <v>44150</v>
      </c>
      <c r="VHQ37" s="1551">
        <v>44150</v>
      </c>
      <c r="VHR37" s="1551"/>
      <c r="VHS37" s="1551">
        <v>44150</v>
      </c>
      <c r="VHT37" s="1551"/>
      <c r="VHU37" s="1551">
        <v>44150</v>
      </c>
      <c r="VHV37" s="1551"/>
      <c r="VHW37" s="1551">
        <v>44150</v>
      </c>
      <c r="VHX37" s="1551">
        <v>44150</v>
      </c>
      <c r="VHY37" s="1551"/>
      <c r="VHZ37" s="1551">
        <v>44150</v>
      </c>
      <c r="VIA37" s="1551"/>
      <c r="VIB37" s="1551">
        <v>44150</v>
      </c>
      <c r="VIC37" s="1551"/>
      <c r="VID37" s="1551">
        <v>44150</v>
      </c>
      <c r="VIE37" s="1551">
        <v>44150</v>
      </c>
      <c r="VIF37" s="1551"/>
      <c r="VIG37" s="1551">
        <v>44150</v>
      </c>
      <c r="VIH37" s="1551"/>
      <c r="VII37" s="1551">
        <v>44150</v>
      </c>
      <c r="VIJ37" s="1551"/>
      <c r="VIK37" s="1551">
        <v>44150</v>
      </c>
      <c r="VIL37" s="1551">
        <v>44150</v>
      </c>
      <c r="VIM37" s="1551"/>
      <c r="VIN37" s="1551">
        <v>44150</v>
      </c>
      <c r="VIO37" s="1551"/>
      <c r="VIP37" s="1551">
        <v>44150</v>
      </c>
      <c r="VIQ37" s="1551"/>
      <c r="VIR37" s="1551">
        <v>44150</v>
      </c>
      <c r="VIS37" s="1551">
        <v>44150</v>
      </c>
      <c r="VIT37" s="1551"/>
      <c r="VIU37" s="1551">
        <v>44150</v>
      </c>
      <c r="VIV37" s="1551"/>
      <c r="VIW37" s="1551">
        <v>44150</v>
      </c>
      <c r="VIX37" s="1551"/>
      <c r="VIY37" s="1551">
        <v>44150</v>
      </c>
      <c r="VIZ37" s="1551">
        <v>44150</v>
      </c>
      <c r="VJA37" s="1551"/>
      <c r="VJB37" s="1551">
        <v>44150</v>
      </c>
      <c r="VJC37" s="1551"/>
      <c r="VJD37" s="1551">
        <v>44150</v>
      </c>
      <c r="VJE37" s="1551"/>
      <c r="VJF37" s="1551">
        <v>44150</v>
      </c>
      <c r="VJG37" s="1551">
        <v>44150</v>
      </c>
      <c r="VJH37" s="1551"/>
      <c r="VJI37" s="1551">
        <v>44150</v>
      </c>
      <c r="VJJ37" s="1551"/>
      <c r="VJK37" s="1551">
        <v>44150</v>
      </c>
      <c r="VJL37" s="1551"/>
      <c r="VJM37" s="1551">
        <v>44150</v>
      </c>
      <c r="VJN37" s="1551">
        <v>44150</v>
      </c>
      <c r="VJO37" s="1551"/>
      <c r="VJP37" s="1551">
        <v>44150</v>
      </c>
      <c r="VJQ37" s="1551"/>
      <c r="VJR37" s="1551">
        <v>44150</v>
      </c>
      <c r="VJS37" s="1551"/>
      <c r="VJT37" s="1551">
        <v>44150</v>
      </c>
      <c r="VJU37" s="1551">
        <v>44150</v>
      </c>
      <c r="VJV37" s="1551"/>
      <c r="VJW37" s="1551">
        <v>44150</v>
      </c>
      <c r="VJX37" s="1551"/>
      <c r="VJY37" s="1551">
        <v>44150</v>
      </c>
      <c r="VJZ37" s="1551"/>
      <c r="VKA37" s="1551">
        <v>44150</v>
      </c>
      <c r="VKB37" s="1551">
        <v>44150</v>
      </c>
      <c r="VKC37" s="1551"/>
      <c r="VKD37" s="1551">
        <v>44150</v>
      </c>
      <c r="VKE37" s="1551"/>
      <c r="VKF37" s="1551">
        <v>44150</v>
      </c>
      <c r="VKG37" s="1551"/>
      <c r="VKH37" s="1551">
        <v>44150</v>
      </c>
      <c r="VKI37" s="1551">
        <v>44150</v>
      </c>
      <c r="VKJ37" s="1551"/>
      <c r="VKK37" s="1551">
        <v>44150</v>
      </c>
      <c r="VKL37" s="1551"/>
      <c r="VKM37" s="1551">
        <v>44150</v>
      </c>
      <c r="VKN37" s="1551"/>
      <c r="VKO37" s="1551">
        <v>44150</v>
      </c>
      <c r="VKP37" s="1551">
        <v>44150</v>
      </c>
      <c r="VKQ37" s="1551"/>
      <c r="VKR37" s="1551">
        <v>44150</v>
      </c>
      <c r="VKS37" s="1551"/>
      <c r="VKT37" s="1551">
        <v>44150</v>
      </c>
      <c r="VKU37" s="1551"/>
      <c r="VKV37" s="1551">
        <v>44150</v>
      </c>
      <c r="VKW37" s="1551">
        <v>44150</v>
      </c>
      <c r="VKX37" s="1551"/>
      <c r="VKY37" s="1551">
        <v>44150</v>
      </c>
      <c r="VKZ37" s="1551"/>
      <c r="VLA37" s="1551">
        <v>44150</v>
      </c>
      <c r="VLB37" s="1551"/>
      <c r="VLC37" s="1551">
        <v>44150</v>
      </c>
      <c r="VLD37" s="1551">
        <v>44150</v>
      </c>
      <c r="VLE37" s="1551"/>
      <c r="VLF37" s="1551">
        <v>44150</v>
      </c>
      <c r="VLG37" s="1551"/>
      <c r="VLH37" s="1551">
        <v>44150</v>
      </c>
      <c r="VLI37" s="1551"/>
      <c r="VLJ37" s="1551">
        <v>44150</v>
      </c>
      <c r="VLK37" s="1551">
        <v>44150</v>
      </c>
      <c r="VLL37" s="1551"/>
      <c r="VLM37" s="1551">
        <v>44150</v>
      </c>
      <c r="VLN37" s="1551"/>
      <c r="VLO37" s="1551">
        <v>44150</v>
      </c>
      <c r="VLP37" s="1551"/>
      <c r="VLQ37" s="1551">
        <v>44150</v>
      </c>
      <c r="VLR37" s="1551">
        <v>44150</v>
      </c>
      <c r="VLS37" s="1551"/>
      <c r="VLT37" s="1551">
        <v>44150</v>
      </c>
      <c r="VLU37" s="1551"/>
      <c r="VLV37" s="1551">
        <v>44150</v>
      </c>
      <c r="VLW37" s="1551"/>
      <c r="VLX37" s="1551">
        <v>44150</v>
      </c>
      <c r="VLY37" s="1551">
        <v>44150</v>
      </c>
      <c r="VLZ37" s="1551"/>
      <c r="VMA37" s="1551">
        <v>44150</v>
      </c>
      <c r="VMB37" s="1551"/>
      <c r="VMC37" s="1551">
        <v>44150</v>
      </c>
      <c r="VMD37" s="1551"/>
      <c r="VME37" s="1551">
        <v>44150</v>
      </c>
      <c r="VMF37" s="1551">
        <v>44150</v>
      </c>
      <c r="VMG37" s="1551"/>
      <c r="VMH37" s="1551">
        <v>44150</v>
      </c>
      <c r="VMI37" s="1551"/>
      <c r="VMJ37" s="1551">
        <v>44150</v>
      </c>
      <c r="VMK37" s="1551"/>
      <c r="VML37" s="1551">
        <v>44150</v>
      </c>
      <c r="VMM37" s="1551">
        <v>44150</v>
      </c>
      <c r="VMN37" s="1551"/>
      <c r="VMO37" s="1551">
        <v>44150</v>
      </c>
      <c r="VMP37" s="1551"/>
      <c r="VMQ37" s="1551">
        <v>44150</v>
      </c>
      <c r="VMR37" s="1551"/>
      <c r="VMS37" s="1551">
        <v>44150</v>
      </c>
      <c r="VMT37" s="1551">
        <v>44150</v>
      </c>
      <c r="VMU37" s="1551"/>
      <c r="VMV37" s="1551">
        <v>44150</v>
      </c>
      <c r="VMW37" s="1551"/>
      <c r="VMX37" s="1551">
        <v>44150</v>
      </c>
      <c r="VMY37" s="1551"/>
      <c r="VMZ37" s="1551">
        <v>44150</v>
      </c>
      <c r="VNA37" s="1551">
        <v>44150</v>
      </c>
      <c r="VNB37" s="1551"/>
      <c r="VNC37" s="1551">
        <v>44150</v>
      </c>
      <c r="VND37" s="1551"/>
      <c r="VNE37" s="1551">
        <v>44150</v>
      </c>
      <c r="VNF37" s="1551"/>
      <c r="VNG37" s="1551">
        <v>44150</v>
      </c>
      <c r="VNH37" s="1551">
        <v>44150</v>
      </c>
      <c r="VNI37" s="1551"/>
      <c r="VNJ37" s="1551">
        <v>44150</v>
      </c>
      <c r="VNK37" s="1551"/>
      <c r="VNL37" s="1551">
        <v>44150</v>
      </c>
      <c r="VNM37" s="1551"/>
      <c r="VNN37" s="1551">
        <v>44150</v>
      </c>
      <c r="VNO37" s="1551">
        <v>44150</v>
      </c>
      <c r="VNP37" s="1551"/>
      <c r="VNQ37" s="1551">
        <v>44150</v>
      </c>
      <c r="VNR37" s="1551"/>
      <c r="VNS37" s="1551">
        <v>44150</v>
      </c>
      <c r="VNT37" s="1551"/>
      <c r="VNU37" s="1551">
        <v>44150</v>
      </c>
      <c r="VNV37" s="1551">
        <v>44150</v>
      </c>
      <c r="VNW37" s="1551"/>
      <c r="VNX37" s="1551">
        <v>44150</v>
      </c>
      <c r="VNY37" s="1551"/>
      <c r="VNZ37" s="1551">
        <v>44150</v>
      </c>
      <c r="VOA37" s="1551"/>
      <c r="VOB37" s="1551">
        <v>44150</v>
      </c>
      <c r="VOC37" s="1551">
        <v>44150</v>
      </c>
      <c r="VOD37" s="1551"/>
      <c r="VOE37" s="1551">
        <v>44150</v>
      </c>
      <c r="VOF37" s="1551"/>
      <c r="VOG37" s="1551">
        <v>44150</v>
      </c>
      <c r="VOH37" s="1551"/>
      <c r="VOI37" s="1551">
        <v>44150</v>
      </c>
      <c r="VOJ37" s="1551">
        <v>44150</v>
      </c>
      <c r="VOK37" s="1551"/>
      <c r="VOL37" s="1551">
        <v>44150</v>
      </c>
      <c r="VOM37" s="1551"/>
      <c r="VON37" s="1551">
        <v>44150</v>
      </c>
      <c r="VOO37" s="1551"/>
      <c r="VOP37" s="1551">
        <v>44150</v>
      </c>
      <c r="VOQ37" s="1551">
        <v>44150</v>
      </c>
      <c r="VOR37" s="1551"/>
      <c r="VOS37" s="1551">
        <v>44150</v>
      </c>
      <c r="VOT37" s="1551"/>
      <c r="VOU37" s="1551">
        <v>44150</v>
      </c>
      <c r="VOV37" s="1551"/>
      <c r="VOW37" s="1551">
        <v>44150</v>
      </c>
      <c r="VOX37" s="1551">
        <v>44150</v>
      </c>
      <c r="VOY37" s="1551"/>
      <c r="VOZ37" s="1551">
        <v>44150</v>
      </c>
      <c r="VPA37" s="1551"/>
      <c r="VPB37" s="1551">
        <v>44150</v>
      </c>
      <c r="VPC37" s="1551"/>
      <c r="VPD37" s="1551">
        <v>44150</v>
      </c>
      <c r="VPE37" s="1551">
        <v>44150</v>
      </c>
      <c r="VPF37" s="1551"/>
      <c r="VPG37" s="1551">
        <v>44150</v>
      </c>
      <c r="VPH37" s="1551"/>
      <c r="VPI37" s="1551">
        <v>44150</v>
      </c>
      <c r="VPJ37" s="1551"/>
      <c r="VPK37" s="1551">
        <v>44150</v>
      </c>
      <c r="VPL37" s="1551">
        <v>44150</v>
      </c>
      <c r="VPM37" s="1551"/>
      <c r="VPN37" s="1551">
        <v>44150</v>
      </c>
      <c r="VPO37" s="1551"/>
      <c r="VPP37" s="1551">
        <v>44150</v>
      </c>
      <c r="VPQ37" s="1551"/>
      <c r="VPR37" s="1551">
        <v>44150</v>
      </c>
      <c r="VPS37" s="1551">
        <v>44150</v>
      </c>
      <c r="VPT37" s="1551"/>
      <c r="VPU37" s="1551">
        <v>44150</v>
      </c>
      <c r="VPV37" s="1551"/>
      <c r="VPW37" s="1551">
        <v>44150</v>
      </c>
      <c r="VPX37" s="1551"/>
      <c r="VPY37" s="1551">
        <v>44150</v>
      </c>
      <c r="VPZ37" s="1551">
        <v>44150</v>
      </c>
      <c r="VQA37" s="1551"/>
      <c r="VQB37" s="1551">
        <v>44150</v>
      </c>
      <c r="VQC37" s="1551"/>
      <c r="VQD37" s="1551">
        <v>44150</v>
      </c>
      <c r="VQE37" s="1551"/>
      <c r="VQF37" s="1551">
        <v>44150</v>
      </c>
      <c r="VQG37" s="1551">
        <v>44150</v>
      </c>
      <c r="VQH37" s="1551"/>
      <c r="VQI37" s="1551">
        <v>44150</v>
      </c>
      <c r="VQJ37" s="1551"/>
      <c r="VQK37" s="1551">
        <v>44150</v>
      </c>
      <c r="VQL37" s="1551"/>
      <c r="VQM37" s="1551">
        <v>44150</v>
      </c>
      <c r="VQN37" s="1551">
        <v>44150</v>
      </c>
      <c r="VQO37" s="1551"/>
      <c r="VQP37" s="1551">
        <v>44150</v>
      </c>
      <c r="VQQ37" s="1551"/>
      <c r="VQR37" s="1551">
        <v>44150</v>
      </c>
      <c r="VQS37" s="1551"/>
      <c r="VQT37" s="1551">
        <v>44150</v>
      </c>
      <c r="VQU37" s="1551">
        <v>44150</v>
      </c>
      <c r="VQV37" s="1551"/>
      <c r="VQW37" s="1551">
        <v>44150</v>
      </c>
      <c r="VQX37" s="1551"/>
      <c r="VQY37" s="1551">
        <v>44150</v>
      </c>
      <c r="VQZ37" s="1551"/>
      <c r="VRA37" s="1551">
        <v>44150</v>
      </c>
      <c r="VRB37" s="1551">
        <v>44150</v>
      </c>
      <c r="VRC37" s="1551"/>
      <c r="VRD37" s="1551">
        <v>44150</v>
      </c>
      <c r="VRE37" s="1551"/>
      <c r="VRF37" s="1551">
        <v>44150</v>
      </c>
      <c r="VRG37" s="1551"/>
      <c r="VRH37" s="1551">
        <v>44150</v>
      </c>
      <c r="VRI37" s="1551">
        <v>44150</v>
      </c>
      <c r="VRJ37" s="1551"/>
      <c r="VRK37" s="1551">
        <v>44150</v>
      </c>
      <c r="VRL37" s="1551"/>
      <c r="VRM37" s="1551">
        <v>44150</v>
      </c>
      <c r="VRN37" s="1551"/>
      <c r="VRO37" s="1551">
        <v>44150</v>
      </c>
      <c r="VRP37" s="1551">
        <v>44150</v>
      </c>
      <c r="VRQ37" s="1551"/>
      <c r="VRR37" s="1551">
        <v>44150</v>
      </c>
      <c r="VRS37" s="1551"/>
      <c r="VRT37" s="1551">
        <v>44150</v>
      </c>
      <c r="VRU37" s="1551"/>
      <c r="VRV37" s="1551">
        <v>44150</v>
      </c>
      <c r="VRW37" s="1551">
        <v>44150</v>
      </c>
      <c r="VRX37" s="1551"/>
      <c r="VRY37" s="1551">
        <v>44150</v>
      </c>
      <c r="VRZ37" s="1551"/>
      <c r="VSA37" s="1551">
        <v>44150</v>
      </c>
      <c r="VSB37" s="1551"/>
      <c r="VSC37" s="1551">
        <v>44150</v>
      </c>
      <c r="VSD37" s="1551">
        <v>44150</v>
      </c>
      <c r="VSE37" s="1551"/>
      <c r="VSF37" s="1551">
        <v>44150</v>
      </c>
      <c r="VSG37" s="1551"/>
      <c r="VSH37" s="1551">
        <v>44150</v>
      </c>
      <c r="VSI37" s="1551"/>
      <c r="VSJ37" s="1551">
        <v>44150</v>
      </c>
      <c r="VSK37" s="1551">
        <v>44150</v>
      </c>
      <c r="VSL37" s="1551"/>
      <c r="VSM37" s="1551">
        <v>44150</v>
      </c>
      <c r="VSN37" s="1551"/>
      <c r="VSO37" s="1551">
        <v>44150</v>
      </c>
      <c r="VSP37" s="1551"/>
      <c r="VSQ37" s="1551">
        <v>44150</v>
      </c>
      <c r="VSR37" s="1551">
        <v>44150</v>
      </c>
      <c r="VSS37" s="1551"/>
      <c r="VST37" s="1551">
        <v>44150</v>
      </c>
      <c r="VSU37" s="1551"/>
      <c r="VSV37" s="1551">
        <v>44150</v>
      </c>
      <c r="VSW37" s="1551"/>
      <c r="VSX37" s="1551">
        <v>44150</v>
      </c>
      <c r="VSY37" s="1551">
        <v>44150</v>
      </c>
      <c r="VSZ37" s="1551"/>
      <c r="VTA37" s="1551">
        <v>44150</v>
      </c>
      <c r="VTB37" s="1551"/>
      <c r="VTC37" s="1551">
        <v>44150</v>
      </c>
      <c r="VTD37" s="1551"/>
      <c r="VTE37" s="1551">
        <v>44150</v>
      </c>
      <c r="VTF37" s="1551">
        <v>44150</v>
      </c>
      <c r="VTG37" s="1551"/>
      <c r="VTH37" s="1551">
        <v>44150</v>
      </c>
      <c r="VTI37" s="1551"/>
      <c r="VTJ37" s="1551">
        <v>44150</v>
      </c>
      <c r="VTK37" s="1551"/>
      <c r="VTL37" s="1551">
        <v>44150</v>
      </c>
      <c r="VTM37" s="1551">
        <v>44150</v>
      </c>
      <c r="VTN37" s="1551"/>
      <c r="VTO37" s="1551">
        <v>44150</v>
      </c>
      <c r="VTP37" s="1551"/>
      <c r="VTQ37" s="1551">
        <v>44150</v>
      </c>
      <c r="VTR37" s="1551"/>
      <c r="VTS37" s="1551">
        <v>44150</v>
      </c>
      <c r="VTT37" s="1551">
        <v>44150</v>
      </c>
      <c r="VTU37" s="1551"/>
      <c r="VTV37" s="1551">
        <v>44150</v>
      </c>
      <c r="VTW37" s="1551"/>
      <c r="VTX37" s="1551">
        <v>44150</v>
      </c>
      <c r="VTY37" s="1551"/>
      <c r="VTZ37" s="1551">
        <v>44150</v>
      </c>
      <c r="VUA37" s="1551">
        <v>44150</v>
      </c>
      <c r="VUB37" s="1551"/>
      <c r="VUC37" s="1551">
        <v>44150</v>
      </c>
      <c r="VUD37" s="1551"/>
      <c r="VUE37" s="1551">
        <v>44150</v>
      </c>
      <c r="VUF37" s="1551"/>
      <c r="VUG37" s="1551">
        <v>44150</v>
      </c>
      <c r="VUH37" s="1551">
        <v>44150</v>
      </c>
      <c r="VUI37" s="1551"/>
      <c r="VUJ37" s="1551">
        <v>44150</v>
      </c>
      <c r="VUK37" s="1551"/>
      <c r="VUL37" s="1551">
        <v>44150</v>
      </c>
      <c r="VUM37" s="1551"/>
      <c r="VUN37" s="1551">
        <v>44150</v>
      </c>
      <c r="VUO37" s="1551">
        <v>44150</v>
      </c>
      <c r="VUP37" s="1551"/>
      <c r="VUQ37" s="1551">
        <v>44150</v>
      </c>
      <c r="VUR37" s="1551"/>
      <c r="VUS37" s="1551">
        <v>44150</v>
      </c>
      <c r="VUT37" s="1551"/>
      <c r="VUU37" s="1551">
        <v>44150</v>
      </c>
      <c r="VUV37" s="1551">
        <v>44150</v>
      </c>
      <c r="VUW37" s="1551"/>
      <c r="VUX37" s="1551">
        <v>44150</v>
      </c>
      <c r="VUY37" s="1551"/>
      <c r="VUZ37" s="1551">
        <v>44150</v>
      </c>
      <c r="VVA37" s="1551"/>
      <c r="VVB37" s="1551">
        <v>44150</v>
      </c>
      <c r="VVC37" s="1551">
        <v>44150</v>
      </c>
      <c r="VVD37" s="1551"/>
      <c r="VVE37" s="1551">
        <v>44150</v>
      </c>
      <c r="VVF37" s="1551"/>
      <c r="VVG37" s="1551">
        <v>44150</v>
      </c>
      <c r="VVH37" s="1551"/>
      <c r="VVI37" s="1551">
        <v>44150</v>
      </c>
      <c r="VVJ37" s="1551">
        <v>44150</v>
      </c>
      <c r="VVK37" s="1551"/>
      <c r="VVL37" s="1551">
        <v>44150</v>
      </c>
      <c r="VVM37" s="1551"/>
      <c r="VVN37" s="1551">
        <v>44150</v>
      </c>
      <c r="VVO37" s="1551"/>
      <c r="VVP37" s="1551">
        <v>44150</v>
      </c>
      <c r="VVQ37" s="1551">
        <v>44150</v>
      </c>
      <c r="VVR37" s="1551"/>
      <c r="VVS37" s="1551">
        <v>44150</v>
      </c>
      <c r="VVT37" s="1551"/>
      <c r="VVU37" s="1551">
        <v>44150</v>
      </c>
      <c r="VVV37" s="1551"/>
      <c r="VVW37" s="1551">
        <v>44150</v>
      </c>
      <c r="VVX37" s="1551">
        <v>44150</v>
      </c>
      <c r="VVY37" s="1551"/>
      <c r="VVZ37" s="1551">
        <v>44150</v>
      </c>
      <c r="VWA37" s="1551"/>
      <c r="VWB37" s="1551">
        <v>44150</v>
      </c>
      <c r="VWC37" s="1551"/>
      <c r="VWD37" s="1551">
        <v>44150</v>
      </c>
      <c r="VWE37" s="1551">
        <v>44150</v>
      </c>
      <c r="VWF37" s="1551"/>
      <c r="VWG37" s="1551">
        <v>44150</v>
      </c>
      <c r="VWH37" s="1551"/>
      <c r="VWI37" s="1551">
        <v>44150</v>
      </c>
      <c r="VWJ37" s="1551"/>
      <c r="VWK37" s="1551">
        <v>44150</v>
      </c>
      <c r="VWL37" s="1551">
        <v>44150</v>
      </c>
      <c r="VWM37" s="1551"/>
      <c r="VWN37" s="1551">
        <v>44150</v>
      </c>
      <c r="VWO37" s="1551"/>
      <c r="VWP37" s="1551">
        <v>44150</v>
      </c>
      <c r="VWQ37" s="1551"/>
      <c r="VWR37" s="1551">
        <v>44150</v>
      </c>
      <c r="VWS37" s="1551">
        <v>44150</v>
      </c>
      <c r="VWT37" s="1551"/>
      <c r="VWU37" s="1551">
        <v>44150</v>
      </c>
      <c r="VWV37" s="1551"/>
      <c r="VWW37" s="1551">
        <v>44150</v>
      </c>
      <c r="VWX37" s="1551"/>
      <c r="VWY37" s="1551">
        <v>44150</v>
      </c>
      <c r="VWZ37" s="1551">
        <v>44150</v>
      </c>
      <c r="VXA37" s="1551"/>
      <c r="VXB37" s="1551">
        <v>44150</v>
      </c>
      <c r="VXC37" s="1551"/>
      <c r="VXD37" s="1551">
        <v>44150</v>
      </c>
      <c r="VXE37" s="1551"/>
      <c r="VXF37" s="1551">
        <v>44150</v>
      </c>
      <c r="VXG37" s="1551">
        <v>44150</v>
      </c>
      <c r="VXH37" s="1551"/>
      <c r="VXI37" s="1551">
        <v>44150</v>
      </c>
      <c r="VXJ37" s="1551"/>
      <c r="VXK37" s="1551">
        <v>44150</v>
      </c>
      <c r="VXL37" s="1551"/>
      <c r="VXM37" s="1551">
        <v>44150</v>
      </c>
      <c r="VXN37" s="1551">
        <v>44150</v>
      </c>
      <c r="VXO37" s="1551"/>
      <c r="VXP37" s="1551">
        <v>44150</v>
      </c>
      <c r="VXQ37" s="1551"/>
      <c r="VXR37" s="1551">
        <v>44150</v>
      </c>
      <c r="VXS37" s="1551"/>
      <c r="VXT37" s="1551">
        <v>44150</v>
      </c>
      <c r="VXU37" s="1551">
        <v>44150</v>
      </c>
      <c r="VXV37" s="1551"/>
      <c r="VXW37" s="1551">
        <v>44150</v>
      </c>
      <c r="VXX37" s="1551"/>
      <c r="VXY37" s="1551">
        <v>44150</v>
      </c>
      <c r="VXZ37" s="1551"/>
      <c r="VYA37" s="1551">
        <v>44150</v>
      </c>
      <c r="VYB37" s="1551">
        <v>44150</v>
      </c>
      <c r="VYC37" s="1551"/>
      <c r="VYD37" s="1551">
        <v>44150</v>
      </c>
      <c r="VYE37" s="1551"/>
      <c r="VYF37" s="1551">
        <v>44150</v>
      </c>
      <c r="VYG37" s="1551"/>
      <c r="VYH37" s="1551">
        <v>44150</v>
      </c>
      <c r="VYI37" s="1551">
        <v>44150</v>
      </c>
      <c r="VYJ37" s="1551"/>
      <c r="VYK37" s="1551">
        <v>44150</v>
      </c>
      <c r="VYL37" s="1551"/>
      <c r="VYM37" s="1551">
        <v>44150</v>
      </c>
      <c r="VYN37" s="1551"/>
      <c r="VYO37" s="1551">
        <v>44150</v>
      </c>
      <c r="VYP37" s="1551">
        <v>44150</v>
      </c>
      <c r="VYQ37" s="1551"/>
      <c r="VYR37" s="1551">
        <v>44150</v>
      </c>
      <c r="VYS37" s="1551"/>
      <c r="VYT37" s="1551">
        <v>44150</v>
      </c>
      <c r="VYU37" s="1551"/>
      <c r="VYV37" s="1551">
        <v>44150</v>
      </c>
      <c r="VYW37" s="1551">
        <v>44150</v>
      </c>
      <c r="VYX37" s="1551"/>
      <c r="VYY37" s="1551">
        <v>44150</v>
      </c>
      <c r="VYZ37" s="1551"/>
      <c r="VZA37" s="1551">
        <v>44150</v>
      </c>
      <c r="VZB37" s="1551"/>
      <c r="VZC37" s="1551">
        <v>44150</v>
      </c>
      <c r="VZD37" s="1551">
        <v>44150</v>
      </c>
      <c r="VZE37" s="1551"/>
      <c r="VZF37" s="1551">
        <v>44150</v>
      </c>
      <c r="VZG37" s="1551"/>
      <c r="VZH37" s="1551">
        <v>44150</v>
      </c>
      <c r="VZI37" s="1551"/>
      <c r="VZJ37" s="1551">
        <v>44150</v>
      </c>
      <c r="VZK37" s="1551">
        <v>44150</v>
      </c>
      <c r="VZL37" s="1551"/>
      <c r="VZM37" s="1551">
        <v>44150</v>
      </c>
      <c r="VZN37" s="1551"/>
      <c r="VZO37" s="1551">
        <v>44150</v>
      </c>
      <c r="VZP37" s="1551"/>
      <c r="VZQ37" s="1551">
        <v>44150</v>
      </c>
      <c r="VZR37" s="1551">
        <v>44150</v>
      </c>
      <c r="VZS37" s="1551"/>
      <c r="VZT37" s="1551">
        <v>44150</v>
      </c>
      <c r="VZU37" s="1551"/>
      <c r="VZV37" s="1551">
        <v>44150</v>
      </c>
      <c r="VZW37" s="1551"/>
      <c r="VZX37" s="1551">
        <v>44150</v>
      </c>
      <c r="VZY37" s="1551">
        <v>44150</v>
      </c>
      <c r="VZZ37" s="1551"/>
      <c r="WAA37" s="1551">
        <v>44150</v>
      </c>
      <c r="WAB37" s="1551"/>
      <c r="WAC37" s="1551">
        <v>44150</v>
      </c>
      <c r="WAD37" s="1551"/>
      <c r="WAE37" s="1551">
        <v>44150</v>
      </c>
      <c r="WAF37" s="1551">
        <v>44150</v>
      </c>
      <c r="WAG37" s="1551"/>
      <c r="WAH37" s="1551">
        <v>44150</v>
      </c>
      <c r="WAI37" s="1551"/>
      <c r="WAJ37" s="1551">
        <v>44150</v>
      </c>
      <c r="WAK37" s="1551"/>
      <c r="WAL37" s="1551">
        <v>44150</v>
      </c>
      <c r="WAM37" s="1551">
        <v>44150</v>
      </c>
      <c r="WAN37" s="1551"/>
      <c r="WAO37" s="1551">
        <v>44150</v>
      </c>
      <c r="WAP37" s="1551"/>
      <c r="WAQ37" s="1551">
        <v>44150</v>
      </c>
      <c r="WAR37" s="1551"/>
      <c r="WAS37" s="1551">
        <v>44150</v>
      </c>
      <c r="WAT37" s="1551">
        <v>44150</v>
      </c>
      <c r="WAU37" s="1551"/>
      <c r="WAV37" s="1551">
        <v>44150</v>
      </c>
      <c r="WAW37" s="1551"/>
      <c r="WAX37" s="1551">
        <v>44150</v>
      </c>
      <c r="WAY37" s="1551"/>
      <c r="WAZ37" s="1551">
        <v>44150</v>
      </c>
      <c r="WBA37" s="1551">
        <v>44150</v>
      </c>
      <c r="WBB37" s="1551"/>
      <c r="WBC37" s="1551">
        <v>44150</v>
      </c>
      <c r="WBD37" s="1551"/>
      <c r="WBE37" s="1551">
        <v>44150</v>
      </c>
      <c r="WBF37" s="1551"/>
      <c r="WBG37" s="1551">
        <v>44150</v>
      </c>
      <c r="WBH37" s="1551">
        <v>44150</v>
      </c>
      <c r="WBI37" s="1551"/>
      <c r="WBJ37" s="1551">
        <v>44150</v>
      </c>
      <c r="WBK37" s="1551"/>
      <c r="WBL37" s="1551">
        <v>44150</v>
      </c>
      <c r="WBM37" s="1551"/>
      <c r="WBN37" s="1551">
        <v>44150</v>
      </c>
      <c r="WBO37" s="1551">
        <v>44150</v>
      </c>
      <c r="WBP37" s="1551"/>
      <c r="WBQ37" s="1551">
        <v>44150</v>
      </c>
      <c r="WBR37" s="1551"/>
      <c r="WBS37" s="1551">
        <v>44150</v>
      </c>
      <c r="WBT37" s="1551"/>
      <c r="WBU37" s="1551">
        <v>44150</v>
      </c>
      <c r="WBV37" s="1551">
        <v>44150</v>
      </c>
      <c r="WBW37" s="1551"/>
      <c r="WBX37" s="1551">
        <v>44150</v>
      </c>
      <c r="WBY37" s="1551"/>
      <c r="WBZ37" s="1551">
        <v>44150</v>
      </c>
      <c r="WCA37" s="1551"/>
      <c r="WCB37" s="1551">
        <v>44150</v>
      </c>
      <c r="WCC37" s="1551">
        <v>44150</v>
      </c>
      <c r="WCD37" s="1551"/>
      <c r="WCE37" s="1551">
        <v>44150</v>
      </c>
      <c r="WCF37" s="1551"/>
      <c r="WCG37" s="1551">
        <v>44150</v>
      </c>
      <c r="WCH37" s="1551"/>
      <c r="WCI37" s="1551">
        <v>44150</v>
      </c>
      <c r="WCJ37" s="1551">
        <v>44150</v>
      </c>
      <c r="WCK37" s="1551"/>
      <c r="WCL37" s="1551">
        <v>44150</v>
      </c>
      <c r="WCM37" s="1551"/>
      <c r="WCN37" s="1551">
        <v>44150</v>
      </c>
      <c r="WCO37" s="1551"/>
      <c r="WCP37" s="1551">
        <v>44150</v>
      </c>
      <c r="WCQ37" s="1551">
        <v>44150</v>
      </c>
      <c r="WCR37" s="1551"/>
      <c r="WCS37" s="1551">
        <v>44150</v>
      </c>
      <c r="WCT37" s="1551"/>
      <c r="WCU37" s="1551">
        <v>44150</v>
      </c>
      <c r="WCV37" s="1551"/>
      <c r="WCW37" s="1551">
        <v>44150</v>
      </c>
      <c r="WCX37" s="1551">
        <v>44150</v>
      </c>
      <c r="WCY37" s="1551"/>
      <c r="WCZ37" s="1551">
        <v>44150</v>
      </c>
      <c r="WDA37" s="1551"/>
      <c r="WDB37" s="1551">
        <v>44150</v>
      </c>
      <c r="WDC37" s="1551"/>
      <c r="WDD37" s="1551">
        <v>44150</v>
      </c>
      <c r="WDE37" s="1551">
        <v>44150</v>
      </c>
      <c r="WDF37" s="1551"/>
      <c r="WDG37" s="1551">
        <v>44150</v>
      </c>
      <c r="WDH37" s="1551"/>
      <c r="WDI37" s="1551">
        <v>44150</v>
      </c>
      <c r="WDJ37" s="1551"/>
      <c r="WDK37" s="1551">
        <v>44150</v>
      </c>
      <c r="WDL37" s="1551">
        <v>44150</v>
      </c>
      <c r="WDM37" s="1551"/>
      <c r="WDN37" s="1551">
        <v>44150</v>
      </c>
      <c r="WDO37" s="1551"/>
      <c r="WDP37" s="1551">
        <v>44150</v>
      </c>
      <c r="WDQ37" s="1551"/>
      <c r="WDR37" s="1551">
        <v>44150</v>
      </c>
      <c r="WDS37" s="1551">
        <v>44150</v>
      </c>
      <c r="WDT37" s="1551"/>
      <c r="WDU37" s="1551">
        <v>44150</v>
      </c>
      <c r="WDV37" s="1551"/>
      <c r="WDW37" s="1551">
        <v>44150</v>
      </c>
      <c r="WDX37" s="1551"/>
      <c r="WDY37" s="1551">
        <v>44150</v>
      </c>
      <c r="WDZ37" s="1551">
        <v>44150</v>
      </c>
      <c r="WEA37" s="1551"/>
      <c r="WEB37" s="1551">
        <v>44150</v>
      </c>
      <c r="WEC37" s="1551"/>
      <c r="WED37" s="1551">
        <v>44150</v>
      </c>
      <c r="WEE37" s="1551"/>
      <c r="WEF37" s="1551">
        <v>44150</v>
      </c>
      <c r="WEG37" s="1551">
        <v>44150</v>
      </c>
      <c r="WEH37" s="1551"/>
      <c r="WEI37" s="1551">
        <v>44150</v>
      </c>
      <c r="WEJ37" s="1551"/>
      <c r="WEK37" s="1551">
        <v>44150</v>
      </c>
      <c r="WEL37" s="1551"/>
      <c r="WEM37" s="1551">
        <v>44150</v>
      </c>
      <c r="WEN37" s="1551">
        <v>44150</v>
      </c>
      <c r="WEO37" s="1551"/>
      <c r="WEP37" s="1551">
        <v>44150</v>
      </c>
      <c r="WEQ37" s="1551"/>
      <c r="WER37" s="1551">
        <v>44150</v>
      </c>
      <c r="WES37" s="1551"/>
      <c r="WET37" s="1551">
        <v>44150</v>
      </c>
      <c r="WEU37" s="1551">
        <v>44150</v>
      </c>
      <c r="WEV37" s="1551"/>
      <c r="WEW37" s="1551">
        <v>44150</v>
      </c>
      <c r="WEX37" s="1551"/>
      <c r="WEY37" s="1551">
        <v>44150</v>
      </c>
      <c r="WEZ37" s="1551"/>
      <c r="WFA37" s="1551">
        <v>44150</v>
      </c>
      <c r="WFB37" s="1551">
        <v>44150</v>
      </c>
      <c r="WFC37" s="1551"/>
      <c r="WFD37" s="1551">
        <v>44150</v>
      </c>
      <c r="WFE37" s="1551"/>
      <c r="WFF37" s="1551">
        <v>44150</v>
      </c>
      <c r="WFG37" s="1551"/>
      <c r="WFH37" s="1551">
        <v>44150</v>
      </c>
      <c r="WFI37" s="1551">
        <v>44150</v>
      </c>
      <c r="WFJ37" s="1551"/>
      <c r="WFK37" s="1551">
        <v>44150</v>
      </c>
      <c r="WFL37" s="1551"/>
      <c r="WFM37" s="1551">
        <v>44150</v>
      </c>
      <c r="WFN37" s="1551"/>
      <c r="WFO37" s="1551">
        <v>44150</v>
      </c>
      <c r="WFP37" s="1551">
        <v>44150</v>
      </c>
      <c r="WFQ37" s="1551"/>
      <c r="WFR37" s="1551">
        <v>44150</v>
      </c>
      <c r="WFS37" s="1551"/>
      <c r="WFT37" s="1551">
        <v>44150</v>
      </c>
      <c r="WFU37" s="1551"/>
      <c r="WFV37" s="1551">
        <v>44150</v>
      </c>
      <c r="WFW37" s="1551">
        <v>44150</v>
      </c>
      <c r="WFX37" s="1551"/>
      <c r="WFY37" s="1551">
        <v>44150</v>
      </c>
      <c r="WFZ37" s="1551"/>
      <c r="WGA37" s="1551">
        <v>44150</v>
      </c>
      <c r="WGB37" s="1551"/>
      <c r="WGC37" s="1551">
        <v>44150</v>
      </c>
      <c r="WGD37" s="1551">
        <v>44150</v>
      </c>
      <c r="WGE37" s="1551"/>
      <c r="WGF37" s="1551">
        <v>44150</v>
      </c>
      <c r="WGG37" s="1551"/>
      <c r="WGH37" s="1551">
        <v>44150</v>
      </c>
      <c r="WGI37" s="1551"/>
      <c r="WGJ37" s="1551">
        <v>44150</v>
      </c>
      <c r="WGK37" s="1551">
        <v>44150</v>
      </c>
      <c r="WGL37" s="1551"/>
      <c r="WGM37" s="1551">
        <v>44150</v>
      </c>
      <c r="WGN37" s="1551"/>
      <c r="WGO37" s="1551">
        <v>44150</v>
      </c>
      <c r="WGP37" s="1551"/>
      <c r="WGQ37" s="1551">
        <v>44150</v>
      </c>
      <c r="WGR37" s="1551">
        <v>44150</v>
      </c>
      <c r="WGS37" s="1551"/>
      <c r="WGT37" s="1551">
        <v>44150</v>
      </c>
      <c r="WGU37" s="1551"/>
      <c r="WGV37" s="1551">
        <v>44150</v>
      </c>
      <c r="WGW37" s="1551"/>
      <c r="WGX37" s="1551">
        <v>44150</v>
      </c>
      <c r="WGY37" s="1551">
        <v>44150</v>
      </c>
      <c r="WGZ37" s="1551"/>
      <c r="WHA37" s="1551">
        <v>44150</v>
      </c>
      <c r="WHB37" s="1551"/>
      <c r="WHC37" s="1551">
        <v>44150</v>
      </c>
      <c r="WHD37" s="1551"/>
      <c r="WHE37" s="1551">
        <v>44150</v>
      </c>
      <c r="WHF37" s="1551">
        <v>44150</v>
      </c>
      <c r="WHG37" s="1551"/>
      <c r="WHH37" s="1551">
        <v>44150</v>
      </c>
      <c r="WHI37" s="1551"/>
      <c r="WHJ37" s="1551">
        <v>44150</v>
      </c>
      <c r="WHK37" s="1551"/>
      <c r="WHL37" s="1551">
        <v>44150</v>
      </c>
      <c r="WHM37" s="1551">
        <v>44150</v>
      </c>
      <c r="WHN37" s="1551"/>
      <c r="WHO37" s="1551">
        <v>44150</v>
      </c>
      <c r="WHP37" s="1551"/>
      <c r="WHQ37" s="1551">
        <v>44150</v>
      </c>
      <c r="WHR37" s="1551"/>
      <c r="WHS37" s="1551">
        <v>44150</v>
      </c>
      <c r="WHT37" s="1551">
        <v>44150</v>
      </c>
      <c r="WHU37" s="1551"/>
      <c r="WHV37" s="1551">
        <v>44150</v>
      </c>
      <c r="WHW37" s="1551"/>
      <c r="WHX37" s="1551">
        <v>44150</v>
      </c>
      <c r="WHY37" s="1551"/>
      <c r="WHZ37" s="1551">
        <v>44150</v>
      </c>
      <c r="WIA37" s="1551">
        <v>44150</v>
      </c>
      <c r="WIB37" s="1551"/>
      <c r="WIC37" s="1551">
        <v>44150</v>
      </c>
      <c r="WID37" s="1551"/>
      <c r="WIE37" s="1551">
        <v>44150</v>
      </c>
      <c r="WIF37" s="1551"/>
      <c r="WIG37" s="1551">
        <v>44150</v>
      </c>
      <c r="WIH37" s="1551">
        <v>44150</v>
      </c>
      <c r="WII37" s="1551"/>
      <c r="WIJ37" s="1551">
        <v>44150</v>
      </c>
      <c r="WIK37" s="1551"/>
      <c r="WIL37" s="1551">
        <v>44150</v>
      </c>
      <c r="WIM37" s="1551"/>
      <c r="WIN37" s="1551">
        <v>44150</v>
      </c>
      <c r="WIO37" s="1551">
        <v>44150</v>
      </c>
      <c r="WIP37" s="1551"/>
      <c r="WIQ37" s="1551">
        <v>44150</v>
      </c>
      <c r="WIR37" s="1551"/>
      <c r="WIS37" s="1551">
        <v>44150</v>
      </c>
      <c r="WIT37" s="1551"/>
      <c r="WIU37" s="1551">
        <v>44150</v>
      </c>
      <c r="WIV37" s="1551">
        <v>44150</v>
      </c>
      <c r="WIW37" s="1551"/>
      <c r="WIX37" s="1551">
        <v>44150</v>
      </c>
      <c r="WIY37" s="1551"/>
      <c r="WIZ37" s="1551">
        <v>44150</v>
      </c>
      <c r="WJA37" s="1551"/>
      <c r="WJB37" s="1551">
        <v>44150</v>
      </c>
      <c r="WJC37" s="1551">
        <v>44150</v>
      </c>
      <c r="WJD37" s="1551"/>
      <c r="WJE37" s="1551">
        <v>44150</v>
      </c>
      <c r="WJF37" s="1551"/>
      <c r="WJG37" s="1551">
        <v>44150</v>
      </c>
      <c r="WJH37" s="1551"/>
      <c r="WJI37" s="1551">
        <v>44150</v>
      </c>
      <c r="WJJ37" s="1551">
        <v>44150</v>
      </c>
      <c r="WJK37" s="1551"/>
      <c r="WJL37" s="1551">
        <v>44150</v>
      </c>
      <c r="WJM37" s="1551"/>
      <c r="WJN37" s="1551">
        <v>44150</v>
      </c>
      <c r="WJO37" s="1551"/>
      <c r="WJP37" s="1551">
        <v>44150</v>
      </c>
      <c r="WJQ37" s="1551">
        <v>44150</v>
      </c>
      <c r="WJR37" s="1551"/>
      <c r="WJS37" s="1551">
        <v>44150</v>
      </c>
      <c r="WJT37" s="1551"/>
      <c r="WJU37" s="1551">
        <v>44150</v>
      </c>
      <c r="WJV37" s="1551"/>
      <c r="WJW37" s="1551">
        <v>44150</v>
      </c>
      <c r="WJX37" s="1551">
        <v>44150</v>
      </c>
      <c r="WJY37" s="1551"/>
      <c r="WJZ37" s="1551">
        <v>44150</v>
      </c>
      <c r="WKA37" s="1551"/>
      <c r="WKB37" s="1551">
        <v>44150</v>
      </c>
      <c r="WKC37" s="1551"/>
      <c r="WKD37" s="1551">
        <v>44150</v>
      </c>
      <c r="WKE37" s="1551">
        <v>44150</v>
      </c>
      <c r="WKF37" s="1551"/>
      <c r="WKG37" s="1551">
        <v>44150</v>
      </c>
      <c r="WKH37" s="1551"/>
      <c r="WKI37" s="1551">
        <v>44150</v>
      </c>
      <c r="WKJ37" s="1551"/>
      <c r="WKK37" s="1551">
        <v>44150</v>
      </c>
      <c r="WKL37" s="1551">
        <v>44150</v>
      </c>
      <c r="WKM37" s="1551"/>
      <c r="WKN37" s="1551">
        <v>44150</v>
      </c>
      <c r="WKO37" s="1551"/>
      <c r="WKP37" s="1551">
        <v>44150</v>
      </c>
      <c r="WKQ37" s="1551"/>
      <c r="WKR37" s="1551">
        <v>44150</v>
      </c>
      <c r="WKS37" s="1551">
        <v>44150</v>
      </c>
      <c r="WKT37" s="1551"/>
      <c r="WKU37" s="1551">
        <v>44150</v>
      </c>
      <c r="WKV37" s="1551"/>
      <c r="WKW37" s="1551">
        <v>44150</v>
      </c>
      <c r="WKX37" s="1551"/>
      <c r="WKY37" s="1551">
        <v>44150</v>
      </c>
      <c r="WKZ37" s="1551">
        <v>44150</v>
      </c>
      <c r="WLA37" s="1551"/>
      <c r="WLB37" s="1551">
        <v>44150</v>
      </c>
      <c r="WLC37" s="1551"/>
      <c r="WLD37" s="1551">
        <v>44150</v>
      </c>
      <c r="WLE37" s="1551"/>
      <c r="WLF37" s="1551">
        <v>44150</v>
      </c>
      <c r="WLG37" s="1551">
        <v>44150</v>
      </c>
      <c r="WLH37" s="1551"/>
      <c r="WLI37" s="1551">
        <v>44150</v>
      </c>
      <c r="WLJ37" s="1551"/>
      <c r="WLK37" s="1551">
        <v>44150</v>
      </c>
      <c r="WLL37" s="1551"/>
      <c r="WLM37" s="1551">
        <v>44150</v>
      </c>
      <c r="WLN37" s="1551">
        <v>44150</v>
      </c>
      <c r="WLO37" s="1551"/>
      <c r="WLP37" s="1551">
        <v>44150</v>
      </c>
      <c r="WLQ37" s="1551"/>
      <c r="WLR37" s="1551">
        <v>44150</v>
      </c>
      <c r="WLS37" s="1551"/>
      <c r="WLT37" s="1551">
        <v>44150</v>
      </c>
      <c r="WLU37" s="1551">
        <v>44150</v>
      </c>
      <c r="WLV37" s="1551"/>
      <c r="WLW37" s="1551">
        <v>44150</v>
      </c>
      <c r="WLX37" s="1551"/>
      <c r="WLY37" s="1551">
        <v>44150</v>
      </c>
      <c r="WLZ37" s="1551"/>
      <c r="WMA37" s="1551">
        <v>44150</v>
      </c>
      <c r="WMB37" s="1551">
        <v>44150</v>
      </c>
      <c r="WMC37" s="1551"/>
      <c r="WMD37" s="1551">
        <v>44150</v>
      </c>
      <c r="WME37" s="1551"/>
      <c r="WMF37" s="1551">
        <v>44150</v>
      </c>
      <c r="WMG37" s="1551"/>
      <c r="WMH37" s="1551">
        <v>44150</v>
      </c>
      <c r="WMI37" s="1551">
        <v>44150</v>
      </c>
      <c r="WMJ37" s="1551"/>
      <c r="WMK37" s="1551">
        <v>44150</v>
      </c>
      <c r="WML37" s="1551"/>
      <c r="WMM37" s="1551">
        <v>44150</v>
      </c>
      <c r="WMN37" s="1551"/>
      <c r="WMO37" s="1551">
        <v>44150</v>
      </c>
      <c r="WMP37" s="1551">
        <v>44150</v>
      </c>
      <c r="WMQ37" s="1551"/>
      <c r="WMR37" s="1551">
        <v>44150</v>
      </c>
      <c r="WMS37" s="1551"/>
      <c r="WMT37" s="1551">
        <v>44150</v>
      </c>
      <c r="WMU37" s="1551"/>
      <c r="WMV37" s="1551">
        <v>44150</v>
      </c>
      <c r="WMW37" s="1551">
        <v>44150</v>
      </c>
      <c r="WMX37" s="1551"/>
      <c r="WMY37" s="1551">
        <v>44150</v>
      </c>
      <c r="WMZ37" s="1551"/>
      <c r="WNA37" s="1551">
        <v>44150</v>
      </c>
      <c r="WNB37" s="1551"/>
      <c r="WNC37" s="1551">
        <v>44150</v>
      </c>
      <c r="WND37" s="1551">
        <v>44150</v>
      </c>
      <c r="WNE37" s="1551"/>
      <c r="WNF37" s="1551">
        <v>44150</v>
      </c>
      <c r="WNG37" s="1551"/>
      <c r="WNH37" s="1551">
        <v>44150</v>
      </c>
      <c r="WNI37" s="1551"/>
      <c r="WNJ37" s="1551">
        <v>44150</v>
      </c>
      <c r="WNK37" s="1551">
        <v>44150</v>
      </c>
      <c r="WNL37" s="1551"/>
      <c r="WNM37" s="1551">
        <v>44150</v>
      </c>
      <c r="WNN37" s="1551"/>
      <c r="WNO37" s="1551">
        <v>44150</v>
      </c>
      <c r="WNP37" s="1551"/>
      <c r="WNQ37" s="1551">
        <v>44150</v>
      </c>
      <c r="WNR37" s="1551">
        <v>44150</v>
      </c>
      <c r="WNS37" s="1551"/>
      <c r="WNT37" s="1551">
        <v>44150</v>
      </c>
      <c r="WNU37" s="1551"/>
      <c r="WNV37" s="1551">
        <v>44150</v>
      </c>
      <c r="WNW37" s="1551"/>
      <c r="WNX37" s="1551">
        <v>44150</v>
      </c>
      <c r="WNY37" s="1551">
        <v>44150</v>
      </c>
      <c r="WNZ37" s="1551"/>
      <c r="WOA37" s="1551">
        <v>44150</v>
      </c>
      <c r="WOB37" s="1551"/>
      <c r="WOC37" s="1551">
        <v>44150</v>
      </c>
      <c r="WOD37" s="1551"/>
      <c r="WOE37" s="1551">
        <v>44150</v>
      </c>
      <c r="WOF37" s="1551">
        <v>44150</v>
      </c>
      <c r="WOG37" s="1551"/>
      <c r="WOH37" s="1551">
        <v>44150</v>
      </c>
      <c r="WOI37" s="1551"/>
      <c r="WOJ37" s="1551">
        <v>44150</v>
      </c>
      <c r="WOK37" s="1551"/>
      <c r="WOL37" s="1551">
        <v>44150</v>
      </c>
      <c r="WOM37" s="1551">
        <v>44150</v>
      </c>
      <c r="WON37" s="1551"/>
      <c r="WOO37" s="1551">
        <v>44150</v>
      </c>
      <c r="WOP37" s="1551"/>
      <c r="WOQ37" s="1551">
        <v>44150</v>
      </c>
      <c r="WOR37" s="1551"/>
      <c r="WOS37" s="1551">
        <v>44150</v>
      </c>
      <c r="WOT37" s="1551">
        <v>44150</v>
      </c>
      <c r="WOU37" s="1551"/>
      <c r="WOV37" s="1551">
        <v>44150</v>
      </c>
      <c r="WOW37" s="1551"/>
      <c r="WOX37" s="1551">
        <v>44150</v>
      </c>
      <c r="WOY37" s="1551"/>
      <c r="WOZ37" s="1551">
        <v>44150</v>
      </c>
      <c r="WPA37" s="1551">
        <v>44150</v>
      </c>
      <c r="WPB37" s="1551"/>
      <c r="WPC37" s="1551">
        <v>44150</v>
      </c>
      <c r="WPD37" s="1551"/>
      <c r="WPE37" s="1551">
        <v>44150</v>
      </c>
      <c r="WPF37" s="1551"/>
      <c r="WPG37" s="1551">
        <v>44150</v>
      </c>
      <c r="WPH37" s="1551">
        <v>44150</v>
      </c>
      <c r="WPI37" s="1551"/>
      <c r="WPJ37" s="1551">
        <v>44150</v>
      </c>
      <c r="WPK37" s="1551"/>
      <c r="WPL37" s="1551">
        <v>44150</v>
      </c>
      <c r="WPM37" s="1551"/>
      <c r="WPN37" s="1551">
        <v>44150</v>
      </c>
      <c r="WPO37" s="1551">
        <v>44150</v>
      </c>
      <c r="WPP37" s="1551"/>
      <c r="WPQ37" s="1551">
        <v>44150</v>
      </c>
      <c r="WPR37" s="1551"/>
      <c r="WPS37" s="1551">
        <v>44150</v>
      </c>
      <c r="WPT37" s="1551"/>
      <c r="WPU37" s="1551">
        <v>44150</v>
      </c>
      <c r="WPV37" s="1551">
        <v>44150</v>
      </c>
      <c r="WPW37" s="1551"/>
      <c r="WPX37" s="1551">
        <v>44150</v>
      </c>
      <c r="WPY37" s="1551"/>
      <c r="WPZ37" s="1551">
        <v>44150</v>
      </c>
      <c r="WQA37" s="1551"/>
      <c r="WQB37" s="1551">
        <v>44150</v>
      </c>
      <c r="WQC37" s="1551">
        <v>44150</v>
      </c>
      <c r="WQD37" s="1551"/>
      <c r="WQE37" s="1551">
        <v>44150</v>
      </c>
      <c r="WQF37" s="1551"/>
      <c r="WQG37" s="1551">
        <v>44150</v>
      </c>
      <c r="WQH37" s="1551"/>
      <c r="WQI37" s="1551">
        <v>44150</v>
      </c>
      <c r="WQJ37" s="1551">
        <v>44150</v>
      </c>
      <c r="WQK37" s="1551"/>
      <c r="WQL37" s="1551">
        <v>44150</v>
      </c>
      <c r="WQM37" s="1551"/>
      <c r="WQN37" s="1551">
        <v>44150</v>
      </c>
      <c r="WQO37" s="1551"/>
      <c r="WQP37" s="1551">
        <v>44150</v>
      </c>
      <c r="WQQ37" s="1551">
        <v>44150</v>
      </c>
      <c r="WQR37" s="1551"/>
      <c r="WQS37" s="1551">
        <v>44150</v>
      </c>
      <c r="WQT37" s="1551"/>
      <c r="WQU37" s="1551">
        <v>44150</v>
      </c>
      <c r="WQV37" s="1551"/>
      <c r="WQW37" s="1551">
        <v>44150</v>
      </c>
      <c r="WQX37" s="1551">
        <v>44150</v>
      </c>
      <c r="WQY37" s="1551"/>
      <c r="WQZ37" s="1551">
        <v>44150</v>
      </c>
      <c r="WRA37" s="1551"/>
      <c r="WRB37" s="1551">
        <v>44150</v>
      </c>
      <c r="WRC37" s="1551"/>
      <c r="WRD37" s="1551">
        <v>44150</v>
      </c>
      <c r="WRE37" s="1551">
        <v>44150</v>
      </c>
      <c r="WRF37" s="1551"/>
      <c r="WRG37" s="1551">
        <v>44150</v>
      </c>
      <c r="WRH37" s="1551"/>
      <c r="WRI37" s="1551">
        <v>44150</v>
      </c>
      <c r="WRJ37" s="1551"/>
      <c r="WRK37" s="1551">
        <v>44150</v>
      </c>
      <c r="WRL37" s="1551">
        <v>44150</v>
      </c>
      <c r="WRM37" s="1551"/>
      <c r="WRN37" s="1551">
        <v>44150</v>
      </c>
      <c r="WRO37" s="1551"/>
      <c r="WRP37" s="1551">
        <v>44150</v>
      </c>
      <c r="WRQ37" s="1551"/>
      <c r="WRR37" s="1551">
        <v>44150</v>
      </c>
      <c r="WRS37" s="1551">
        <v>44150</v>
      </c>
      <c r="WRT37" s="1551"/>
      <c r="WRU37" s="1551">
        <v>44150</v>
      </c>
      <c r="WRV37" s="1551"/>
      <c r="WRW37" s="1551">
        <v>44150</v>
      </c>
      <c r="WRX37" s="1551"/>
      <c r="WRY37" s="1551">
        <v>44150</v>
      </c>
      <c r="WRZ37" s="1551">
        <v>44150</v>
      </c>
      <c r="WSA37" s="1551"/>
      <c r="WSB37" s="1551">
        <v>44150</v>
      </c>
      <c r="WSC37" s="1551"/>
      <c r="WSD37" s="1551">
        <v>44150</v>
      </c>
      <c r="WSE37" s="1551"/>
      <c r="WSF37" s="1551">
        <v>44150</v>
      </c>
      <c r="WSG37" s="1551">
        <v>44150</v>
      </c>
      <c r="WSH37" s="1551"/>
      <c r="WSI37" s="1551">
        <v>44150</v>
      </c>
      <c r="WSJ37" s="1551"/>
      <c r="WSK37" s="1551">
        <v>44150</v>
      </c>
      <c r="WSL37" s="1551"/>
      <c r="WSM37" s="1551">
        <v>44150</v>
      </c>
      <c r="WSN37" s="1551">
        <v>44150</v>
      </c>
      <c r="WSO37" s="1551"/>
      <c r="WSP37" s="1551">
        <v>44150</v>
      </c>
      <c r="WSQ37" s="1551"/>
      <c r="WSR37" s="1551">
        <v>44150</v>
      </c>
      <c r="WSS37" s="1551"/>
      <c r="WST37" s="1551">
        <v>44150</v>
      </c>
      <c r="WSU37" s="1551">
        <v>44150</v>
      </c>
      <c r="WSV37" s="1551"/>
      <c r="WSW37" s="1551">
        <v>44150</v>
      </c>
      <c r="WSX37" s="1551"/>
      <c r="WSY37" s="1551">
        <v>44150</v>
      </c>
      <c r="WSZ37" s="1551"/>
      <c r="WTA37" s="1551">
        <v>44150</v>
      </c>
      <c r="WTB37" s="1551">
        <v>44150</v>
      </c>
      <c r="WTC37" s="1551"/>
      <c r="WTD37" s="1551">
        <v>44150</v>
      </c>
      <c r="WTE37" s="1551"/>
      <c r="WTF37" s="1551">
        <v>44150</v>
      </c>
      <c r="WTG37" s="1551"/>
      <c r="WTH37" s="1551">
        <v>44150</v>
      </c>
      <c r="WTI37" s="1551">
        <v>44150</v>
      </c>
      <c r="WTJ37" s="1551"/>
      <c r="WTK37" s="1551">
        <v>44150</v>
      </c>
      <c r="WTL37" s="1551"/>
      <c r="WTM37" s="1551">
        <v>44150</v>
      </c>
      <c r="WTN37" s="1551"/>
      <c r="WTO37" s="1551">
        <v>44150</v>
      </c>
      <c r="WTP37" s="1551">
        <v>44150</v>
      </c>
      <c r="WTQ37" s="1551"/>
      <c r="WTR37" s="1551">
        <v>44150</v>
      </c>
      <c r="WTS37" s="1551"/>
      <c r="WTT37" s="1551">
        <v>44150</v>
      </c>
      <c r="WTU37" s="1551"/>
      <c r="WTV37" s="1551">
        <v>44150</v>
      </c>
      <c r="WTW37" s="1551">
        <v>44150</v>
      </c>
      <c r="WTX37" s="1551"/>
      <c r="WTY37" s="1551">
        <v>44150</v>
      </c>
      <c r="WTZ37" s="1551"/>
      <c r="WUA37" s="1551">
        <v>44150</v>
      </c>
      <c r="WUB37" s="1551"/>
      <c r="WUC37" s="1551">
        <v>44150</v>
      </c>
      <c r="WUD37" s="1551">
        <v>44150</v>
      </c>
      <c r="WUE37" s="1551"/>
      <c r="WUF37" s="1551">
        <v>44150</v>
      </c>
      <c r="WUG37" s="1551"/>
      <c r="WUH37" s="1551">
        <v>44150</v>
      </c>
      <c r="WUI37" s="1551"/>
      <c r="WUJ37" s="1551">
        <v>44150</v>
      </c>
      <c r="WUK37" s="1551">
        <v>44150</v>
      </c>
      <c r="WUL37" s="1551"/>
      <c r="WUM37" s="1551">
        <v>44150</v>
      </c>
      <c r="WUN37" s="1551"/>
      <c r="WUO37" s="1551">
        <v>44150</v>
      </c>
      <c r="WUP37" s="1551"/>
      <c r="WUQ37" s="1551">
        <v>44150</v>
      </c>
      <c r="WUR37" s="1551">
        <v>44150</v>
      </c>
      <c r="WUS37" s="1551"/>
      <c r="WUT37" s="1551">
        <v>44150</v>
      </c>
      <c r="WUU37" s="1551"/>
      <c r="WUV37" s="1551">
        <v>44150</v>
      </c>
      <c r="WUW37" s="1551"/>
      <c r="WUX37" s="1551">
        <v>44150</v>
      </c>
      <c r="WUY37" s="1551">
        <v>44150</v>
      </c>
      <c r="WUZ37" s="1551"/>
      <c r="WVA37" s="1551">
        <v>44150</v>
      </c>
      <c r="WVB37" s="1551"/>
      <c r="WVC37" s="1551">
        <v>44150</v>
      </c>
      <c r="WVD37" s="1551"/>
      <c r="WVE37" s="1551">
        <v>44150</v>
      </c>
      <c r="WVF37" s="1551">
        <v>44150</v>
      </c>
      <c r="WVG37" s="1551"/>
      <c r="WVH37" s="1551">
        <v>44150</v>
      </c>
      <c r="WVI37" s="1551"/>
      <c r="WVJ37" s="1551">
        <v>44150</v>
      </c>
      <c r="WVK37" s="1551"/>
      <c r="WVL37" s="1551">
        <v>44150</v>
      </c>
      <c r="WVM37" s="1551">
        <v>44150</v>
      </c>
      <c r="WVN37" s="1551"/>
      <c r="WVO37" s="1551">
        <v>44150</v>
      </c>
      <c r="WVP37" s="1551"/>
      <c r="WVQ37" s="1551">
        <v>44150</v>
      </c>
      <c r="WVR37" s="1551"/>
      <c r="WVS37" s="1551">
        <v>44150</v>
      </c>
      <c r="WVT37" s="1551">
        <v>44150</v>
      </c>
      <c r="WVU37" s="1551"/>
      <c r="WVV37" s="1551">
        <v>44150</v>
      </c>
      <c r="WVW37" s="1551"/>
      <c r="WVX37" s="1551">
        <v>44150</v>
      </c>
      <c r="WVY37" s="1551"/>
      <c r="WVZ37" s="1551">
        <v>44150</v>
      </c>
      <c r="WWA37" s="1551">
        <v>44150</v>
      </c>
      <c r="WWB37" s="1551"/>
      <c r="WWC37" s="1551">
        <v>44150</v>
      </c>
      <c r="WWD37" s="1551"/>
      <c r="WWE37" s="1551">
        <v>44150</v>
      </c>
      <c r="WWF37" s="1551"/>
      <c r="WWG37" s="1551">
        <v>44150</v>
      </c>
      <c r="WWH37" s="1551">
        <v>44150</v>
      </c>
      <c r="WWI37" s="1551"/>
      <c r="WWJ37" s="1551">
        <v>44150</v>
      </c>
      <c r="WWK37" s="1551"/>
      <c r="WWL37" s="1551">
        <v>44150</v>
      </c>
      <c r="WWM37" s="1551"/>
      <c r="WWN37" s="1551">
        <v>44150</v>
      </c>
      <c r="WWO37" s="1551">
        <v>44150</v>
      </c>
      <c r="WWP37" s="1551"/>
      <c r="WWQ37" s="1551">
        <v>44150</v>
      </c>
      <c r="WWR37" s="1551"/>
      <c r="WWS37" s="1551">
        <v>44150</v>
      </c>
      <c r="WWT37" s="1551"/>
      <c r="WWU37" s="1551">
        <v>44150</v>
      </c>
      <c r="WWV37" s="1551">
        <v>44150</v>
      </c>
      <c r="WWW37" s="1551"/>
      <c r="WWX37" s="1551">
        <v>44150</v>
      </c>
      <c r="WWY37" s="1551"/>
      <c r="WWZ37" s="1551">
        <v>44150</v>
      </c>
      <c r="WXA37" s="1551"/>
      <c r="WXB37" s="1551">
        <v>44150</v>
      </c>
      <c r="WXC37" s="1551">
        <v>44150</v>
      </c>
      <c r="WXD37" s="1551"/>
      <c r="WXE37" s="1551">
        <v>44150</v>
      </c>
      <c r="WXF37" s="1551"/>
      <c r="WXG37" s="1551">
        <v>44150</v>
      </c>
      <c r="WXH37" s="1551"/>
      <c r="WXI37" s="1551">
        <v>44150</v>
      </c>
      <c r="WXJ37" s="1551">
        <v>44150</v>
      </c>
      <c r="WXK37" s="1551"/>
      <c r="WXL37" s="1551">
        <v>44150</v>
      </c>
      <c r="WXM37" s="1551"/>
      <c r="WXN37" s="1551">
        <v>44150</v>
      </c>
      <c r="WXO37" s="1551"/>
      <c r="WXP37" s="1551">
        <v>44150</v>
      </c>
      <c r="WXQ37" s="1551">
        <v>44150</v>
      </c>
      <c r="WXR37" s="1551"/>
      <c r="WXS37" s="1551">
        <v>44150</v>
      </c>
      <c r="WXT37" s="1551"/>
      <c r="WXU37" s="1551">
        <v>44150</v>
      </c>
      <c r="WXV37" s="1551"/>
      <c r="WXW37" s="1551">
        <v>44150</v>
      </c>
      <c r="WXX37" s="1551">
        <v>44150</v>
      </c>
      <c r="WXY37" s="1551"/>
      <c r="WXZ37" s="1551">
        <v>44150</v>
      </c>
      <c r="WYA37" s="1551"/>
      <c r="WYB37" s="1551">
        <v>44150</v>
      </c>
      <c r="WYC37" s="1551"/>
      <c r="WYD37" s="1551">
        <v>44150</v>
      </c>
      <c r="WYE37" s="1551">
        <v>44150</v>
      </c>
      <c r="WYF37" s="1551"/>
      <c r="WYG37" s="1551">
        <v>44150</v>
      </c>
      <c r="WYH37" s="1551"/>
      <c r="WYI37" s="1551">
        <v>44150</v>
      </c>
      <c r="WYJ37" s="1551"/>
      <c r="WYK37" s="1551">
        <v>44150</v>
      </c>
      <c r="WYL37" s="1551">
        <v>44150</v>
      </c>
      <c r="WYM37" s="1551"/>
      <c r="WYN37" s="1551">
        <v>44150</v>
      </c>
      <c r="WYO37" s="1551"/>
      <c r="WYP37" s="1551">
        <v>44150</v>
      </c>
      <c r="WYQ37" s="1551"/>
      <c r="WYR37" s="1551">
        <v>44150</v>
      </c>
      <c r="WYS37" s="1551">
        <v>44150</v>
      </c>
      <c r="WYT37" s="1551"/>
      <c r="WYU37" s="1551">
        <v>44150</v>
      </c>
      <c r="WYV37" s="1551"/>
      <c r="WYW37" s="1551">
        <v>44150</v>
      </c>
      <c r="WYX37" s="1551"/>
      <c r="WYY37" s="1551">
        <v>44150</v>
      </c>
      <c r="WYZ37" s="1551">
        <v>44150</v>
      </c>
      <c r="WZA37" s="1551"/>
      <c r="WZB37" s="1551">
        <v>44150</v>
      </c>
      <c r="WZC37" s="1551"/>
      <c r="WZD37" s="1551">
        <v>44150</v>
      </c>
      <c r="WZE37" s="1551"/>
      <c r="WZF37" s="1551">
        <v>44150</v>
      </c>
      <c r="WZG37" s="1551">
        <v>44150</v>
      </c>
      <c r="WZH37" s="1551"/>
      <c r="WZI37" s="1551">
        <v>44150</v>
      </c>
      <c r="WZJ37" s="1551"/>
      <c r="WZK37" s="1551">
        <v>44150</v>
      </c>
      <c r="WZL37" s="1551"/>
      <c r="WZM37" s="1551">
        <v>44150</v>
      </c>
      <c r="WZN37" s="1551">
        <v>44150</v>
      </c>
      <c r="WZO37" s="1551"/>
      <c r="WZP37" s="1551">
        <v>44150</v>
      </c>
      <c r="WZQ37" s="1551"/>
      <c r="WZR37" s="1551">
        <v>44150</v>
      </c>
      <c r="WZS37" s="1551"/>
      <c r="WZT37" s="1551">
        <v>44150</v>
      </c>
      <c r="WZU37" s="1551">
        <v>44150</v>
      </c>
      <c r="WZV37" s="1551"/>
      <c r="WZW37" s="1551">
        <v>44150</v>
      </c>
      <c r="WZX37" s="1551"/>
      <c r="WZY37" s="1551">
        <v>44150</v>
      </c>
      <c r="WZZ37" s="1551"/>
      <c r="XAA37" s="1551">
        <v>44150</v>
      </c>
      <c r="XAB37" s="1551">
        <v>44150</v>
      </c>
      <c r="XAC37" s="1551"/>
      <c r="XAD37" s="1551">
        <v>44150</v>
      </c>
      <c r="XAE37" s="1551"/>
      <c r="XAF37" s="1551">
        <v>44150</v>
      </c>
      <c r="XAG37" s="1551"/>
      <c r="XAH37" s="1551">
        <v>44150</v>
      </c>
      <c r="XAI37" s="1551">
        <v>44150</v>
      </c>
      <c r="XAJ37" s="1551"/>
      <c r="XAK37" s="1551">
        <v>44150</v>
      </c>
      <c r="XAL37" s="1551"/>
      <c r="XAM37" s="1551">
        <v>44150</v>
      </c>
      <c r="XAN37" s="1551"/>
      <c r="XAO37" s="1551">
        <v>44150</v>
      </c>
      <c r="XAP37" s="1551">
        <v>44150</v>
      </c>
      <c r="XAQ37" s="1551"/>
      <c r="XAR37" s="1551">
        <v>44150</v>
      </c>
      <c r="XAS37" s="1551"/>
      <c r="XAT37" s="1551">
        <v>44150</v>
      </c>
      <c r="XAU37" s="1551"/>
      <c r="XAV37" s="1551">
        <v>44150</v>
      </c>
      <c r="XAW37" s="1551">
        <v>44150</v>
      </c>
      <c r="XAX37" s="1551"/>
      <c r="XAY37" s="1551">
        <v>44150</v>
      </c>
      <c r="XAZ37" s="1551"/>
      <c r="XBA37" s="1551">
        <v>44150</v>
      </c>
      <c r="XBB37" s="1551"/>
      <c r="XBC37" s="1551">
        <v>44150</v>
      </c>
      <c r="XBD37" s="1551">
        <v>44150</v>
      </c>
      <c r="XBE37" s="1551"/>
      <c r="XBF37" s="1551">
        <v>44150</v>
      </c>
      <c r="XBG37" s="1551"/>
      <c r="XBH37" s="1551">
        <v>44150</v>
      </c>
      <c r="XBI37" s="1551"/>
      <c r="XBJ37" s="1551">
        <v>44150</v>
      </c>
      <c r="XBK37" s="1551">
        <v>44150</v>
      </c>
      <c r="XBL37" s="1551"/>
      <c r="XBM37" s="1551">
        <v>44150</v>
      </c>
      <c r="XBN37" s="1551"/>
      <c r="XBO37" s="1551">
        <v>44150</v>
      </c>
      <c r="XBP37" s="1551"/>
      <c r="XBQ37" s="1551">
        <v>44150</v>
      </c>
      <c r="XBR37" s="1551">
        <v>44150</v>
      </c>
      <c r="XBS37" s="1551"/>
      <c r="XBT37" s="1551">
        <v>44150</v>
      </c>
      <c r="XBU37" s="1551"/>
      <c r="XBV37" s="1551">
        <v>44150</v>
      </c>
      <c r="XBW37" s="1551"/>
      <c r="XBX37" s="1551">
        <v>44150</v>
      </c>
      <c r="XBY37" s="1551">
        <v>44150</v>
      </c>
      <c r="XBZ37" s="1551"/>
      <c r="XCA37" s="1551">
        <v>44150</v>
      </c>
      <c r="XCB37" s="1551"/>
      <c r="XCC37" s="1551">
        <v>44150</v>
      </c>
      <c r="XCD37" s="1551"/>
      <c r="XCE37" s="1551">
        <v>44150</v>
      </c>
      <c r="XCF37" s="1551">
        <v>44150</v>
      </c>
      <c r="XCG37" s="1551"/>
      <c r="XCH37" s="1551">
        <v>44150</v>
      </c>
      <c r="XCI37" s="1551"/>
      <c r="XCJ37" s="1551">
        <v>44150</v>
      </c>
      <c r="XCK37" s="1551"/>
      <c r="XCL37" s="1551">
        <v>44150</v>
      </c>
      <c r="XCM37" s="1551">
        <v>44150</v>
      </c>
      <c r="XCN37" s="1551"/>
      <c r="XCO37" s="1551">
        <v>44150</v>
      </c>
      <c r="XCP37" s="1551"/>
      <c r="XCQ37" s="1551">
        <v>44150</v>
      </c>
      <c r="XCR37" s="1551"/>
      <c r="XCS37" s="1551">
        <v>44150</v>
      </c>
      <c r="XCT37" s="1551">
        <v>44150</v>
      </c>
      <c r="XCU37" s="1551"/>
      <c r="XCV37" s="1551">
        <v>44150</v>
      </c>
      <c r="XCW37" s="1551"/>
      <c r="XCX37" s="1551">
        <v>44150</v>
      </c>
      <c r="XCY37" s="1551"/>
      <c r="XCZ37" s="1551">
        <v>44150</v>
      </c>
      <c r="XDA37" s="1551">
        <v>44150</v>
      </c>
      <c r="XDB37" s="1551"/>
      <c r="XDC37" s="1551">
        <v>44150</v>
      </c>
      <c r="XDD37" s="1551"/>
      <c r="XDE37" s="1551">
        <v>44150</v>
      </c>
      <c r="XDF37" s="1551"/>
      <c r="XDG37" s="1551">
        <v>44150</v>
      </c>
      <c r="XDH37" s="1551">
        <v>44150</v>
      </c>
      <c r="XDI37" s="1551"/>
      <c r="XDJ37" s="1551">
        <v>44150</v>
      </c>
      <c r="XDK37" s="1551"/>
      <c r="XDL37" s="1551">
        <v>44150</v>
      </c>
      <c r="XDM37" s="1551"/>
      <c r="XDN37" s="1551">
        <v>44150</v>
      </c>
      <c r="XDO37" s="1551">
        <v>44150</v>
      </c>
      <c r="XDP37" s="1551"/>
      <c r="XDQ37" s="1551">
        <v>44150</v>
      </c>
      <c r="XDR37" s="1551"/>
      <c r="XDS37" s="1551">
        <v>44150</v>
      </c>
      <c r="XDT37" s="1551"/>
      <c r="XDU37" s="1551">
        <v>44150</v>
      </c>
      <c r="XDV37" s="1551">
        <v>44150</v>
      </c>
      <c r="XDW37" s="1551"/>
      <c r="XDX37" s="1551">
        <v>44150</v>
      </c>
      <c r="XDY37" s="1551"/>
      <c r="XDZ37" s="1551">
        <v>44150</v>
      </c>
      <c r="XEA37" s="1551"/>
      <c r="XEB37" s="1551">
        <v>44150</v>
      </c>
      <c r="XEC37" s="1551">
        <v>44150</v>
      </c>
      <c r="XED37" s="1551"/>
      <c r="XEE37" s="1551">
        <v>44150</v>
      </c>
      <c r="XEF37" s="1551"/>
      <c r="XEG37" s="1551">
        <v>44150</v>
      </c>
      <c r="XEH37" s="1551"/>
      <c r="XEI37" s="1551">
        <v>44150</v>
      </c>
      <c r="XEJ37" s="1551">
        <v>44150</v>
      </c>
      <c r="XEK37" s="1551"/>
      <c r="XEL37" s="1551">
        <v>44150</v>
      </c>
      <c r="XEM37" s="1551"/>
      <c r="XEN37" s="1551">
        <v>44150</v>
      </c>
      <c r="XEO37" s="1551"/>
      <c r="XEP37" s="1551">
        <v>44150</v>
      </c>
      <c r="XEQ37" s="1551">
        <v>44150</v>
      </c>
      <c r="XER37" s="1551"/>
      <c r="XES37" s="1551">
        <v>44150</v>
      </c>
      <c r="XET37" s="1551"/>
      <c r="XEU37" s="1551">
        <v>44150</v>
      </c>
      <c r="XEV37" s="1551"/>
      <c r="XEW37" s="1551">
        <v>44150</v>
      </c>
      <c r="XEX37" s="1551">
        <v>44150</v>
      </c>
      <c r="XEY37" s="1551"/>
      <c r="XEZ37" s="1551">
        <v>44150</v>
      </c>
      <c r="XFA37" s="1551"/>
      <c r="XFB37" s="1551">
        <v>44150</v>
      </c>
      <c r="XFC37" s="1551"/>
      <c r="XFD37" s="1551">
        <v>44150</v>
      </c>
    </row>
    <row r="38" spans="1:16384" s="1383" customFormat="1" ht="15">
      <c r="A38" s="608"/>
      <c r="B38" s="599"/>
      <c r="C38" s="610"/>
      <c r="D38" s="599"/>
      <c r="E38" s="612"/>
      <c r="F38" s="612"/>
      <c r="G38" s="612"/>
      <c r="H38" s="612"/>
      <c r="I38" s="612"/>
      <c r="J38" s="612"/>
      <c r="K38" s="612"/>
      <c r="L38" s="612"/>
      <c r="M38" s="612"/>
      <c r="N38" s="612"/>
      <c r="O38" s="1545"/>
      <c r="P38" s="612"/>
      <c r="Q38" s="612"/>
      <c r="R38" s="612"/>
      <c r="S38" s="612"/>
      <c r="T38" s="612"/>
      <c r="U38" s="612"/>
      <c r="V38" s="612"/>
      <c r="W38" s="612"/>
      <c r="X38" s="612"/>
      <c r="Y38" s="612"/>
      <c r="Z38" s="612"/>
      <c r="AA38" s="612"/>
      <c r="AB38" s="612"/>
      <c r="AC38" s="612"/>
      <c r="AD38" s="612"/>
      <c r="AE38" s="612"/>
      <c r="AF38" s="612"/>
      <c r="AG38" s="612"/>
      <c r="AH38" s="612"/>
      <c r="AI38" s="612"/>
      <c r="AJ38" s="612"/>
      <c r="AK38" s="612"/>
      <c r="AL38" s="612"/>
      <c r="AM38" s="612"/>
      <c r="AN38" s="612"/>
      <c r="AO38" s="612"/>
      <c r="AP38" s="612"/>
      <c r="AQ38" s="612"/>
      <c r="AR38" s="612"/>
      <c r="AS38" s="612"/>
      <c r="AT38" s="612"/>
      <c r="AU38" s="612"/>
      <c r="AV38" s="612"/>
      <c r="AW38" s="612"/>
      <c r="AX38" s="612"/>
      <c r="AY38" s="612"/>
      <c r="AZ38" s="612"/>
      <c r="BA38" s="612"/>
      <c r="BB38" s="612"/>
      <c r="BC38" s="612"/>
      <c r="BD38" s="612"/>
      <c r="BE38" s="612"/>
      <c r="BF38" s="612"/>
      <c r="BG38" s="612"/>
      <c r="BH38" s="612"/>
      <c r="BI38" s="612"/>
      <c r="BJ38" s="612"/>
      <c r="BK38" s="612"/>
      <c r="BL38" s="612"/>
      <c r="BM38" s="612"/>
      <c r="BN38" s="612"/>
      <c r="BO38" s="612"/>
      <c r="BP38" s="612"/>
      <c r="BQ38" s="612"/>
      <c r="BR38" s="612"/>
      <c r="BS38" s="612"/>
      <c r="BT38" s="612"/>
      <c r="BU38" s="612"/>
      <c r="BV38" s="612"/>
      <c r="BW38" s="612"/>
      <c r="BX38" s="612"/>
      <c r="BY38" s="612"/>
      <c r="BZ38" s="612"/>
      <c r="CA38" s="612"/>
      <c r="CB38" s="612"/>
      <c r="CC38" s="612"/>
      <c r="CD38" s="612"/>
      <c r="CE38" s="612"/>
      <c r="CF38" s="612"/>
      <c r="CG38" s="612"/>
      <c r="CH38" s="612"/>
      <c r="CI38" s="612"/>
      <c r="CJ38" s="612"/>
      <c r="CK38" s="612"/>
      <c r="CL38" s="612"/>
      <c r="CM38" s="612"/>
      <c r="CN38" s="612"/>
      <c r="CO38" s="612"/>
      <c r="CP38" s="612"/>
      <c r="CQ38" s="612"/>
      <c r="CR38" s="612"/>
      <c r="CS38" s="612"/>
      <c r="CT38" s="612"/>
      <c r="CU38" s="612"/>
      <c r="CV38" s="612"/>
      <c r="CW38" s="612"/>
      <c r="CX38" s="612"/>
      <c r="CY38" s="612"/>
      <c r="CZ38" s="612"/>
      <c r="DA38" s="612"/>
      <c r="DB38" s="612"/>
      <c r="DC38" s="612"/>
      <c r="DD38" s="612"/>
      <c r="DE38" s="612"/>
      <c r="DF38" s="612"/>
      <c r="DG38" s="612"/>
      <c r="DH38" s="612"/>
      <c r="DI38" s="612"/>
      <c r="DJ38" s="612"/>
      <c r="DK38" s="612"/>
      <c r="DL38" s="612"/>
      <c r="DM38" s="612"/>
      <c r="DN38" s="612"/>
      <c r="DO38" s="612"/>
      <c r="DP38" s="612"/>
      <c r="DQ38" s="612"/>
      <c r="DR38" s="612"/>
      <c r="DS38" s="612"/>
      <c r="DT38" s="612"/>
      <c r="DU38" s="612"/>
      <c r="DV38" s="612"/>
      <c r="DW38" s="612"/>
      <c r="DX38" s="612"/>
      <c r="DY38" s="612"/>
      <c r="DZ38" s="612"/>
      <c r="EA38" s="612"/>
      <c r="EB38" s="612"/>
      <c r="EC38" s="612"/>
      <c r="ED38" s="612"/>
      <c r="EE38" s="612"/>
      <c r="EF38" s="612"/>
      <c r="EG38" s="612"/>
      <c r="EH38" s="612"/>
      <c r="EI38" s="612"/>
      <c r="EJ38" s="612"/>
      <c r="EK38" s="612"/>
      <c r="EL38" s="612"/>
      <c r="EM38" s="612"/>
      <c r="EN38" s="612"/>
      <c r="EO38" s="612"/>
      <c r="EP38" s="612"/>
      <c r="EQ38" s="612"/>
      <c r="ER38" s="612"/>
      <c r="ES38" s="612"/>
      <c r="ET38" s="612"/>
      <c r="EU38" s="612"/>
      <c r="EV38" s="612"/>
      <c r="EW38" s="612"/>
      <c r="EX38" s="612"/>
      <c r="EY38" s="612"/>
      <c r="EZ38" s="612"/>
      <c r="FA38" s="612"/>
      <c r="FB38" s="612"/>
      <c r="FC38" s="612"/>
      <c r="FD38" s="612"/>
      <c r="FE38" s="612"/>
      <c r="FF38" s="612"/>
      <c r="FG38" s="612"/>
      <c r="FH38" s="612"/>
      <c r="FI38" s="612"/>
      <c r="FJ38" s="612"/>
      <c r="FK38" s="612"/>
      <c r="FL38" s="612"/>
      <c r="FM38" s="612"/>
      <c r="FN38" s="612"/>
      <c r="FO38" s="612"/>
      <c r="FP38" s="612"/>
      <c r="FQ38" s="612"/>
      <c r="FR38" s="612"/>
      <c r="FS38" s="612"/>
      <c r="FT38" s="612"/>
      <c r="FU38" s="612"/>
      <c r="FV38" s="612"/>
      <c r="FW38" s="612"/>
      <c r="FX38" s="612"/>
      <c r="FY38" s="612"/>
      <c r="FZ38" s="612"/>
      <c r="GA38" s="612"/>
      <c r="GB38" s="612"/>
      <c r="GC38" s="612"/>
      <c r="GD38" s="612"/>
      <c r="GE38" s="612"/>
      <c r="GF38" s="612"/>
      <c r="GG38" s="612"/>
      <c r="GH38" s="612"/>
      <c r="GI38" s="612"/>
      <c r="GJ38" s="612"/>
      <c r="GK38" s="612"/>
      <c r="GL38" s="612"/>
      <c r="GM38" s="612"/>
      <c r="GN38" s="612"/>
      <c r="GO38" s="612"/>
      <c r="GP38" s="612"/>
      <c r="GQ38" s="612"/>
      <c r="GR38" s="612"/>
      <c r="GS38" s="612"/>
      <c r="GT38" s="612"/>
      <c r="GU38" s="612"/>
      <c r="GV38" s="612"/>
      <c r="GW38" s="612"/>
      <c r="GX38" s="612"/>
      <c r="GY38" s="612"/>
      <c r="GZ38" s="612"/>
      <c r="HA38" s="612"/>
      <c r="HB38" s="612"/>
      <c r="HC38" s="612"/>
      <c r="HD38" s="612"/>
      <c r="HE38" s="612"/>
      <c r="HF38" s="612"/>
      <c r="HG38" s="612"/>
      <c r="HH38" s="612"/>
      <c r="HI38" s="612"/>
      <c r="HJ38" s="612"/>
      <c r="HK38" s="612"/>
      <c r="HL38" s="612"/>
      <c r="HM38" s="612"/>
      <c r="HN38" s="612"/>
      <c r="HO38" s="612"/>
      <c r="HP38" s="612"/>
      <c r="HQ38" s="612"/>
      <c r="HR38" s="612"/>
      <c r="HS38" s="612"/>
      <c r="HT38" s="612"/>
      <c r="HU38" s="612"/>
      <c r="HV38" s="612"/>
      <c r="HW38" s="612"/>
      <c r="HX38" s="612"/>
      <c r="HY38" s="612"/>
      <c r="HZ38" s="612"/>
      <c r="IA38" s="612"/>
      <c r="IB38" s="612"/>
      <c r="IC38" s="612"/>
      <c r="ID38" s="612"/>
      <c r="IE38" s="612"/>
      <c r="IF38" s="612"/>
      <c r="IG38" s="612"/>
      <c r="IH38" s="612"/>
      <c r="II38" s="612"/>
      <c r="IJ38" s="612"/>
      <c r="IK38" s="612"/>
      <c r="IL38" s="612"/>
      <c r="IM38" s="612"/>
      <c r="IN38" s="612"/>
      <c r="IO38" s="612"/>
      <c r="IP38" s="612"/>
      <c r="IQ38" s="612"/>
      <c r="IR38" s="612"/>
      <c r="IS38" s="612"/>
      <c r="IT38" s="612"/>
      <c r="IU38" s="612"/>
      <c r="IV38" s="612"/>
      <c r="IW38" s="612"/>
      <c r="IX38" s="612"/>
      <c r="IY38" s="612"/>
      <c r="IZ38" s="612"/>
      <c r="JA38" s="612"/>
      <c r="JB38" s="612"/>
      <c r="JC38" s="612"/>
      <c r="JD38" s="612"/>
      <c r="JE38" s="612"/>
      <c r="JF38" s="612"/>
      <c r="JG38" s="612"/>
      <c r="JH38" s="612"/>
      <c r="JI38" s="612"/>
      <c r="JJ38" s="612"/>
      <c r="JK38" s="612"/>
      <c r="JL38" s="612"/>
      <c r="JM38" s="612"/>
      <c r="JN38" s="612"/>
      <c r="JO38" s="612"/>
      <c r="JP38" s="612"/>
      <c r="JQ38" s="612"/>
      <c r="JR38" s="612"/>
      <c r="JS38" s="612"/>
      <c r="JT38" s="612"/>
      <c r="JU38" s="612"/>
      <c r="JV38" s="612"/>
      <c r="JW38" s="612"/>
      <c r="JX38" s="612"/>
      <c r="JY38" s="612"/>
      <c r="JZ38" s="612"/>
      <c r="KA38" s="612"/>
      <c r="KB38" s="612"/>
      <c r="KC38" s="612"/>
      <c r="KD38" s="612"/>
      <c r="KE38" s="612"/>
      <c r="KF38" s="612"/>
      <c r="KG38" s="612"/>
      <c r="KH38" s="612"/>
      <c r="KI38" s="612"/>
      <c r="KJ38" s="612"/>
      <c r="KK38" s="612"/>
      <c r="KL38" s="612"/>
      <c r="KM38" s="612"/>
      <c r="KN38" s="612"/>
      <c r="KO38" s="612"/>
      <c r="KP38" s="612"/>
      <c r="KQ38" s="612"/>
      <c r="KR38" s="612"/>
      <c r="KS38" s="612"/>
      <c r="KT38" s="612"/>
      <c r="KU38" s="612"/>
      <c r="KV38" s="612"/>
      <c r="KW38" s="612"/>
      <c r="KX38" s="612"/>
      <c r="KY38" s="612"/>
      <c r="KZ38" s="612"/>
      <c r="LA38" s="612"/>
      <c r="LB38" s="612"/>
      <c r="LC38" s="612"/>
      <c r="LD38" s="612"/>
      <c r="LE38" s="612"/>
      <c r="LF38" s="612"/>
      <c r="LG38" s="612"/>
      <c r="LH38" s="612"/>
      <c r="LI38" s="612"/>
      <c r="LJ38" s="612"/>
      <c r="LK38" s="612"/>
      <c r="LL38" s="612"/>
      <c r="LM38" s="612"/>
      <c r="LN38" s="612"/>
      <c r="LO38" s="612"/>
      <c r="LP38" s="612"/>
      <c r="LQ38" s="612"/>
      <c r="LR38" s="612"/>
      <c r="LS38" s="612"/>
      <c r="LT38" s="612"/>
      <c r="LU38" s="612"/>
      <c r="LV38" s="612"/>
      <c r="LW38" s="612"/>
      <c r="LX38" s="612"/>
      <c r="LY38" s="612"/>
      <c r="LZ38" s="612"/>
      <c r="MA38" s="612"/>
      <c r="MB38" s="612"/>
      <c r="MC38" s="612"/>
      <c r="MD38" s="612"/>
      <c r="ME38" s="612"/>
      <c r="MF38" s="612"/>
      <c r="MG38" s="612"/>
      <c r="MH38" s="612"/>
      <c r="MI38" s="612"/>
      <c r="MJ38" s="612"/>
      <c r="MK38" s="612"/>
      <c r="ML38" s="612"/>
      <c r="MM38" s="612"/>
      <c r="MN38" s="612"/>
      <c r="MO38" s="612"/>
      <c r="MP38" s="612"/>
      <c r="MQ38" s="612"/>
      <c r="MR38" s="612"/>
      <c r="MS38" s="612"/>
      <c r="MT38" s="612"/>
      <c r="MU38" s="612"/>
      <c r="MV38" s="612"/>
      <c r="MW38" s="612"/>
      <c r="MX38" s="612"/>
      <c r="MY38" s="612"/>
      <c r="MZ38" s="612"/>
      <c r="NA38" s="612"/>
      <c r="NB38" s="612"/>
      <c r="NC38" s="612"/>
      <c r="ND38" s="612"/>
      <c r="NE38" s="612"/>
      <c r="NF38" s="612"/>
      <c r="NG38" s="612"/>
      <c r="NH38" s="612"/>
      <c r="NI38" s="612"/>
      <c r="NJ38" s="612"/>
      <c r="NK38" s="612"/>
      <c r="NL38" s="612"/>
      <c r="NM38" s="612"/>
      <c r="NN38" s="612"/>
      <c r="NO38" s="612"/>
      <c r="NP38" s="612"/>
      <c r="NQ38" s="612"/>
      <c r="NR38" s="612"/>
      <c r="NS38" s="612"/>
      <c r="NT38" s="612"/>
      <c r="NU38" s="612"/>
      <c r="NV38" s="612"/>
      <c r="NW38" s="612"/>
      <c r="NX38" s="612"/>
      <c r="NY38" s="612"/>
      <c r="NZ38" s="612"/>
      <c r="OA38" s="612"/>
      <c r="OB38" s="612"/>
      <c r="OC38" s="612"/>
      <c r="OD38" s="612"/>
      <c r="OE38" s="612"/>
      <c r="OF38" s="612"/>
      <c r="OG38" s="612"/>
      <c r="OH38" s="612"/>
      <c r="OI38" s="612"/>
      <c r="OJ38" s="612"/>
      <c r="OK38" s="612"/>
      <c r="OL38" s="612"/>
      <c r="OM38" s="612"/>
      <c r="ON38" s="612"/>
      <c r="OO38" s="612"/>
      <c r="OP38" s="612"/>
      <c r="OQ38" s="612"/>
      <c r="OR38" s="612"/>
      <c r="OS38" s="612"/>
      <c r="OT38" s="612"/>
      <c r="OU38" s="612"/>
      <c r="OV38" s="612"/>
      <c r="OW38" s="612"/>
      <c r="OX38" s="612"/>
      <c r="OY38" s="612"/>
      <c r="OZ38" s="612"/>
      <c r="PA38" s="612"/>
      <c r="PB38" s="612"/>
      <c r="PC38" s="612"/>
      <c r="PD38" s="612"/>
      <c r="PE38" s="612"/>
      <c r="PF38" s="612"/>
      <c r="PG38" s="612"/>
      <c r="PH38" s="612"/>
      <c r="PI38" s="612"/>
      <c r="PJ38" s="612"/>
      <c r="PK38" s="612"/>
      <c r="PL38" s="612"/>
      <c r="PM38" s="612"/>
      <c r="PN38" s="612"/>
      <c r="PO38" s="612"/>
      <c r="PP38" s="612"/>
      <c r="PQ38" s="612"/>
      <c r="PR38" s="612"/>
      <c r="PS38" s="612"/>
      <c r="PT38" s="612"/>
      <c r="PU38" s="612"/>
      <c r="PV38" s="612"/>
      <c r="PW38" s="612"/>
      <c r="PX38" s="612"/>
      <c r="PY38" s="612"/>
      <c r="PZ38" s="612"/>
      <c r="QA38" s="612"/>
      <c r="QB38" s="612"/>
      <c r="QC38" s="612"/>
      <c r="QD38" s="612"/>
      <c r="QE38" s="612"/>
      <c r="QF38" s="612"/>
      <c r="QG38" s="612"/>
      <c r="QH38" s="612"/>
      <c r="QI38" s="612"/>
      <c r="QJ38" s="612"/>
      <c r="QK38" s="612"/>
      <c r="QL38" s="612"/>
      <c r="QM38" s="612"/>
      <c r="QN38" s="612"/>
      <c r="QO38" s="612"/>
      <c r="QP38" s="612"/>
      <c r="QQ38" s="612"/>
      <c r="QR38" s="612"/>
      <c r="QS38" s="612"/>
      <c r="QT38" s="612"/>
      <c r="QU38" s="612"/>
      <c r="QV38" s="612"/>
      <c r="QW38" s="612"/>
      <c r="QX38" s="612"/>
      <c r="QY38" s="612"/>
      <c r="QZ38" s="612"/>
      <c r="RA38" s="612"/>
      <c r="RB38" s="612"/>
      <c r="RC38" s="612"/>
      <c r="RD38" s="612"/>
      <c r="RE38" s="612"/>
      <c r="RF38" s="612"/>
      <c r="RG38" s="612"/>
      <c r="RH38" s="612"/>
      <c r="RI38" s="612"/>
      <c r="RJ38" s="612"/>
      <c r="RK38" s="612"/>
      <c r="RL38" s="612"/>
      <c r="RM38" s="612"/>
      <c r="RN38" s="612"/>
      <c r="RO38" s="612"/>
      <c r="RP38" s="612"/>
      <c r="RQ38" s="612"/>
      <c r="RR38" s="612"/>
      <c r="RS38" s="612"/>
      <c r="RT38" s="612"/>
      <c r="RU38" s="612"/>
      <c r="RV38" s="612"/>
      <c r="RW38" s="612"/>
      <c r="RX38" s="612"/>
      <c r="RY38" s="612"/>
      <c r="RZ38" s="612"/>
      <c r="SA38" s="612"/>
      <c r="SB38" s="612"/>
      <c r="SC38" s="612"/>
      <c r="SD38" s="612"/>
      <c r="SE38" s="612"/>
      <c r="SF38" s="612"/>
      <c r="SG38" s="612"/>
      <c r="SH38" s="612"/>
      <c r="SI38" s="612"/>
      <c r="SJ38" s="612"/>
      <c r="SK38" s="612"/>
      <c r="SL38" s="612"/>
      <c r="SM38" s="612"/>
      <c r="SN38" s="612"/>
      <c r="SO38" s="612"/>
      <c r="SP38" s="612"/>
      <c r="SQ38" s="612"/>
      <c r="SR38" s="612"/>
      <c r="SS38" s="612"/>
      <c r="ST38" s="612"/>
      <c r="SU38" s="612"/>
      <c r="SV38" s="612"/>
      <c r="SW38" s="612"/>
      <c r="SX38" s="612"/>
      <c r="SY38" s="612"/>
      <c r="SZ38" s="612"/>
      <c r="TA38" s="612"/>
      <c r="TB38" s="612"/>
      <c r="TC38" s="612"/>
      <c r="TD38" s="612"/>
      <c r="TE38" s="612"/>
      <c r="TF38" s="612"/>
      <c r="TG38" s="612"/>
      <c r="TH38" s="612"/>
      <c r="TI38" s="612"/>
      <c r="TJ38" s="612"/>
      <c r="TK38" s="612"/>
      <c r="TL38" s="612"/>
      <c r="TM38" s="612"/>
      <c r="TN38" s="612"/>
      <c r="TO38" s="612"/>
      <c r="TP38" s="612"/>
      <c r="TQ38" s="612"/>
      <c r="TR38" s="612"/>
      <c r="TS38" s="612"/>
      <c r="TT38" s="612"/>
      <c r="TU38" s="612"/>
      <c r="TV38" s="612"/>
      <c r="TW38" s="612"/>
      <c r="TX38" s="612"/>
      <c r="TY38" s="612"/>
      <c r="TZ38" s="612"/>
      <c r="UA38" s="612"/>
      <c r="UB38" s="612"/>
      <c r="UC38" s="612"/>
      <c r="UD38" s="612"/>
      <c r="UE38" s="612"/>
      <c r="UF38" s="612"/>
      <c r="UG38" s="612"/>
      <c r="UH38" s="612"/>
      <c r="UI38" s="612"/>
      <c r="UJ38" s="612"/>
      <c r="UK38" s="612"/>
      <c r="UL38" s="612"/>
      <c r="UM38" s="612"/>
      <c r="UN38" s="612"/>
      <c r="UO38" s="612"/>
      <c r="UP38" s="612"/>
      <c r="UQ38" s="612"/>
      <c r="UR38" s="612"/>
      <c r="US38" s="612"/>
      <c r="UT38" s="612"/>
      <c r="UU38" s="612"/>
      <c r="UV38" s="612"/>
      <c r="UW38" s="612"/>
      <c r="UX38" s="612"/>
      <c r="UY38" s="612"/>
      <c r="UZ38" s="612"/>
      <c r="VA38" s="612"/>
      <c r="VB38" s="612"/>
      <c r="VC38" s="612"/>
      <c r="VD38" s="612"/>
      <c r="VE38" s="612"/>
      <c r="VF38" s="612"/>
      <c r="VG38" s="612"/>
      <c r="VH38" s="612"/>
      <c r="VI38" s="612"/>
      <c r="VJ38" s="612"/>
      <c r="VK38" s="612"/>
      <c r="VL38" s="612"/>
      <c r="VM38" s="612"/>
      <c r="VN38" s="612"/>
      <c r="VO38" s="612"/>
      <c r="VP38" s="612"/>
      <c r="VQ38" s="612"/>
      <c r="VR38" s="612"/>
      <c r="VS38" s="612"/>
      <c r="VT38" s="612"/>
      <c r="VU38" s="612"/>
      <c r="VV38" s="612"/>
      <c r="VW38" s="612"/>
      <c r="VX38" s="612"/>
      <c r="VY38" s="612"/>
      <c r="VZ38" s="612"/>
      <c r="WA38" s="612"/>
      <c r="WB38" s="612"/>
      <c r="WC38" s="612"/>
      <c r="WD38" s="612"/>
      <c r="WE38" s="612"/>
      <c r="WF38" s="612"/>
      <c r="WG38" s="612"/>
      <c r="WH38" s="612"/>
      <c r="WI38" s="612"/>
      <c r="WJ38" s="612"/>
      <c r="WK38" s="612"/>
      <c r="WL38" s="612"/>
      <c r="WM38" s="612"/>
      <c r="WN38" s="612"/>
      <c r="WO38" s="612"/>
      <c r="WP38" s="612"/>
      <c r="WQ38" s="612"/>
      <c r="WR38" s="612"/>
      <c r="WS38" s="612"/>
      <c r="WT38" s="612"/>
      <c r="WU38" s="612"/>
      <c r="WV38" s="612"/>
      <c r="WW38" s="612"/>
      <c r="WX38" s="612"/>
      <c r="WY38" s="612"/>
      <c r="WZ38" s="612"/>
      <c r="XA38" s="612"/>
      <c r="XB38" s="612"/>
      <c r="XC38" s="612"/>
      <c r="XD38" s="612"/>
      <c r="XE38" s="612"/>
      <c r="XF38" s="612"/>
      <c r="XG38" s="612"/>
      <c r="XH38" s="612"/>
      <c r="XI38" s="612"/>
      <c r="XJ38" s="612"/>
      <c r="XK38" s="612"/>
      <c r="XL38" s="612"/>
      <c r="XM38" s="612"/>
      <c r="XN38" s="612"/>
      <c r="XO38" s="612"/>
      <c r="XP38" s="612"/>
      <c r="XQ38" s="612"/>
      <c r="XR38" s="612"/>
      <c r="XS38" s="612"/>
      <c r="XT38" s="612"/>
      <c r="XU38" s="612"/>
      <c r="XV38" s="612"/>
      <c r="XW38" s="612"/>
      <c r="XX38" s="612"/>
      <c r="XY38" s="612"/>
      <c r="XZ38" s="612"/>
      <c r="YA38" s="612"/>
      <c r="YB38" s="612"/>
      <c r="YC38" s="612"/>
      <c r="YD38" s="612"/>
      <c r="YE38" s="612"/>
      <c r="YF38" s="612"/>
      <c r="YG38" s="612"/>
      <c r="YH38" s="612"/>
      <c r="YI38" s="612"/>
      <c r="YJ38" s="612"/>
      <c r="YK38" s="612"/>
      <c r="YL38" s="612"/>
      <c r="YM38" s="612"/>
      <c r="YN38" s="612"/>
      <c r="YO38" s="612"/>
      <c r="YP38" s="612"/>
      <c r="YQ38" s="612"/>
      <c r="YR38" s="612"/>
      <c r="YS38" s="612"/>
      <c r="YT38" s="612"/>
      <c r="YU38" s="612"/>
      <c r="YV38" s="612"/>
      <c r="YW38" s="612"/>
      <c r="YX38" s="612"/>
      <c r="YY38" s="612"/>
      <c r="YZ38" s="612"/>
      <c r="ZA38" s="612"/>
      <c r="ZB38" s="612"/>
      <c r="ZC38" s="612"/>
      <c r="ZD38" s="612"/>
      <c r="ZE38" s="612"/>
      <c r="ZF38" s="612"/>
      <c r="ZG38" s="612"/>
      <c r="ZH38" s="612"/>
      <c r="ZI38" s="612"/>
      <c r="ZJ38" s="612"/>
      <c r="ZK38" s="612"/>
      <c r="ZL38" s="612"/>
      <c r="ZM38" s="612"/>
      <c r="ZN38" s="612"/>
      <c r="ZO38" s="612"/>
      <c r="ZP38" s="612"/>
      <c r="ZQ38" s="612"/>
      <c r="ZR38" s="612"/>
      <c r="ZS38" s="612"/>
      <c r="ZT38" s="612"/>
      <c r="ZU38" s="612"/>
      <c r="ZV38" s="612"/>
      <c r="ZW38" s="612"/>
      <c r="ZX38" s="612"/>
      <c r="ZY38" s="612"/>
      <c r="ZZ38" s="612"/>
      <c r="AAA38" s="612"/>
      <c r="AAB38" s="612"/>
      <c r="AAC38" s="612"/>
      <c r="AAD38" s="612"/>
      <c r="AAE38" s="612"/>
      <c r="AAF38" s="612"/>
      <c r="AAG38" s="612"/>
      <c r="AAH38" s="612"/>
      <c r="AAI38" s="612"/>
      <c r="AAJ38" s="612"/>
      <c r="AAK38" s="612"/>
      <c r="AAL38" s="612"/>
      <c r="AAM38" s="612"/>
      <c r="AAN38" s="612"/>
      <c r="AAO38" s="612"/>
      <c r="AAP38" s="612"/>
      <c r="AAQ38" s="612"/>
      <c r="AAR38" s="612"/>
      <c r="AAS38" s="612"/>
      <c r="AAT38" s="612"/>
      <c r="AAU38" s="612"/>
      <c r="AAV38" s="612"/>
      <c r="AAW38" s="612"/>
      <c r="AAX38" s="612"/>
      <c r="AAY38" s="612"/>
      <c r="AAZ38" s="612"/>
      <c r="ABA38" s="612"/>
      <c r="ABB38" s="612"/>
      <c r="ABC38" s="612"/>
      <c r="ABD38" s="612"/>
      <c r="ABE38" s="612"/>
      <c r="ABF38" s="612"/>
      <c r="ABG38" s="612"/>
      <c r="ABH38" s="612"/>
      <c r="ABI38" s="612"/>
      <c r="ABJ38" s="612"/>
      <c r="ABK38" s="612"/>
      <c r="ABL38" s="612"/>
      <c r="ABM38" s="612"/>
      <c r="ABN38" s="612"/>
      <c r="ABO38" s="612"/>
      <c r="ABP38" s="612"/>
      <c r="ABQ38" s="612"/>
      <c r="ABR38" s="612"/>
      <c r="ABS38" s="612"/>
      <c r="ABT38" s="612"/>
      <c r="ABU38" s="612"/>
      <c r="ABV38" s="612"/>
      <c r="ABW38" s="612"/>
      <c r="ABX38" s="612"/>
      <c r="ABY38" s="612"/>
      <c r="ABZ38" s="612"/>
      <c r="ACA38" s="612"/>
      <c r="ACB38" s="612"/>
      <c r="ACC38" s="612"/>
      <c r="ACD38" s="612"/>
      <c r="ACE38" s="612"/>
      <c r="ACF38" s="612"/>
      <c r="ACG38" s="612"/>
      <c r="ACH38" s="612"/>
      <c r="ACI38" s="612"/>
      <c r="ACJ38" s="612"/>
      <c r="ACK38" s="612"/>
      <c r="ACL38" s="612"/>
      <c r="ACM38" s="612"/>
      <c r="ACN38" s="612"/>
      <c r="ACO38" s="612"/>
      <c r="ACP38" s="612"/>
      <c r="ACQ38" s="612"/>
      <c r="ACR38" s="612"/>
      <c r="ACS38" s="612"/>
      <c r="ACT38" s="612"/>
      <c r="ACU38" s="612"/>
      <c r="ACV38" s="612"/>
      <c r="ACW38" s="612"/>
      <c r="ACX38" s="612"/>
      <c r="ACY38" s="612"/>
      <c r="ACZ38" s="612"/>
      <c r="ADA38" s="612"/>
      <c r="ADB38" s="612"/>
      <c r="ADC38" s="612"/>
      <c r="ADD38" s="612"/>
      <c r="ADE38" s="612"/>
      <c r="ADF38" s="612"/>
      <c r="ADG38" s="612"/>
      <c r="ADH38" s="612"/>
      <c r="ADI38" s="612"/>
      <c r="ADJ38" s="612"/>
      <c r="ADK38" s="612"/>
      <c r="ADL38" s="612"/>
      <c r="ADM38" s="612"/>
      <c r="ADN38" s="612"/>
      <c r="ADO38" s="612"/>
      <c r="ADP38" s="612"/>
      <c r="ADQ38" s="612"/>
      <c r="ADR38" s="612"/>
      <c r="ADS38" s="612"/>
      <c r="ADT38" s="612"/>
      <c r="ADU38" s="612"/>
      <c r="ADV38" s="612"/>
      <c r="ADW38" s="612"/>
      <c r="ADX38" s="612"/>
      <c r="ADY38" s="612"/>
      <c r="ADZ38" s="612"/>
      <c r="AEA38" s="612"/>
      <c r="AEB38" s="612"/>
      <c r="AEC38" s="612"/>
      <c r="AED38" s="612"/>
      <c r="AEE38" s="612"/>
      <c r="AEF38" s="612"/>
      <c r="AEG38" s="612"/>
      <c r="AEH38" s="612"/>
      <c r="AEI38" s="612"/>
      <c r="AEJ38" s="612"/>
      <c r="AEK38" s="612"/>
      <c r="AEL38" s="612"/>
      <c r="AEM38" s="612"/>
      <c r="AEN38" s="612"/>
      <c r="AEO38" s="612"/>
      <c r="AEP38" s="612"/>
      <c r="AEQ38" s="612"/>
      <c r="AER38" s="612"/>
      <c r="AES38" s="612"/>
      <c r="AET38" s="612"/>
      <c r="AEU38" s="612"/>
      <c r="AEV38" s="612"/>
      <c r="AEW38" s="612"/>
      <c r="AEX38" s="612"/>
      <c r="AEY38" s="612"/>
      <c r="AEZ38" s="612"/>
      <c r="AFA38" s="612"/>
      <c r="AFB38" s="612"/>
      <c r="AFC38" s="612"/>
      <c r="AFD38" s="612"/>
      <c r="AFE38" s="612"/>
      <c r="AFF38" s="612"/>
      <c r="AFG38" s="612"/>
      <c r="AFH38" s="612"/>
      <c r="AFI38" s="612"/>
      <c r="AFJ38" s="612"/>
      <c r="AFK38" s="612"/>
      <c r="AFL38" s="612"/>
      <c r="AFM38" s="612"/>
      <c r="AFN38" s="612"/>
      <c r="AFO38" s="612"/>
      <c r="AFP38" s="612"/>
      <c r="AFQ38" s="612"/>
      <c r="AFR38" s="612"/>
      <c r="AFS38" s="612"/>
      <c r="AFT38" s="612"/>
      <c r="AFU38" s="612"/>
      <c r="AFV38" s="612"/>
      <c r="AFW38" s="612"/>
      <c r="AFX38" s="612"/>
      <c r="AFY38" s="612"/>
      <c r="AFZ38" s="612"/>
      <c r="AGA38" s="612"/>
      <c r="AGB38" s="612"/>
      <c r="AGC38" s="612"/>
      <c r="AGD38" s="612"/>
      <c r="AGE38" s="612"/>
      <c r="AGF38" s="612"/>
      <c r="AGG38" s="612"/>
      <c r="AGH38" s="612"/>
      <c r="AGI38" s="612"/>
      <c r="AGJ38" s="612"/>
      <c r="AGK38" s="612"/>
      <c r="AGL38" s="612"/>
      <c r="AGM38" s="612"/>
      <c r="AGN38" s="612"/>
      <c r="AGO38" s="612"/>
      <c r="AGP38" s="612"/>
      <c r="AGQ38" s="612"/>
      <c r="AGR38" s="612"/>
      <c r="AGS38" s="612"/>
      <c r="AGT38" s="612"/>
      <c r="AGU38" s="612"/>
      <c r="AGV38" s="612"/>
      <c r="AGW38" s="612"/>
      <c r="AGX38" s="612"/>
      <c r="AGY38" s="612"/>
      <c r="AGZ38" s="612"/>
      <c r="AHA38" s="612"/>
      <c r="AHB38" s="612"/>
      <c r="AHC38" s="612"/>
      <c r="AHD38" s="612"/>
      <c r="AHE38" s="612"/>
      <c r="AHF38" s="612"/>
      <c r="AHG38" s="612"/>
      <c r="AHH38" s="612"/>
      <c r="AHI38" s="612"/>
      <c r="AHJ38" s="612"/>
      <c r="AHK38" s="612"/>
      <c r="AHL38" s="612"/>
      <c r="AHM38" s="612"/>
      <c r="AHN38" s="612"/>
      <c r="AHO38" s="612"/>
      <c r="AHP38" s="612"/>
      <c r="AHQ38" s="612"/>
      <c r="AHR38" s="612"/>
      <c r="AHS38" s="612"/>
      <c r="AHT38" s="612"/>
      <c r="AHU38" s="612"/>
      <c r="AHV38" s="612"/>
      <c r="AHW38" s="612"/>
      <c r="AHX38" s="612"/>
      <c r="AHY38" s="612"/>
      <c r="AHZ38" s="612"/>
      <c r="AIA38" s="612"/>
      <c r="AIB38" s="612"/>
      <c r="AIC38" s="612"/>
      <c r="AID38" s="612"/>
      <c r="AIE38" s="612"/>
      <c r="AIF38" s="612"/>
      <c r="AIG38" s="612"/>
      <c r="AIH38" s="612"/>
      <c r="AII38" s="612"/>
      <c r="AIJ38" s="612"/>
      <c r="AIK38" s="612"/>
      <c r="AIL38" s="612"/>
      <c r="AIM38" s="612"/>
      <c r="AIN38" s="612"/>
      <c r="AIO38" s="612"/>
      <c r="AIP38" s="612"/>
      <c r="AIQ38" s="612"/>
      <c r="AIR38" s="612"/>
      <c r="AIS38" s="612"/>
      <c r="AIT38" s="612"/>
      <c r="AIU38" s="612"/>
      <c r="AIV38" s="612"/>
      <c r="AIW38" s="612"/>
      <c r="AIX38" s="612"/>
      <c r="AIY38" s="612"/>
      <c r="AIZ38" s="612"/>
      <c r="AJA38" s="612"/>
      <c r="AJB38" s="612"/>
      <c r="AJC38" s="612"/>
      <c r="AJD38" s="612"/>
      <c r="AJE38" s="612"/>
      <c r="AJF38" s="612"/>
      <c r="AJG38" s="612"/>
      <c r="AJH38" s="612"/>
      <c r="AJI38" s="612"/>
      <c r="AJJ38" s="612"/>
      <c r="AJK38" s="612"/>
      <c r="AJL38" s="612"/>
      <c r="AJM38" s="612"/>
      <c r="AJN38" s="612"/>
      <c r="AJO38" s="612"/>
      <c r="AJP38" s="612"/>
      <c r="AJQ38" s="612"/>
      <c r="AJR38" s="612"/>
      <c r="AJS38" s="612"/>
      <c r="AJT38" s="612"/>
      <c r="AJU38" s="612"/>
      <c r="AJV38" s="612"/>
      <c r="AJW38" s="612"/>
      <c r="AJX38" s="612"/>
      <c r="AJY38" s="612"/>
      <c r="AJZ38" s="612"/>
      <c r="AKA38" s="612"/>
      <c r="AKB38" s="612"/>
      <c r="AKC38" s="612"/>
      <c r="AKD38" s="612"/>
      <c r="AKE38" s="612"/>
      <c r="AKF38" s="612"/>
      <c r="AKG38" s="612"/>
      <c r="AKH38" s="612"/>
      <c r="AKI38" s="612"/>
      <c r="AKJ38" s="612"/>
      <c r="AKK38" s="612"/>
      <c r="AKL38" s="612"/>
      <c r="AKM38" s="612"/>
      <c r="AKN38" s="612"/>
      <c r="AKO38" s="612"/>
      <c r="AKP38" s="612"/>
      <c r="AKQ38" s="612"/>
      <c r="AKR38" s="612"/>
      <c r="AKS38" s="612"/>
      <c r="AKT38" s="612"/>
      <c r="AKU38" s="612"/>
      <c r="AKV38" s="612"/>
      <c r="AKW38" s="612"/>
      <c r="AKX38" s="612"/>
      <c r="AKY38" s="612"/>
      <c r="AKZ38" s="612"/>
      <c r="ALA38" s="612"/>
      <c r="ALB38" s="612"/>
      <c r="ALC38" s="612"/>
      <c r="ALD38" s="612"/>
      <c r="ALE38" s="612"/>
      <c r="ALF38" s="612"/>
      <c r="ALG38" s="612"/>
      <c r="ALH38" s="612"/>
      <c r="ALI38" s="612"/>
      <c r="ALJ38" s="612"/>
      <c r="ALK38" s="612"/>
      <c r="ALL38" s="612"/>
      <c r="ALM38" s="612"/>
      <c r="ALN38" s="612"/>
      <c r="ALO38" s="612"/>
      <c r="ALP38" s="612"/>
      <c r="ALQ38" s="612"/>
      <c r="ALR38" s="612"/>
      <c r="ALS38" s="612"/>
      <c r="ALT38" s="612"/>
      <c r="ALU38" s="612"/>
      <c r="ALV38" s="612"/>
      <c r="ALW38" s="612"/>
      <c r="ALX38" s="612"/>
      <c r="ALY38" s="612"/>
      <c r="ALZ38" s="612"/>
      <c r="AMA38" s="612"/>
      <c r="AMB38" s="612"/>
      <c r="AMC38" s="612"/>
      <c r="AMD38" s="612"/>
      <c r="AME38" s="612"/>
      <c r="AMF38" s="612"/>
      <c r="AMG38" s="612"/>
      <c r="AMH38" s="612"/>
      <c r="AMI38" s="612"/>
      <c r="AMJ38" s="612"/>
      <c r="AMK38" s="612"/>
      <c r="AML38" s="612"/>
      <c r="AMM38" s="612"/>
      <c r="AMN38" s="612"/>
      <c r="AMO38" s="612"/>
      <c r="AMP38" s="612"/>
      <c r="AMQ38" s="612"/>
      <c r="AMR38" s="612"/>
      <c r="AMS38" s="612"/>
      <c r="AMT38" s="612"/>
      <c r="AMU38" s="612"/>
      <c r="AMV38" s="612"/>
      <c r="AMW38" s="612"/>
      <c r="AMX38" s="612"/>
      <c r="AMY38" s="612"/>
      <c r="AMZ38" s="612"/>
      <c r="ANA38" s="612"/>
      <c r="ANB38" s="612"/>
      <c r="ANC38" s="612"/>
      <c r="AND38" s="612"/>
      <c r="ANE38" s="612"/>
      <c r="ANF38" s="612"/>
      <c r="ANG38" s="612"/>
      <c r="ANH38" s="612"/>
      <c r="ANI38" s="612"/>
      <c r="ANJ38" s="612"/>
      <c r="ANK38" s="612"/>
      <c r="ANL38" s="612"/>
      <c r="ANM38" s="612"/>
      <c r="ANN38" s="612"/>
      <c r="ANO38" s="612"/>
      <c r="ANP38" s="612"/>
      <c r="ANQ38" s="612"/>
      <c r="ANR38" s="612"/>
      <c r="ANS38" s="612"/>
      <c r="ANT38" s="612"/>
      <c r="ANU38" s="612"/>
      <c r="ANV38" s="612"/>
      <c r="ANW38" s="612"/>
      <c r="ANX38" s="612"/>
      <c r="ANY38" s="612"/>
      <c r="ANZ38" s="612"/>
      <c r="AOA38" s="612"/>
      <c r="AOB38" s="612"/>
      <c r="AOC38" s="612"/>
      <c r="AOD38" s="612"/>
      <c r="AOE38" s="612"/>
      <c r="AOF38" s="612"/>
      <c r="AOG38" s="612"/>
      <c r="AOH38" s="612"/>
      <c r="AOI38" s="612"/>
      <c r="AOJ38" s="612"/>
      <c r="AOK38" s="612"/>
      <c r="AOL38" s="612"/>
      <c r="AOM38" s="612"/>
      <c r="AON38" s="612"/>
      <c r="AOO38" s="612"/>
      <c r="AOP38" s="612"/>
      <c r="AOQ38" s="612"/>
      <c r="AOR38" s="612"/>
      <c r="AOS38" s="612"/>
      <c r="AOT38" s="612"/>
      <c r="AOU38" s="612"/>
      <c r="AOV38" s="612"/>
      <c r="AOW38" s="612"/>
      <c r="AOX38" s="612"/>
      <c r="AOY38" s="612"/>
      <c r="AOZ38" s="612"/>
      <c r="APA38" s="612"/>
      <c r="APB38" s="612"/>
      <c r="APC38" s="612"/>
      <c r="APD38" s="612"/>
      <c r="APE38" s="612"/>
      <c r="APF38" s="612"/>
      <c r="APG38" s="612"/>
      <c r="APH38" s="612"/>
      <c r="API38" s="612"/>
      <c r="APJ38" s="612"/>
      <c r="APK38" s="612"/>
      <c r="APL38" s="612"/>
      <c r="APM38" s="612"/>
      <c r="APN38" s="612"/>
      <c r="APO38" s="612"/>
      <c r="APP38" s="612"/>
      <c r="APQ38" s="612"/>
      <c r="APR38" s="612"/>
      <c r="APS38" s="612"/>
      <c r="APT38" s="612"/>
      <c r="APU38" s="612"/>
      <c r="APV38" s="612"/>
      <c r="APW38" s="612"/>
      <c r="APX38" s="612"/>
      <c r="APY38" s="612"/>
      <c r="APZ38" s="612"/>
      <c r="AQA38" s="612"/>
      <c r="AQB38" s="612"/>
      <c r="AQC38" s="612"/>
      <c r="AQD38" s="612"/>
      <c r="AQE38" s="612"/>
      <c r="AQF38" s="612"/>
      <c r="AQG38" s="612"/>
      <c r="AQH38" s="612"/>
      <c r="AQI38" s="612"/>
      <c r="AQJ38" s="612"/>
      <c r="AQK38" s="612"/>
      <c r="AQL38" s="612"/>
      <c r="AQM38" s="612"/>
      <c r="AQN38" s="612"/>
      <c r="AQO38" s="612"/>
      <c r="AQP38" s="612"/>
      <c r="AQQ38" s="612"/>
      <c r="AQR38" s="612"/>
      <c r="AQS38" s="612"/>
      <c r="AQT38" s="612"/>
      <c r="AQU38" s="612"/>
      <c r="AQV38" s="612"/>
      <c r="AQW38" s="612"/>
      <c r="AQX38" s="612"/>
      <c r="AQY38" s="612"/>
      <c r="AQZ38" s="612"/>
      <c r="ARA38" s="612"/>
      <c r="ARB38" s="612"/>
      <c r="ARC38" s="612"/>
      <c r="ARD38" s="612"/>
      <c r="ARE38" s="612"/>
      <c r="ARF38" s="612"/>
      <c r="ARG38" s="612"/>
      <c r="ARH38" s="612"/>
      <c r="ARI38" s="612"/>
      <c r="ARJ38" s="612"/>
      <c r="ARK38" s="612"/>
      <c r="ARL38" s="612"/>
      <c r="ARM38" s="612"/>
      <c r="ARN38" s="612"/>
      <c r="ARO38" s="612"/>
      <c r="ARP38" s="612"/>
      <c r="ARQ38" s="612"/>
      <c r="ARR38" s="612"/>
      <c r="ARS38" s="612"/>
      <c r="ART38" s="612"/>
      <c r="ARU38" s="612"/>
      <c r="ARV38" s="612"/>
      <c r="ARW38" s="612"/>
      <c r="ARX38" s="612"/>
      <c r="ARY38" s="612"/>
      <c r="ARZ38" s="612"/>
      <c r="ASA38" s="612"/>
      <c r="ASB38" s="612"/>
      <c r="ASC38" s="612"/>
      <c r="ASD38" s="612"/>
      <c r="ASE38" s="612"/>
      <c r="ASF38" s="612"/>
      <c r="ASG38" s="612"/>
      <c r="ASH38" s="612"/>
      <c r="ASI38" s="612"/>
      <c r="ASJ38" s="612"/>
      <c r="ASK38" s="612"/>
      <c r="ASL38" s="612"/>
      <c r="ASM38" s="612"/>
      <c r="ASN38" s="612"/>
      <c r="ASO38" s="612"/>
      <c r="ASP38" s="612"/>
      <c r="ASQ38" s="612"/>
      <c r="ASR38" s="612"/>
      <c r="ASS38" s="612"/>
      <c r="AST38" s="612"/>
      <c r="ASU38" s="612"/>
      <c r="ASV38" s="612"/>
      <c r="ASW38" s="612"/>
      <c r="ASX38" s="612"/>
      <c r="ASY38" s="612"/>
      <c r="ASZ38" s="612"/>
      <c r="ATA38" s="612"/>
      <c r="ATB38" s="612"/>
      <c r="ATC38" s="612"/>
      <c r="ATD38" s="612"/>
      <c r="ATE38" s="612"/>
      <c r="ATF38" s="612"/>
      <c r="ATG38" s="612"/>
      <c r="ATH38" s="612"/>
      <c r="ATI38" s="612"/>
      <c r="ATJ38" s="612"/>
      <c r="ATK38" s="612"/>
      <c r="ATL38" s="612"/>
      <c r="ATM38" s="612"/>
      <c r="ATN38" s="612"/>
      <c r="ATO38" s="612"/>
      <c r="ATP38" s="612"/>
      <c r="ATQ38" s="612"/>
      <c r="ATR38" s="612"/>
      <c r="ATS38" s="612"/>
      <c r="ATT38" s="612"/>
      <c r="ATU38" s="612"/>
      <c r="ATV38" s="612"/>
      <c r="ATW38" s="612"/>
      <c r="ATX38" s="612"/>
      <c r="ATY38" s="612"/>
      <c r="ATZ38" s="612"/>
      <c r="AUA38" s="612"/>
      <c r="AUB38" s="612"/>
      <c r="AUC38" s="612"/>
      <c r="AUD38" s="612"/>
      <c r="AUE38" s="612"/>
      <c r="AUF38" s="612"/>
      <c r="AUG38" s="612"/>
      <c r="AUH38" s="612"/>
      <c r="AUI38" s="612"/>
      <c r="AUJ38" s="612"/>
      <c r="AUK38" s="612"/>
      <c r="AUL38" s="612"/>
      <c r="AUM38" s="612"/>
      <c r="AUN38" s="612"/>
      <c r="AUO38" s="612"/>
      <c r="AUP38" s="612"/>
      <c r="AUQ38" s="612"/>
      <c r="AUR38" s="612"/>
      <c r="AUS38" s="612"/>
      <c r="AUT38" s="612"/>
      <c r="AUU38" s="612"/>
      <c r="AUV38" s="612"/>
      <c r="AUW38" s="612"/>
      <c r="AUX38" s="612"/>
      <c r="AUY38" s="612"/>
      <c r="AUZ38" s="612"/>
      <c r="AVA38" s="612"/>
      <c r="AVB38" s="612"/>
      <c r="AVC38" s="612"/>
      <c r="AVD38" s="612"/>
      <c r="AVE38" s="612"/>
      <c r="AVF38" s="612"/>
      <c r="AVG38" s="612"/>
      <c r="AVH38" s="612"/>
      <c r="AVI38" s="612"/>
      <c r="AVJ38" s="612"/>
      <c r="AVK38" s="612"/>
      <c r="AVL38" s="612"/>
      <c r="AVM38" s="612"/>
      <c r="AVN38" s="612"/>
      <c r="AVO38" s="612"/>
      <c r="AVP38" s="612"/>
      <c r="AVQ38" s="612"/>
      <c r="AVR38" s="612"/>
      <c r="AVS38" s="612"/>
      <c r="AVT38" s="612"/>
      <c r="AVU38" s="612"/>
      <c r="AVV38" s="612"/>
      <c r="AVW38" s="612"/>
      <c r="AVX38" s="612"/>
      <c r="AVY38" s="612"/>
      <c r="AVZ38" s="612"/>
      <c r="AWA38" s="612"/>
      <c r="AWB38" s="612"/>
      <c r="AWC38" s="612"/>
      <c r="AWD38" s="612"/>
      <c r="AWE38" s="612"/>
      <c r="AWF38" s="612"/>
      <c r="AWG38" s="612"/>
      <c r="AWH38" s="612"/>
      <c r="AWI38" s="612"/>
      <c r="AWJ38" s="612"/>
      <c r="AWK38" s="612"/>
      <c r="AWL38" s="612"/>
      <c r="AWM38" s="612"/>
      <c r="AWN38" s="612"/>
      <c r="AWO38" s="612"/>
      <c r="AWP38" s="612"/>
      <c r="AWQ38" s="612"/>
      <c r="AWR38" s="612"/>
      <c r="AWS38" s="612"/>
      <c r="AWT38" s="612"/>
      <c r="AWU38" s="612"/>
      <c r="AWV38" s="612"/>
      <c r="AWW38" s="612"/>
      <c r="AWX38" s="612"/>
      <c r="AWY38" s="612"/>
      <c r="AWZ38" s="612"/>
      <c r="AXA38" s="612"/>
      <c r="AXB38" s="612"/>
      <c r="AXC38" s="612"/>
      <c r="AXD38" s="612"/>
      <c r="AXE38" s="612"/>
      <c r="AXF38" s="612"/>
      <c r="AXG38" s="612"/>
      <c r="AXH38" s="612"/>
      <c r="AXI38" s="612"/>
      <c r="AXJ38" s="612"/>
      <c r="AXK38" s="612"/>
      <c r="AXL38" s="612"/>
      <c r="AXM38" s="612"/>
      <c r="AXN38" s="612"/>
      <c r="AXO38" s="612"/>
      <c r="AXP38" s="612"/>
      <c r="AXQ38" s="612"/>
      <c r="AXR38" s="612"/>
      <c r="AXS38" s="612"/>
      <c r="AXT38" s="612"/>
      <c r="AXU38" s="612"/>
      <c r="AXV38" s="612"/>
      <c r="AXW38" s="612"/>
      <c r="AXX38" s="612"/>
      <c r="AXY38" s="612"/>
      <c r="AXZ38" s="612"/>
      <c r="AYA38" s="612"/>
      <c r="AYB38" s="612"/>
      <c r="AYC38" s="612"/>
      <c r="AYD38" s="612"/>
      <c r="AYE38" s="612"/>
      <c r="AYF38" s="612"/>
      <c r="AYG38" s="612"/>
      <c r="AYH38" s="612"/>
      <c r="AYI38" s="612"/>
      <c r="AYJ38" s="612"/>
      <c r="AYK38" s="612"/>
      <c r="AYL38" s="612"/>
      <c r="AYM38" s="612"/>
      <c r="AYN38" s="612"/>
      <c r="AYO38" s="612"/>
      <c r="AYP38" s="612"/>
      <c r="AYQ38" s="612"/>
      <c r="AYR38" s="612"/>
      <c r="AYS38" s="612"/>
      <c r="AYT38" s="612"/>
      <c r="AYU38" s="612"/>
      <c r="AYV38" s="612"/>
      <c r="AYW38" s="612"/>
      <c r="AYX38" s="612"/>
      <c r="AYY38" s="612"/>
      <c r="AYZ38" s="612"/>
      <c r="AZA38" s="612"/>
      <c r="AZB38" s="612"/>
      <c r="AZC38" s="612"/>
      <c r="AZD38" s="612"/>
      <c r="AZE38" s="612"/>
      <c r="AZF38" s="612"/>
      <c r="AZG38" s="612"/>
      <c r="AZH38" s="612"/>
      <c r="AZI38" s="612"/>
      <c r="AZJ38" s="612"/>
      <c r="AZK38" s="612"/>
      <c r="AZL38" s="612"/>
      <c r="AZM38" s="612"/>
      <c r="AZN38" s="612"/>
      <c r="AZO38" s="612"/>
      <c r="AZP38" s="612"/>
      <c r="AZQ38" s="612"/>
      <c r="AZR38" s="612"/>
      <c r="AZS38" s="612"/>
      <c r="AZT38" s="612"/>
      <c r="AZU38" s="612"/>
      <c r="AZV38" s="612"/>
      <c r="AZW38" s="612"/>
      <c r="AZX38" s="612"/>
      <c r="AZY38" s="612"/>
      <c r="AZZ38" s="612"/>
      <c r="BAA38" s="612"/>
      <c r="BAB38" s="612"/>
      <c r="BAC38" s="612"/>
      <c r="BAD38" s="612"/>
      <c r="BAE38" s="612"/>
      <c r="BAF38" s="612"/>
      <c r="BAG38" s="612"/>
      <c r="BAH38" s="612"/>
      <c r="BAI38" s="612"/>
      <c r="BAJ38" s="612"/>
      <c r="BAK38" s="612"/>
      <c r="BAL38" s="612"/>
      <c r="BAM38" s="612"/>
      <c r="BAN38" s="612"/>
      <c r="BAO38" s="612"/>
      <c r="BAP38" s="612"/>
      <c r="BAQ38" s="612"/>
      <c r="BAR38" s="612"/>
      <c r="BAS38" s="612"/>
      <c r="BAT38" s="612"/>
      <c r="BAU38" s="612"/>
      <c r="BAV38" s="612"/>
      <c r="BAW38" s="612"/>
      <c r="BAX38" s="612"/>
      <c r="BAY38" s="612"/>
      <c r="BAZ38" s="612"/>
      <c r="BBA38" s="612"/>
      <c r="BBB38" s="612"/>
      <c r="BBC38" s="612"/>
      <c r="BBD38" s="612"/>
      <c r="BBE38" s="612"/>
      <c r="BBF38" s="612"/>
      <c r="BBG38" s="612"/>
      <c r="BBH38" s="612"/>
      <c r="BBI38" s="612"/>
      <c r="BBJ38" s="612"/>
      <c r="BBK38" s="612"/>
      <c r="BBL38" s="612"/>
      <c r="BBM38" s="612"/>
      <c r="BBN38" s="612"/>
      <c r="BBO38" s="612"/>
      <c r="BBP38" s="612"/>
      <c r="BBQ38" s="612"/>
      <c r="BBR38" s="612"/>
      <c r="BBS38" s="612"/>
      <c r="BBT38" s="612"/>
      <c r="BBU38" s="612"/>
      <c r="BBV38" s="612"/>
      <c r="BBW38" s="612"/>
      <c r="BBX38" s="612"/>
      <c r="BBY38" s="612"/>
      <c r="BBZ38" s="612"/>
      <c r="BCA38" s="612"/>
      <c r="BCB38" s="612"/>
      <c r="BCC38" s="612"/>
      <c r="BCD38" s="612"/>
      <c r="BCE38" s="612"/>
      <c r="BCF38" s="612"/>
      <c r="BCG38" s="612"/>
      <c r="BCH38" s="612"/>
      <c r="BCI38" s="612"/>
      <c r="BCJ38" s="612"/>
      <c r="BCK38" s="612"/>
      <c r="BCL38" s="612"/>
      <c r="BCM38" s="612"/>
      <c r="BCN38" s="612"/>
      <c r="BCO38" s="612"/>
      <c r="BCP38" s="612"/>
      <c r="BCQ38" s="612"/>
      <c r="BCR38" s="612"/>
      <c r="BCS38" s="612"/>
      <c r="BCT38" s="612"/>
      <c r="BCU38" s="612"/>
      <c r="BCV38" s="612"/>
      <c r="BCW38" s="612"/>
      <c r="BCX38" s="612"/>
      <c r="BCY38" s="612"/>
      <c r="BCZ38" s="612"/>
      <c r="BDA38" s="612"/>
      <c r="BDB38" s="612"/>
      <c r="BDC38" s="612"/>
      <c r="BDD38" s="612"/>
      <c r="BDE38" s="612"/>
      <c r="BDF38" s="612"/>
      <c r="BDG38" s="612"/>
      <c r="BDH38" s="612"/>
      <c r="BDI38" s="612"/>
      <c r="BDJ38" s="612"/>
      <c r="BDK38" s="612"/>
      <c r="BDL38" s="612"/>
      <c r="BDM38" s="612"/>
      <c r="BDN38" s="612"/>
      <c r="BDO38" s="612"/>
      <c r="BDP38" s="612"/>
      <c r="BDQ38" s="612"/>
      <c r="BDR38" s="612"/>
      <c r="BDS38" s="612"/>
      <c r="BDT38" s="612"/>
      <c r="BDU38" s="612"/>
      <c r="BDV38" s="612"/>
      <c r="BDW38" s="612"/>
      <c r="BDX38" s="612"/>
      <c r="BDY38" s="612"/>
      <c r="BDZ38" s="612"/>
      <c r="BEA38" s="612"/>
      <c r="BEB38" s="612"/>
      <c r="BEC38" s="612"/>
      <c r="BED38" s="612"/>
      <c r="BEE38" s="612"/>
      <c r="BEF38" s="612"/>
      <c r="BEG38" s="612"/>
      <c r="BEH38" s="612"/>
      <c r="BEI38" s="612"/>
      <c r="BEJ38" s="612"/>
      <c r="BEK38" s="612"/>
      <c r="BEL38" s="612"/>
      <c r="BEM38" s="612"/>
      <c r="BEN38" s="612"/>
      <c r="BEO38" s="612"/>
      <c r="BEP38" s="612"/>
      <c r="BEQ38" s="612"/>
      <c r="BER38" s="612"/>
      <c r="BES38" s="612"/>
      <c r="BET38" s="612"/>
      <c r="BEU38" s="612"/>
      <c r="BEV38" s="612"/>
      <c r="BEW38" s="612"/>
      <c r="BEX38" s="612"/>
      <c r="BEY38" s="612"/>
      <c r="BEZ38" s="612"/>
      <c r="BFA38" s="612"/>
      <c r="BFB38" s="612"/>
      <c r="BFC38" s="612"/>
      <c r="BFD38" s="612"/>
      <c r="BFE38" s="612"/>
      <c r="BFF38" s="612"/>
      <c r="BFG38" s="612"/>
      <c r="BFH38" s="612"/>
      <c r="BFI38" s="612"/>
      <c r="BFJ38" s="612"/>
      <c r="BFK38" s="612"/>
      <c r="BFL38" s="612"/>
      <c r="BFM38" s="612"/>
      <c r="BFN38" s="612"/>
      <c r="BFO38" s="612"/>
      <c r="BFP38" s="612"/>
      <c r="BFQ38" s="612"/>
      <c r="BFR38" s="612"/>
      <c r="BFS38" s="612"/>
      <c r="BFT38" s="612"/>
      <c r="BFU38" s="612"/>
      <c r="BFV38" s="612"/>
      <c r="BFW38" s="612"/>
      <c r="BFX38" s="612"/>
      <c r="BFY38" s="612"/>
      <c r="BFZ38" s="612"/>
      <c r="BGA38" s="612"/>
      <c r="BGB38" s="612"/>
      <c r="BGC38" s="612"/>
      <c r="BGD38" s="612"/>
      <c r="BGE38" s="612"/>
      <c r="BGF38" s="612"/>
      <c r="BGG38" s="612"/>
      <c r="BGH38" s="612"/>
      <c r="BGI38" s="612"/>
      <c r="BGJ38" s="612"/>
      <c r="BGK38" s="612"/>
      <c r="BGL38" s="612"/>
      <c r="BGM38" s="612"/>
      <c r="BGN38" s="612"/>
      <c r="BGO38" s="612"/>
      <c r="BGP38" s="612"/>
      <c r="BGQ38" s="612"/>
      <c r="BGR38" s="612"/>
      <c r="BGS38" s="612"/>
      <c r="BGT38" s="612"/>
      <c r="BGU38" s="612"/>
      <c r="BGV38" s="612"/>
      <c r="BGW38" s="612"/>
      <c r="BGX38" s="612"/>
      <c r="BGY38" s="612"/>
      <c r="BGZ38" s="612"/>
      <c r="BHA38" s="612"/>
      <c r="BHB38" s="612"/>
      <c r="BHC38" s="612"/>
      <c r="BHD38" s="612"/>
      <c r="BHE38" s="612"/>
      <c r="BHF38" s="612"/>
      <c r="BHG38" s="612"/>
      <c r="BHH38" s="612"/>
      <c r="BHI38" s="612"/>
      <c r="BHJ38" s="612"/>
      <c r="BHK38" s="612"/>
      <c r="BHL38" s="612"/>
      <c r="BHM38" s="612"/>
      <c r="BHN38" s="612"/>
      <c r="BHO38" s="612"/>
      <c r="BHP38" s="612"/>
      <c r="BHQ38" s="612"/>
      <c r="BHR38" s="612"/>
      <c r="BHS38" s="612"/>
      <c r="BHT38" s="612"/>
      <c r="BHU38" s="612"/>
      <c r="BHV38" s="612"/>
      <c r="BHW38" s="612"/>
      <c r="BHX38" s="612"/>
      <c r="BHY38" s="612"/>
      <c r="BHZ38" s="612"/>
      <c r="BIA38" s="612"/>
      <c r="BIB38" s="612"/>
      <c r="BIC38" s="612"/>
      <c r="BID38" s="612"/>
      <c r="BIE38" s="612"/>
      <c r="BIF38" s="612"/>
      <c r="BIG38" s="612"/>
      <c r="BIH38" s="612"/>
      <c r="BII38" s="612"/>
      <c r="BIJ38" s="612"/>
      <c r="BIK38" s="612"/>
      <c r="BIL38" s="612"/>
      <c r="BIM38" s="612"/>
      <c r="BIN38" s="612"/>
      <c r="BIO38" s="612"/>
      <c r="BIP38" s="612"/>
      <c r="BIQ38" s="612"/>
      <c r="BIR38" s="612"/>
      <c r="BIS38" s="612"/>
      <c r="BIT38" s="612"/>
      <c r="BIU38" s="612"/>
      <c r="BIV38" s="612"/>
      <c r="BIW38" s="612"/>
      <c r="BIX38" s="612"/>
      <c r="BIY38" s="612"/>
      <c r="BIZ38" s="612"/>
      <c r="BJA38" s="612"/>
      <c r="BJB38" s="612"/>
      <c r="BJC38" s="612"/>
      <c r="BJD38" s="612"/>
      <c r="BJE38" s="612"/>
      <c r="BJF38" s="612"/>
      <c r="BJG38" s="612"/>
      <c r="BJH38" s="612"/>
      <c r="BJI38" s="612"/>
      <c r="BJJ38" s="612"/>
      <c r="BJK38" s="612"/>
      <c r="BJL38" s="612"/>
      <c r="BJM38" s="612"/>
      <c r="BJN38" s="612"/>
      <c r="BJO38" s="612"/>
      <c r="BJP38" s="612"/>
      <c r="BJQ38" s="612"/>
      <c r="BJR38" s="612"/>
      <c r="BJS38" s="612"/>
      <c r="BJT38" s="612"/>
      <c r="BJU38" s="612"/>
      <c r="BJV38" s="612"/>
      <c r="BJW38" s="612"/>
      <c r="BJX38" s="612"/>
      <c r="BJY38" s="612"/>
      <c r="BJZ38" s="612"/>
      <c r="BKA38" s="612"/>
      <c r="BKB38" s="612"/>
      <c r="BKC38" s="612"/>
      <c r="BKD38" s="612"/>
      <c r="BKE38" s="612"/>
      <c r="BKF38" s="612"/>
      <c r="BKG38" s="612"/>
      <c r="BKH38" s="612"/>
      <c r="BKI38" s="612"/>
      <c r="BKJ38" s="612"/>
      <c r="BKK38" s="612"/>
      <c r="BKL38" s="612"/>
      <c r="BKM38" s="612"/>
      <c r="BKN38" s="612"/>
      <c r="BKO38" s="612"/>
      <c r="BKP38" s="612"/>
      <c r="BKQ38" s="612"/>
      <c r="BKR38" s="612"/>
      <c r="BKS38" s="612"/>
      <c r="BKT38" s="612"/>
      <c r="BKU38" s="612"/>
      <c r="BKV38" s="612"/>
      <c r="BKW38" s="612"/>
      <c r="BKX38" s="612"/>
      <c r="BKY38" s="612"/>
      <c r="BKZ38" s="612"/>
      <c r="BLA38" s="612"/>
      <c r="BLB38" s="612"/>
      <c r="BLC38" s="612"/>
      <c r="BLD38" s="612"/>
      <c r="BLE38" s="612"/>
      <c r="BLF38" s="612"/>
      <c r="BLG38" s="612"/>
      <c r="BLH38" s="612"/>
      <c r="BLI38" s="612"/>
      <c r="BLJ38" s="612"/>
      <c r="BLK38" s="612"/>
      <c r="BLL38" s="612"/>
      <c r="BLM38" s="612"/>
      <c r="BLN38" s="612"/>
      <c r="BLO38" s="612"/>
      <c r="BLP38" s="612"/>
      <c r="BLQ38" s="612"/>
      <c r="BLR38" s="612"/>
      <c r="BLS38" s="612"/>
      <c r="BLT38" s="612"/>
      <c r="BLU38" s="612"/>
      <c r="BLV38" s="612"/>
      <c r="BLW38" s="612"/>
      <c r="BLX38" s="612"/>
      <c r="BLY38" s="612"/>
      <c r="BLZ38" s="612"/>
      <c r="BMA38" s="612"/>
      <c r="BMB38" s="612"/>
      <c r="BMC38" s="612"/>
      <c r="BMD38" s="612"/>
      <c r="BME38" s="612"/>
      <c r="BMF38" s="612"/>
      <c r="BMG38" s="612"/>
      <c r="BMH38" s="612"/>
      <c r="BMI38" s="612"/>
      <c r="BMJ38" s="612"/>
      <c r="BMK38" s="612"/>
      <c r="BML38" s="612"/>
      <c r="BMM38" s="612"/>
      <c r="BMN38" s="612"/>
      <c r="BMO38" s="612"/>
      <c r="BMP38" s="612"/>
      <c r="BMQ38" s="612"/>
      <c r="BMR38" s="612"/>
      <c r="BMS38" s="612"/>
      <c r="BMT38" s="612"/>
      <c r="BMU38" s="612"/>
      <c r="BMV38" s="612"/>
      <c r="BMW38" s="612"/>
      <c r="BMX38" s="612"/>
      <c r="BMY38" s="612"/>
      <c r="BMZ38" s="612"/>
      <c r="BNA38" s="612"/>
      <c r="BNB38" s="612"/>
      <c r="BNC38" s="612"/>
      <c r="BND38" s="612"/>
      <c r="BNE38" s="612"/>
      <c r="BNF38" s="612"/>
      <c r="BNG38" s="612"/>
      <c r="BNH38" s="612"/>
      <c r="BNI38" s="612"/>
      <c r="BNJ38" s="612"/>
      <c r="BNK38" s="612"/>
      <c r="BNL38" s="612"/>
      <c r="BNM38" s="612"/>
      <c r="BNN38" s="612"/>
      <c r="BNO38" s="612"/>
      <c r="BNP38" s="612"/>
      <c r="BNQ38" s="612"/>
      <c r="BNR38" s="612"/>
      <c r="BNS38" s="612"/>
      <c r="BNT38" s="612"/>
      <c r="BNU38" s="612"/>
      <c r="BNV38" s="612"/>
      <c r="BNW38" s="612"/>
      <c r="BNX38" s="612"/>
      <c r="BNY38" s="612"/>
      <c r="BNZ38" s="612"/>
      <c r="BOA38" s="612"/>
      <c r="BOB38" s="612"/>
      <c r="BOC38" s="612"/>
      <c r="BOD38" s="612"/>
      <c r="BOE38" s="612"/>
      <c r="BOF38" s="612"/>
      <c r="BOG38" s="612"/>
      <c r="BOH38" s="612"/>
      <c r="BOI38" s="612"/>
      <c r="BOJ38" s="612"/>
      <c r="BOK38" s="612"/>
      <c r="BOL38" s="612"/>
      <c r="BOM38" s="612"/>
      <c r="BON38" s="612"/>
      <c r="BOO38" s="612"/>
      <c r="BOP38" s="612"/>
      <c r="BOQ38" s="612"/>
      <c r="BOR38" s="612"/>
      <c r="BOS38" s="612"/>
      <c r="BOT38" s="612"/>
      <c r="BOU38" s="612"/>
      <c r="BOV38" s="612"/>
      <c r="BOW38" s="612"/>
      <c r="BOX38" s="612"/>
      <c r="BOY38" s="612"/>
      <c r="BOZ38" s="612"/>
      <c r="BPA38" s="612"/>
      <c r="BPB38" s="612"/>
      <c r="BPC38" s="612"/>
      <c r="BPD38" s="612"/>
      <c r="BPE38" s="612"/>
      <c r="BPF38" s="612"/>
      <c r="BPG38" s="612"/>
      <c r="BPH38" s="612"/>
      <c r="BPI38" s="612"/>
      <c r="BPJ38" s="612"/>
      <c r="BPK38" s="612"/>
      <c r="BPL38" s="612"/>
      <c r="BPM38" s="612"/>
      <c r="BPN38" s="612"/>
      <c r="BPO38" s="612"/>
      <c r="BPP38" s="612"/>
      <c r="BPQ38" s="612"/>
      <c r="BPR38" s="612"/>
      <c r="BPS38" s="612"/>
      <c r="BPT38" s="612"/>
      <c r="BPU38" s="612"/>
      <c r="BPV38" s="612"/>
      <c r="BPW38" s="612"/>
      <c r="BPX38" s="612"/>
      <c r="BPY38" s="612"/>
      <c r="BPZ38" s="612"/>
      <c r="BQA38" s="612"/>
      <c r="BQB38" s="612"/>
      <c r="BQC38" s="612"/>
      <c r="BQD38" s="612"/>
      <c r="BQE38" s="612"/>
      <c r="BQF38" s="612"/>
      <c r="BQG38" s="612"/>
      <c r="BQH38" s="612"/>
      <c r="BQI38" s="612"/>
      <c r="BQJ38" s="612"/>
      <c r="BQK38" s="612"/>
      <c r="BQL38" s="612"/>
      <c r="BQM38" s="612"/>
      <c r="BQN38" s="612"/>
      <c r="BQO38" s="612"/>
      <c r="BQP38" s="612"/>
      <c r="BQQ38" s="612"/>
      <c r="BQR38" s="612"/>
      <c r="BQS38" s="612"/>
      <c r="BQT38" s="612"/>
      <c r="BQU38" s="612"/>
      <c r="BQV38" s="612"/>
      <c r="BQW38" s="612"/>
      <c r="BQX38" s="612"/>
      <c r="BQY38" s="612"/>
      <c r="BQZ38" s="612"/>
      <c r="BRA38" s="612"/>
      <c r="BRB38" s="612"/>
      <c r="BRC38" s="612"/>
      <c r="BRD38" s="612"/>
      <c r="BRE38" s="612"/>
      <c r="BRF38" s="612"/>
      <c r="BRG38" s="612"/>
      <c r="BRH38" s="612"/>
      <c r="BRI38" s="612"/>
      <c r="BRJ38" s="612"/>
      <c r="BRK38" s="612"/>
      <c r="BRL38" s="612"/>
      <c r="BRM38" s="612"/>
      <c r="BRN38" s="612"/>
      <c r="BRO38" s="612"/>
      <c r="BRP38" s="612"/>
      <c r="BRQ38" s="612"/>
      <c r="BRR38" s="612"/>
      <c r="BRS38" s="612"/>
      <c r="BRT38" s="612"/>
      <c r="BRU38" s="612"/>
      <c r="BRV38" s="612"/>
      <c r="BRW38" s="612"/>
      <c r="BRX38" s="612"/>
      <c r="BRY38" s="612"/>
      <c r="BRZ38" s="612"/>
      <c r="BSA38" s="612"/>
      <c r="BSB38" s="612"/>
      <c r="BSC38" s="612"/>
      <c r="BSD38" s="612"/>
      <c r="BSE38" s="612"/>
      <c r="BSF38" s="612"/>
      <c r="BSG38" s="612"/>
      <c r="BSH38" s="612"/>
      <c r="BSI38" s="612"/>
      <c r="BSJ38" s="612"/>
      <c r="BSK38" s="612"/>
      <c r="BSL38" s="612"/>
      <c r="BSM38" s="612"/>
      <c r="BSN38" s="612"/>
      <c r="BSO38" s="612"/>
      <c r="BSP38" s="612"/>
      <c r="BSQ38" s="612"/>
      <c r="BSR38" s="612"/>
      <c r="BSS38" s="612"/>
      <c r="BST38" s="612"/>
      <c r="BSU38" s="612"/>
      <c r="BSV38" s="612"/>
      <c r="BSW38" s="612"/>
      <c r="BSX38" s="612"/>
      <c r="BSY38" s="612"/>
      <c r="BSZ38" s="612"/>
      <c r="BTA38" s="612"/>
      <c r="BTB38" s="612"/>
      <c r="BTC38" s="612"/>
      <c r="BTD38" s="612"/>
      <c r="BTE38" s="612"/>
      <c r="BTF38" s="612"/>
      <c r="BTG38" s="612"/>
      <c r="BTH38" s="612"/>
      <c r="BTI38" s="612"/>
      <c r="BTJ38" s="612"/>
      <c r="BTK38" s="612"/>
      <c r="BTL38" s="612"/>
      <c r="BTM38" s="612"/>
      <c r="BTN38" s="612"/>
      <c r="BTO38" s="612"/>
      <c r="BTP38" s="612"/>
      <c r="BTQ38" s="612"/>
      <c r="BTR38" s="612"/>
      <c r="BTS38" s="612"/>
      <c r="BTT38" s="612"/>
      <c r="BTU38" s="612"/>
      <c r="BTV38" s="612"/>
      <c r="BTW38" s="612"/>
      <c r="BTX38" s="612"/>
      <c r="BTY38" s="612"/>
      <c r="BTZ38" s="612"/>
      <c r="BUA38" s="612"/>
      <c r="BUB38" s="612"/>
      <c r="BUC38" s="612"/>
      <c r="BUD38" s="612"/>
      <c r="BUE38" s="612"/>
      <c r="BUF38" s="612"/>
      <c r="BUG38" s="612"/>
      <c r="BUH38" s="612"/>
      <c r="BUI38" s="612"/>
      <c r="BUJ38" s="612"/>
      <c r="BUK38" s="612"/>
      <c r="BUL38" s="612"/>
      <c r="BUM38" s="612"/>
      <c r="BUN38" s="612"/>
      <c r="BUO38" s="612"/>
      <c r="BUP38" s="612"/>
      <c r="BUQ38" s="612"/>
      <c r="BUR38" s="612"/>
      <c r="BUS38" s="612"/>
      <c r="BUT38" s="612"/>
      <c r="BUU38" s="612"/>
      <c r="BUV38" s="612"/>
      <c r="BUW38" s="612"/>
      <c r="BUX38" s="612"/>
      <c r="BUY38" s="612"/>
      <c r="BUZ38" s="612"/>
      <c r="BVA38" s="612"/>
      <c r="BVB38" s="612"/>
      <c r="BVC38" s="612"/>
      <c r="BVD38" s="612"/>
      <c r="BVE38" s="612"/>
      <c r="BVF38" s="612"/>
      <c r="BVG38" s="612"/>
      <c r="BVH38" s="612"/>
      <c r="BVI38" s="612"/>
      <c r="BVJ38" s="612"/>
      <c r="BVK38" s="612"/>
      <c r="BVL38" s="612"/>
      <c r="BVM38" s="612"/>
      <c r="BVN38" s="612"/>
      <c r="BVO38" s="612"/>
      <c r="BVP38" s="612"/>
      <c r="BVQ38" s="612"/>
      <c r="BVR38" s="612"/>
      <c r="BVS38" s="612"/>
      <c r="BVT38" s="612"/>
      <c r="BVU38" s="612"/>
      <c r="BVV38" s="612"/>
      <c r="BVW38" s="612"/>
      <c r="BVX38" s="612"/>
      <c r="BVY38" s="612"/>
      <c r="BVZ38" s="612"/>
      <c r="BWA38" s="612"/>
      <c r="BWB38" s="612"/>
      <c r="BWC38" s="612"/>
      <c r="BWD38" s="612"/>
      <c r="BWE38" s="612"/>
      <c r="BWF38" s="612"/>
      <c r="BWG38" s="612"/>
      <c r="BWH38" s="612"/>
      <c r="BWI38" s="612"/>
      <c r="BWJ38" s="612"/>
      <c r="BWK38" s="612"/>
      <c r="BWL38" s="612"/>
      <c r="BWM38" s="612"/>
      <c r="BWN38" s="612"/>
      <c r="BWO38" s="612"/>
      <c r="BWP38" s="612"/>
      <c r="BWQ38" s="612"/>
      <c r="BWR38" s="612"/>
      <c r="BWS38" s="612"/>
      <c r="BWT38" s="612"/>
      <c r="BWU38" s="612"/>
      <c r="BWV38" s="612"/>
      <c r="BWW38" s="612"/>
      <c r="BWX38" s="612"/>
      <c r="BWY38" s="612"/>
      <c r="BWZ38" s="612"/>
      <c r="BXA38" s="612"/>
      <c r="BXB38" s="612"/>
      <c r="BXC38" s="612"/>
      <c r="BXD38" s="612"/>
      <c r="BXE38" s="612"/>
      <c r="BXF38" s="612"/>
      <c r="BXG38" s="612"/>
      <c r="BXH38" s="612"/>
      <c r="BXI38" s="612"/>
      <c r="BXJ38" s="612"/>
      <c r="BXK38" s="612"/>
      <c r="BXL38" s="612"/>
      <c r="BXM38" s="612"/>
      <c r="BXN38" s="612"/>
      <c r="BXO38" s="612"/>
      <c r="BXP38" s="612"/>
      <c r="BXQ38" s="612"/>
      <c r="BXR38" s="612"/>
      <c r="BXS38" s="612"/>
      <c r="BXT38" s="612"/>
      <c r="BXU38" s="612"/>
      <c r="BXV38" s="612"/>
      <c r="BXW38" s="612"/>
      <c r="BXX38" s="612"/>
      <c r="BXY38" s="612"/>
      <c r="BXZ38" s="612"/>
      <c r="BYA38" s="612"/>
      <c r="BYB38" s="612"/>
      <c r="BYC38" s="612"/>
      <c r="BYD38" s="612"/>
      <c r="BYE38" s="612"/>
      <c r="BYF38" s="612"/>
      <c r="BYG38" s="612"/>
      <c r="BYH38" s="612"/>
      <c r="BYI38" s="612"/>
      <c r="BYJ38" s="612"/>
      <c r="BYK38" s="612"/>
      <c r="BYL38" s="612"/>
      <c r="BYM38" s="612"/>
      <c r="BYN38" s="612"/>
      <c r="BYO38" s="612"/>
      <c r="BYP38" s="612"/>
      <c r="BYQ38" s="612"/>
      <c r="BYR38" s="612"/>
      <c r="BYS38" s="612"/>
      <c r="BYT38" s="612"/>
      <c r="BYU38" s="612"/>
      <c r="BYV38" s="612"/>
      <c r="BYW38" s="612"/>
      <c r="BYX38" s="612"/>
      <c r="BYY38" s="612"/>
      <c r="BYZ38" s="612"/>
      <c r="BZA38" s="612"/>
      <c r="BZB38" s="612"/>
      <c r="BZC38" s="612"/>
      <c r="BZD38" s="612"/>
      <c r="BZE38" s="612"/>
      <c r="BZF38" s="612"/>
      <c r="BZG38" s="612"/>
      <c r="BZH38" s="612"/>
      <c r="BZI38" s="612"/>
      <c r="BZJ38" s="612"/>
      <c r="BZK38" s="612"/>
      <c r="BZL38" s="612"/>
      <c r="BZM38" s="612"/>
      <c r="BZN38" s="612"/>
      <c r="BZO38" s="612"/>
      <c r="BZP38" s="612"/>
      <c r="BZQ38" s="612"/>
      <c r="BZR38" s="612"/>
      <c r="BZS38" s="612"/>
      <c r="BZT38" s="612"/>
      <c r="BZU38" s="612"/>
      <c r="BZV38" s="612"/>
      <c r="BZW38" s="612"/>
      <c r="BZX38" s="612"/>
      <c r="BZY38" s="612"/>
      <c r="BZZ38" s="612"/>
      <c r="CAA38" s="612"/>
      <c r="CAB38" s="612"/>
      <c r="CAC38" s="612"/>
      <c r="CAD38" s="612"/>
      <c r="CAE38" s="612"/>
      <c r="CAF38" s="612"/>
      <c r="CAG38" s="612"/>
      <c r="CAH38" s="612"/>
      <c r="CAI38" s="612"/>
      <c r="CAJ38" s="612"/>
      <c r="CAK38" s="612"/>
      <c r="CAL38" s="612"/>
      <c r="CAM38" s="612"/>
      <c r="CAN38" s="612"/>
      <c r="CAO38" s="612"/>
      <c r="CAP38" s="612"/>
      <c r="CAQ38" s="612"/>
      <c r="CAR38" s="612"/>
      <c r="CAS38" s="612"/>
      <c r="CAT38" s="612"/>
      <c r="CAU38" s="612"/>
      <c r="CAV38" s="612"/>
      <c r="CAW38" s="612"/>
      <c r="CAX38" s="612"/>
      <c r="CAY38" s="612"/>
      <c r="CAZ38" s="612"/>
      <c r="CBA38" s="612"/>
      <c r="CBB38" s="612"/>
      <c r="CBC38" s="612"/>
      <c r="CBD38" s="612"/>
      <c r="CBE38" s="612"/>
      <c r="CBF38" s="612"/>
      <c r="CBG38" s="612"/>
      <c r="CBH38" s="612"/>
      <c r="CBI38" s="612"/>
      <c r="CBJ38" s="612"/>
      <c r="CBK38" s="612"/>
      <c r="CBL38" s="612"/>
      <c r="CBM38" s="612"/>
      <c r="CBN38" s="612"/>
      <c r="CBO38" s="612"/>
      <c r="CBP38" s="612"/>
      <c r="CBQ38" s="612"/>
      <c r="CBR38" s="612"/>
      <c r="CBS38" s="612"/>
      <c r="CBT38" s="612"/>
      <c r="CBU38" s="612"/>
      <c r="CBV38" s="612"/>
      <c r="CBW38" s="612"/>
      <c r="CBX38" s="612"/>
      <c r="CBY38" s="612"/>
      <c r="CBZ38" s="612"/>
      <c r="CCA38" s="612"/>
      <c r="CCB38" s="612"/>
      <c r="CCC38" s="612"/>
      <c r="CCD38" s="612"/>
      <c r="CCE38" s="612"/>
      <c r="CCF38" s="612"/>
      <c r="CCG38" s="612"/>
      <c r="CCH38" s="612"/>
      <c r="CCI38" s="612"/>
      <c r="CCJ38" s="612"/>
      <c r="CCK38" s="612"/>
      <c r="CCL38" s="612"/>
      <c r="CCM38" s="612"/>
      <c r="CCN38" s="612"/>
      <c r="CCO38" s="612"/>
      <c r="CCP38" s="612"/>
      <c r="CCQ38" s="612"/>
      <c r="CCR38" s="612"/>
      <c r="CCS38" s="612"/>
      <c r="CCT38" s="612"/>
      <c r="CCU38" s="612"/>
      <c r="CCV38" s="612"/>
      <c r="CCW38" s="612"/>
      <c r="CCX38" s="612"/>
      <c r="CCY38" s="612"/>
      <c r="CCZ38" s="612"/>
      <c r="CDA38" s="612"/>
      <c r="CDB38" s="612"/>
      <c r="CDC38" s="612"/>
      <c r="CDD38" s="612"/>
      <c r="CDE38" s="612"/>
      <c r="CDF38" s="612"/>
      <c r="CDG38" s="612"/>
      <c r="CDH38" s="612"/>
      <c r="CDI38" s="612"/>
      <c r="CDJ38" s="612"/>
      <c r="CDK38" s="612"/>
      <c r="CDL38" s="612"/>
      <c r="CDM38" s="612"/>
      <c r="CDN38" s="612"/>
      <c r="CDO38" s="612"/>
      <c r="CDP38" s="612"/>
      <c r="CDQ38" s="612"/>
      <c r="CDR38" s="612"/>
      <c r="CDS38" s="612"/>
      <c r="CDT38" s="612"/>
      <c r="CDU38" s="612"/>
      <c r="CDV38" s="612"/>
      <c r="CDW38" s="612"/>
      <c r="CDX38" s="612"/>
      <c r="CDY38" s="612"/>
      <c r="CDZ38" s="612"/>
      <c r="CEA38" s="612"/>
      <c r="CEB38" s="612"/>
      <c r="CEC38" s="612"/>
      <c r="CED38" s="612"/>
      <c r="CEE38" s="612"/>
      <c r="CEF38" s="612"/>
      <c r="CEG38" s="612"/>
      <c r="CEH38" s="612"/>
      <c r="CEI38" s="612"/>
      <c r="CEJ38" s="612"/>
      <c r="CEK38" s="612"/>
      <c r="CEL38" s="612"/>
      <c r="CEM38" s="612"/>
      <c r="CEN38" s="612"/>
      <c r="CEO38" s="612"/>
      <c r="CEP38" s="612"/>
      <c r="CEQ38" s="612"/>
      <c r="CER38" s="612"/>
      <c r="CES38" s="612"/>
      <c r="CET38" s="612"/>
      <c r="CEU38" s="612"/>
      <c r="CEV38" s="612"/>
      <c r="CEW38" s="612"/>
      <c r="CEX38" s="612"/>
      <c r="CEY38" s="612"/>
      <c r="CEZ38" s="612"/>
      <c r="CFA38" s="612"/>
      <c r="CFB38" s="612"/>
      <c r="CFC38" s="612"/>
      <c r="CFD38" s="612"/>
      <c r="CFE38" s="612"/>
      <c r="CFF38" s="612"/>
      <c r="CFG38" s="612"/>
      <c r="CFH38" s="612"/>
      <c r="CFI38" s="612"/>
      <c r="CFJ38" s="612"/>
      <c r="CFK38" s="612"/>
      <c r="CFL38" s="612"/>
      <c r="CFM38" s="612"/>
      <c r="CFN38" s="612"/>
      <c r="CFO38" s="612"/>
      <c r="CFP38" s="612"/>
      <c r="CFQ38" s="612"/>
      <c r="CFR38" s="612"/>
      <c r="CFS38" s="612"/>
      <c r="CFT38" s="612"/>
      <c r="CFU38" s="612"/>
      <c r="CFV38" s="612"/>
      <c r="CFW38" s="612"/>
      <c r="CFX38" s="612"/>
      <c r="CFY38" s="612"/>
      <c r="CFZ38" s="612"/>
      <c r="CGA38" s="612"/>
      <c r="CGB38" s="612"/>
      <c r="CGC38" s="612"/>
      <c r="CGD38" s="612"/>
      <c r="CGE38" s="612"/>
      <c r="CGF38" s="612"/>
      <c r="CGG38" s="612"/>
      <c r="CGH38" s="612"/>
      <c r="CGI38" s="612"/>
      <c r="CGJ38" s="612"/>
      <c r="CGK38" s="612"/>
      <c r="CGL38" s="612"/>
      <c r="CGM38" s="612"/>
      <c r="CGN38" s="612"/>
      <c r="CGO38" s="612"/>
      <c r="CGP38" s="612"/>
      <c r="CGQ38" s="612"/>
      <c r="CGR38" s="612"/>
      <c r="CGS38" s="612"/>
      <c r="CGT38" s="612"/>
      <c r="CGU38" s="612"/>
      <c r="CGV38" s="612"/>
      <c r="CGW38" s="612"/>
      <c r="CGX38" s="612"/>
      <c r="CGY38" s="612"/>
      <c r="CGZ38" s="612"/>
      <c r="CHA38" s="612"/>
      <c r="CHB38" s="612"/>
      <c r="CHC38" s="612"/>
      <c r="CHD38" s="612"/>
      <c r="CHE38" s="612"/>
      <c r="CHF38" s="612"/>
      <c r="CHG38" s="612"/>
      <c r="CHH38" s="612"/>
      <c r="CHI38" s="612"/>
      <c r="CHJ38" s="612"/>
      <c r="CHK38" s="612"/>
      <c r="CHL38" s="612"/>
      <c r="CHM38" s="612"/>
      <c r="CHN38" s="612"/>
      <c r="CHO38" s="612"/>
      <c r="CHP38" s="612"/>
      <c r="CHQ38" s="612"/>
      <c r="CHR38" s="612"/>
      <c r="CHS38" s="612"/>
      <c r="CHT38" s="612"/>
      <c r="CHU38" s="612"/>
      <c r="CHV38" s="612"/>
      <c r="CHW38" s="612"/>
      <c r="CHX38" s="612"/>
      <c r="CHY38" s="612"/>
      <c r="CHZ38" s="612"/>
      <c r="CIA38" s="612"/>
      <c r="CIB38" s="612"/>
      <c r="CIC38" s="612"/>
      <c r="CID38" s="612"/>
      <c r="CIE38" s="612"/>
      <c r="CIF38" s="612"/>
      <c r="CIG38" s="612"/>
      <c r="CIH38" s="612"/>
      <c r="CII38" s="612"/>
      <c r="CIJ38" s="612"/>
      <c r="CIK38" s="612"/>
      <c r="CIL38" s="612"/>
      <c r="CIM38" s="612"/>
      <c r="CIN38" s="612"/>
      <c r="CIO38" s="612"/>
      <c r="CIP38" s="612"/>
      <c r="CIQ38" s="612"/>
      <c r="CIR38" s="612"/>
      <c r="CIS38" s="612"/>
      <c r="CIT38" s="612"/>
      <c r="CIU38" s="612"/>
      <c r="CIV38" s="612"/>
      <c r="CIW38" s="612"/>
      <c r="CIX38" s="612"/>
      <c r="CIY38" s="612"/>
      <c r="CIZ38" s="612"/>
      <c r="CJA38" s="612"/>
      <c r="CJB38" s="612"/>
      <c r="CJC38" s="612"/>
      <c r="CJD38" s="612"/>
      <c r="CJE38" s="612"/>
      <c r="CJF38" s="612"/>
      <c r="CJG38" s="612"/>
      <c r="CJH38" s="612"/>
      <c r="CJI38" s="612"/>
      <c r="CJJ38" s="612"/>
      <c r="CJK38" s="612"/>
      <c r="CJL38" s="612"/>
      <c r="CJM38" s="612"/>
      <c r="CJN38" s="612"/>
      <c r="CJO38" s="612"/>
      <c r="CJP38" s="612"/>
      <c r="CJQ38" s="612"/>
      <c r="CJR38" s="612"/>
      <c r="CJS38" s="612"/>
      <c r="CJT38" s="612"/>
      <c r="CJU38" s="612"/>
      <c r="CJV38" s="612"/>
      <c r="CJW38" s="612"/>
      <c r="CJX38" s="612"/>
      <c r="CJY38" s="612"/>
      <c r="CJZ38" s="612"/>
      <c r="CKA38" s="612"/>
      <c r="CKB38" s="612"/>
      <c r="CKC38" s="612"/>
      <c r="CKD38" s="612"/>
      <c r="CKE38" s="612"/>
      <c r="CKF38" s="612"/>
      <c r="CKG38" s="612"/>
      <c r="CKH38" s="612"/>
      <c r="CKI38" s="612"/>
      <c r="CKJ38" s="612"/>
      <c r="CKK38" s="612"/>
      <c r="CKL38" s="612"/>
      <c r="CKM38" s="612"/>
      <c r="CKN38" s="612"/>
      <c r="CKO38" s="612"/>
      <c r="CKP38" s="612"/>
      <c r="CKQ38" s="612"/>
      <c r="CKR38" s="612"/>
      <c r="CKS38" s="612"/>
      <c r="CKT38" s="612"/>
      <c r="CKU38" s="612"/>
      <c r="CKV38" s="612"/>
      <c r="CKW38" s="612"/>
      <c r="CKX38" s="612"/>
      <c r="CKY38" s="612"/>
      <c r="CKZ38" s="612"/>
      <c r="CLA38" s="612"/>
      <c r="CLB38" s="612"/>
      <c r="CLC38" s="612"/>
      <c r="CLD38" s="612"/>
      <c r="CLE38" s="612"/>
      <c r="CLF38" s="612"/>
      <c r="CLG38" s="612"/>
      <c r="CLH38" s="612"/>
      <c r="CLI38" s="612"/>
      <c r="CLJ38" s="612"/>
      <c r="CLK38" s="612"/>
      <c r="CLL38" s="612"/>
      <c r="CLM38" s="612"/>
      <c r="CLN38" s="612"/>
      <c r="CLO38" s="612"/>
      <c r="CLP38" s="612"/>
      <c r="CLQ38" s="612"/>
      <c r="CLR38" s="612"/>
      <c r="CLS38" s="612"/>
      <c r="CLT38" s="612"/>
      <c r="CLU38" s="612"/>
      <c r="CLV38" s="612"/>
      <c r="CLW38" s="612"/>
      <c r="CLX38" s="612"/>
      <c r="CLY38" s="612"/>
      <c r="CLZ38" s="612"/>
      <c r="CMA38" s="612"/>
      <c r="CMB38" s="612"/>
      <c r="CMC38" s="612"/>
      <c r="CMD38" s="612"/>
      <c r="CME38" s="612"/>
      <c r="CMF38" s="612"/>
      <c r="CMG38" s="612"/>
      <c r="CMH38" s="612"/>
      <c r="CMI38" s="612"/>
      <c r="CMJ38" s="612"/>
      <c r="CMK38" s="612"/>
      <c r="CML38" s="612"/>
      <c r="CMM38" s="612"/>
      <c r="CMN38" s="612"/>
      <c r="CMO38" s="612"/>
      <c r="CMP38" s="612"/>
      <c r="CMQ38" s="612"/>
      <c r="CMR38" s="612"/>
      <c r="CMS38" s="612"/>
      <c r="CMT38" s="612"/>
      <c r="CMU38" s="612"/>
      <c r="CMV38" s="612"/>
      <c r="CMW38" s="612"/>
      <c r="CMX38" s="612"/>
      <c r="CMY38" s="612"/>
      <c r="CMZ38" s="612"/>
      <c r="CNA38" s="612"/>
      <c r="CNB38" s="612"/>
      <c r="CNC38" s="612"/>
      <c r="CND38" s="612"/>
      <c r="CNE38" s="612"/>
      <c r="CNF38" s="612"/>
      <c r="CNG38" s="612"/>
      <c r="CNH38" s="612"/>
      <c r="CNI38" s="612"/>
      <c r="CNJ38" s="612"/>
      <c r="CNK38" s="612"/>
      <c r="CNL38" s="612"/>
      <c r="CNM38" s="612"/>
      <c r="CNN38" s="612"/>
      <c r="CNO38" s="612"/>
      <c r="CNP38" s="612"/>
      <c r="CNQ38" s="612"/>
      <c r="CNR38" s="612"/>
      <c r="CNS38" s="612"/>
      <c r="CNT38" s="612"/>
      <c r="CNU38" s="612"/>
      <c r="CNV38" s="612"/>
      <c r="CNW38" s="612"/>
      <c r="CNX38" s="612"/>
      <c r="CNY38" s="612"/>
      <c r="CNZ38" s="612"/>
      <c r="COA38" s="612"/>
      <c r="COB38" s="612"/>
      <c r="COC38" s="612"/>
      <c r="COD38" s="612"/>
      <c r="COE38" s="612"/>
      <c r="COF38" s="612"/>
      <c r="COG38" s="612"/>
      <c r="COH38" s="612"/>
      <c r="COI38" s="612"/>
      <c r="COJ38" s="612"/>
      <c r="COK38" s="612"/>
      <c r="COL38" s="612"/>
      <c r="COM38" s="612"/>
      <c r="CON38" s="612"/>
      <c r="COO38" s="612"/>
      <c r="COP38" s="612"/>
      <c r="COQ38" s="612"/>
      <c r="COR38" s="612"/>
      <c r="COS38" s="612"/>
      <c r="COT38" s="612"/>
      <c r="COU38" s="612"/>
      <c r="COV38" s="612"/>
      <c r="COW38" s="612"/>
      <c r="COX38" s="612"/>
      <c r="COY38" s="612"/>
      <c r="COZ38" s="612"/>
      <c r="CPA38" s="612"/>
      <c r="CPB38" s="612"/>
      <c r="CPC38" s="612"/>
      <c r="CPD38" s="612"/>
      <c r="CPE38" s="612"/>
      <c r="CPF38" s="612"/>
      <c r="CPG38" s="612"/>
      <c r="CPH38" s="612"/>
      <c r="CPI38" s="612"/>
      <c r="CPJ38" s="612"/>
      <c r="CPK38" s="612"/>
      <c r="CPL38" s="612"/>
      <c r="CPM38" s="612"/>
      <c r="CPN38" s="612"/>
      <c r="CPO38" s="612"/>
      <c r="CPP38" s="612"/>
      <c r="CPQ38" s="612"/>
      <c r="CPR38" s="612"/>
      <c r="CPS38" s="612"/>
      <c r="CPT38" s="612"/>
      <c r="CPU38" s="612"/>
      <c r="CPV38" s="612"/>
      <c r="CPW38" s="612"/>
      <c r="CPX38" s="612"/>
      <c r="CPY38" s="612"/>
      <c r="CPZ38" s="612"/>
      <c r="CQA38" s="612"/>
      <c r="CQB38" s="612"/>
      <c r="CQC38" s="612"/>
      <c r="CQD38" s="612"/>
      <c r="CQE38" s="612"/>
      <c r="CQF38" s="612"/>
      <c r="CQG38" s="612"/>
      <c r="CQH38" s="612"/>
      <c r="CQI38" s="612"/>
      <c r="CQJ38" s="612"/>
      <c r="CQK38" s="612"/>
      <c r="CQL38" s="612"/>
      <c r="CQM38" s="612"/>
      <c r="CQN38" s="612"/>
      <c r="CQO38" s="612"/>
      <c r="CQP38" s="612"/>
      <c r="CQQ38" s="612"/>
      <c r="CQR38" s="612"/>
      <c r="CQS38" s="612"/>
      <c r="CQT38" s="612"/>
      <c r="CQU38" s="612"/>
      <c r="CQV38" s="612"/>
      <c r="CQW38" s="612"/>
      <c r="CQX38" s="612"/>
      <c r="CQY38" s="612"/>
      <c r="CQZ38" s="612"/>
      <c r="CRA38" s="612"/>
      <c r="CRB38" s="612"/>
      <c r="CRC38" s="612"/>
      <c r="CRD38" s="612"/>
      <c r="CRE38" s="612"/>
      <c r="CRF38" s="612"/>
      <c r="CRG38" s="612"/>
      <c r="CRH38" s="612"/>
      <c r="CRI38" s="612"/>
      <c r="CRJ38" s="612"/>
      <c r="CRK38" s="612"/>
      <c r="CRL38" s="612"/>
      <c r="CRM38" s="612"/>
      <c r="CRN38" s="612"/>
      <c r="CRO38" s="612"/>
      <c r="CRP38" s="612"/>
      <c r="CRQ38" s="612"/>
      <c r="CRR38" s="612"/>
      <c r="CRS38" s="612"/>
      <c r="CRT38" s="612"/>
      <c r="CRU38" s="612"/>
      <c r="CRV38" s="612"/>
      <c r="CRW38" s="612"/>
      <c r="CRX38" s="612"/>
      <c r="CRY38" s="612"/>
      <c r="CRZ38" s="612"/>
      <c r="CSA38" s="612"/>
      <c r="CSB38" s="612"/>
      <c r="CSC38" s="612"/>
      <c r="CSD38" s="612"/>
      <c r="CSE38" s="612"/>
      <c r="CSF38" s="612"/>
      <c r="CSG38" s="612"/>
      <c r="CSH38" s="612"/>
      <c r="CSI38" s="612"/>
      <c r="CSJ38" s="612"/>
      <c r="CSK38" s="612"/>
      <c r="CSL38" s="612"/>
      <c r="CSM38" s="612"/>
      <c r="CSN38" s="612"/>
      <c r="CSO38" s="612"/>
      <c r="CSP38" s="612"/>
      <c r="CSQ38" s="612"/>
      <c r="CSR38" s="612"/>
      <c r="CSS38" s="612"/>
      <c r="CST38" s="612"/>
      <c r="CSU38" s="612"/>
      <c r="CSV38" s="612"/>
      <c r="CSW38" s="612"/>
      <c r="CSX38" s="612"/>
      <c r="CSY38" s="612"/>
      <c r="CSZ38" s="612"/>
      <c r="CTA38" s="612"/>
      <c r="CTB38" s="612"/>
      <c r="CTC38" s="612"/>
      <c r="CTD38" s="612"/>
      <c r="CTE38" s="612"/>
      <c r="CTF38" s="612"/>
      <c r="CTG38" s="612"/>
      <c r="CTH38" s="612"/>
      <c r="CTI38" s="612"/>
      <c r="CTJ38" s="612"/>
      <c r="CTK38" s="612"/>
      <c r="CTL38" s="612"/>
      <c r="CTM38" s="612"/>
      <c r="CTN38" s="612"/>
      <c r="CTO38" s="612"/>
      <c r="CTP38" s="612"/>
      <c r="CTQ38" s="612"/>
      <c r="CTR38" s="612"/>
      <c r="CTS38" s="612"/>
      <c r="CTT38" s="612"/>
      <c r="CTU38" s="612"/>
      <c r="CTV38" s="612"/>
      <c r="CTW38" s="612"/>
      <c r="CTX38" s="612"/>
      <c r="CTY38" s="612"/>
      <c r="CTZ38" s="612"/>
      <c r="CUA38" s="612"/>
      <c r="CUB38" s="612"/>
      <c r="CUC38" s="612"/>
      <c r="CUD38" s="612"/>
      <c r="CUE38" s="612"/>
      <c r="CUF38" s="612"/>
      <c r="CUG38" s="612"/>
      <c r="CUH38" s="612"/>
      <c r="CUI38" s="612"/>
      <c r="CUJ38" s="612"/>
      <c r="CUK38" s="612"/>
      <c r="CUL38" s="612"/>
      <c r="CUM38" s="612"/>
      <c r="CUN38" s="612"/>
      <c r="CUO38" s="612"/>
      <c r="CUP38" s="612"/>
      <c r="CUQ38" s="612"/>
      <c r="CUR38" s="612"/>
      <c r="CUS38" s="612"/>
      <c r="CUT38" s="612"/>
      <c r="CUU38" s="612"/>
      <c r="CUV38" s="612"/>
      <c r="CUW38" s="612"/>
      <c r="CUX38" s="612"/>
      <c r="CUY38" s="612"/>
      <c r="CUZ38" s="612"/>
      <c r="CVA38" s="612"/>
      <c r="CVB38" s="612"/>
      <c r="CVC38" s="612"/>
      <c r="CVD38" s="612"/>
      <c r="CVE38" s="612"/>
      <c r="CVF38" s="612"/>
      <c r="CVG38" s="612"/>
      <c r="CVH38" s="612"/>
      <c r="CVI38" s="612"/>
      <c r="CVJ38" s="612"/>
      <c r="CVK38" s="612"/>
      <c r="CVL38" s="612"/>
      <c r="CVM38" s="612"/>
      <c r="CVN38" s="612"/>
      <c r="CVO38" s="612"/>
      <c r="CVP38" s="612"/>
      <c r="CVQ38" s="612"/>
      <c r="CVR38" s="612"/>
      <c r="CVS38" s="612"/>
      <c r="CVT38" s="612"/>
      <c r="CVU38" s="612"/>
      <c r="CVV38" s="612"/>
      <c r="CVW38" s="612"/>
      <c r="CVX38" s="612"/>
      <c r="CVY38" s="612"/>
      <c r="CVZ38" s="612"/>
      <c r="CWA38" s="612"/>
      <c r="CWB38" s="612"/>
      <c r="CWC38" s="612"/>
      <c r="CWD38" s="612"/>
      <c r="CWE38" s="612"/>
      <c r="CWF38" s="612"/>
      <c r="CWG38" s="612"/>
      <c r="CWH38" s="612"/>
      <c r="CWI38" s="612"/>
      <c r="CWJ38" s="612"/>
      <c r="CWK38" s="612"/>
      <c r="CWL38" s="612"/>
      <c r="CWM38" s="612"/>
      <c r="CWN38" s="612"/>
      <c r="CWO38" s="612"/>
      <c r="CWP38" s="612"/>
      <c r="CWQ38" s="612"/>
      <c r="CWR38" s="612"/>
      <c r="CWS38" s="612"/>
      <c r="CWT38" s="612"/>
      <c r="CWU38" s="612"/>
      <c r="CWV38" s="612"/>
      <c r="CWW38" s="612"/>
      <c r="CWX38" s="612"/>
      <c r="CWY38" s="612"/>
      <c r="CWZ38" s="612"/>
      <c r="CXA38" s="612"/>
      <c r="CXB38" s="612"/>
      <c r="CXC38" s="612"/>
      <c r="CXD38" s="612"/>
      <c r="CXE38" s="612"/>
      <c r="CXF38" s="612"/>
      <c r="CXG38" s="612"/>
      <c r="CXH38" s="612"/>
      <c r="CXI38" s="612"/>
      <c r="CXJ38" s="612"/>
      <c r="CXK38" s="612"/>
      <c r="CXL38" s="612"/>
      <c r="CXM38" s="612"/>
      <c r="CXN38" s="612"/>
      <c r="CXO38" s="612"/>
      <c r="CXP38" s="612"/>
      <c r="CXQ38" s="612"/>
      <c r="CXR38" s="612"/>
      <c r="CXS38" s="612"/>
      <c r="CXT38" s="612"/>
      <c r="CXU38" s="612"/>
      <c r="CXV38" s="612"/>
      <c r="CXW38" s="612"/>
      <c r="CXX38" s="612"/>
      <c r="CXY38" s="612"/>
      <c r="CXZ38" s="612"/>
      <c r="CYA38" s="612"/>
      <c r="CYB38" s="612"/>
      <c r="CYC38" s="612"/>
      <c r="CYD38" s="612"/>
      <c r="CYE38" s="612"/>
      <c r="CYF38" s="612"/>
      <c r="CYG38" s="612"/>
      <c r="CYH38" s="612"/>
      <c r="CYI38" s="612"/>
      <c r="CYJ38" s="612"/>
      <c r="CYK38" s="612"/>
      <c r="CYL38" s="612"/>
      <c r="CYM38" s="612"/>
      <c r="CYN38" s="612"/>
      <c r="CYO38" s="612"/>
      <c r="CYP38" s="612"/>
      <c r="CYQ38" s="612"/>
      <c r="CYR38" s="612"/>
      <c r="CYS38" s="612"/>
      <c r="CYT38" s="612"/>
      <c r="CYU38" s="612"/>
      <c r="CYV38" s="612"/>
      <c r="CYW38" s="612"/>
      <c r="CYX38" s="612"/>
      <c r="CYY38" s="612"/>
      <c r="CYZ38" s="612"/>
      <c r="CZA38" s="612"/>
      <c r="CZB38" s="612"/>
      <c r="CZC38" s="612"/>
      <c r="CZD38" s="612"/>
      <c r="CZE38" s="612"/>
      <c r="CZF38" s="612"/>
      <c r="CZG38" s="612"/>
      <c r="CZH38" s="612"/>
      <c r="CZI38" s="612"/>
      <c r="CZJ38" s="612"/>
      <c r="CZK38" s="612"/>
      <c r="CZL38" s="612"/>
      <c r="CZM38" s="612"/>
      <c r="CZN38" s="612"/>
      <c r="CZO38" s="612"/>
      <c r="CZP38" s="612"/>
      <c r="CZQ38" s="612"/>
      <c r="CZR38" s="612"/>
      <c r="CZS38" s="612"/>
      <c r="CZT38" s="612"/>
      <c r="CZU38" s="612"/>
      <c r="CZV38" s="612"/>
      <c r="CZW38" s="612"/>
      <c r="CZX38" s="612"/>
      <c r="CZY38" s="612"/>
      <c r="CZZ38" s="612"/>
      <c r="DAA38" s="612"/>
      <c r="DAB38" s="612"/>
      <c r="DAC38" s="612"/>
      <c r="DAD38" s="612"/>
      <c r="DAE38" s="612"/>
      <c r="DAF38" s="612"/>
      <c r="DAG38" s="612"/>
      <c r="DAH38" s="612"/>
      <c r="DAI38" s="612"/>
      <c r="DAJ38" s="612"/>
      <c r="DAK38" s="612"/>
      <c r="DAL38" s="612"/>
      <c r="DAM38" s="612"/>
      <c r="DAN38" s="612"/>
      <c r="DAO38" s="612"/>
      <c r="DAP38" s="612"/>
      <c r="DAQ38" s="612"/>
      <c r="DAR38" s="612"/>
      <c r="DAS38" s="612"/>
      <c r="DAT38" s="612"/>
      <c r="DAU38" s="612"/>
      <c r="DAV38" s="612"/>
      <c r="DAW38" s="612"/>
      <c r="DAX38" s="612"/>
      <c r="DAY38" s="612"/>
      <c r="DAZ38" s="612"/>
      <c r="DBA38" s="612"/>
      <c r="DBB38" s="612"/>
      <c r="DBC38" s="612"/>
      <c r="DBD38" s="612"/>
      <c r="DBE38" s="612"/>
      <c r="DBF38" s="612"/>
      <c r="DBG38" s="612"/>
      <c r="DBH38" s="612"/>
      <c r="DBI38" s="612"/>
      <c r="DBJ38" s="612"/>
      <c r="DBK38" s="612"/>
      <c r="DBL38" s="612"/>
      <c r="DBM38" s="612"/>
      <c r="DBN38" s="612"/>
      <c r="DBO38" s="612"/>
      <c r="DBP38" s="612"/>
      <c r="DBQ38" s="612"/>
      <c r="DBR38" s="612"/>
      <c r="DBS38" s="612"/>
      <c r="DBT38" s="612"/>
      <c r="DBU38" s="612"/>
      <c r="DBV38" s="612"/>
      <c r="DBW38" s="612"/>
      <c r="DBX38" s="612"/>
      <c r="DBY38" s="612"/>
      <c r="DBZ38" s="612"/>
      <c r="DCA38" s="612"/>
      <c r="DCB38" s="612"/>
      <c r="DCC38" s="612"/>
      <c r="DCD38" s="612"/>
      <c r="DCE38" s="612"/>
      <c r="DCF38" s="612"/>
      <c r="DCG38" s="612"/>
      <c r="DCH38" s="612"/>
      <c r="DCI38" s="612"/>
      <c r="DCJ38" s="612"/>
      <c r="DCK38" s="612"/>
      <c r="DCL38" s="612"/>
      <c r="DCM38" s="612"/>
      <c r="DCN38" s="612"/>
      <c r="DCO38" s="612"/>
      <c r="DCP38" s="612"/>
      <c r="DCQ38" s="612"/>
      <c r="DCR38" s="612"/>
      <c r="DCS38" s="612"/>
      <c r="DCT38" s="612"/>
      <c r="DCU38" s="612"/>
      <c r="DCV38" s="612"/>
      <c r="DCW38" s="612"/>
      <c r="DCX38" s="612"/>
      <c r="DCY38" s="612"/>
      <c r="DCZ38" s="612"/>
      <c r="DDA38" s="612"/>
      <c r="DDB38" s="612"/>
      <c r="DDC38" s="612"/>
      <c r="DDD38" s="612"/>
      <c r="DDE38" s="612"/>
      <c r="DDF38" s="612"/>
      <c r="DDG38" s="612"/>
      <c r="DDH38" s="612"/>
      <c r="DDI38" s="612"/>
      <c r="DDJ38" s="612"/>
      <c r="DDK38" s="612"/>
      <c r="DDL38" s="612"/>
      <c r="DDM38" s="612"/>
      <c r="DDN38" s="612"/>
      <c r="DDO38" s="612"/>
      <c r="DDP38" s="612"/>
      <c r="DDQ38" s="612"/>
      <c r="DDR38" s="612"/>
      <c r="DDS38" s="612"/>
      <c r="DDT38" s="612"/>
      <c r="DDU38" s="612"/>
      <c r="DDV38" s="612"/>
      <c r="DDW38" s="612"/>
      <c r="DDX38" s="612"/>
      <c r="DDY38" s="612"/>
      <c r="DDZ38" s="612"/>
      <c r="DEA38" s="612"/>
      <c r="DEB38" s="612"/>
      <c r="DEC38" s="612"/>
      <c r="DED38" s="612"/>
      <c r="DEE38" s="612"/>
      <c r="DEF38" s="612"/>
      <c r="DEG38" s="612"/>
      <c r="DEH38" s="612"/>
      <c r="DEI38" s="612"/>
      <c r="DEJ38" s="612"/>
      <c r="DEK38" s="612"/>
      <c r="DEL38" s="612"/>
      <c r="DEM38" s="612"/>
      <c r="DEN38" s="612"/>
      <c r="DEO38" s="612"/>
      <c r="DEP38" s="612"/>
      <c r="DEQ38" s="612"/>
      <c r="DER38" s="612"/>
      <c r="DES38" s="612"/>
      <c r="DET38" s="612"/>
      <c r="DEU38" s="612"/>
      <c r="DEV38" s="612"/>
      <c r="DEW38" s="612"/>
      <c r="DEX38" s="612"/>
      <c r="DEY38" s="612"/>
      <c r="DEZ38" s="612"/>
      <c r="DFA38" s="612"/>
      <c r="DFB38" s="612"/>
      <c r="DFC38" s="612"/>
      <c r="DFD38" s="612"/>
      <c r="DFE38" s="612"/>
      <c r="DFF38" s="612"/>
      <c r="DFG38" s="612"/>
      <c r="DFH38" s="612"/>
      <c r="DFI38" s="612"/>
      <c r="DFJ38" s="612"/>
      <c r="DFK38" s="612"/>
      <c r="DFL38" s="612"/>
      <c r="DFM38" s="612"/>
      <c r="DFN38" s="612"/>
      <c r="DFO38" s="612"/>
      <c r="DFP38" s="612"/>
      <c r="DFQ38" s="612"/>
      <c r="DFR38" s="612"/>
      <c r="DFS38" s="612"/>
      <c r="DFT38" s="612"/>
      <c r="DFU38" s="612"/>
      <c r="DFV38" s="612"/>
      <c r="DFW38" s="612"/>
      <c r="DFX38" s="612"/>
      <c r="DFY38" s="612"/>
      <c r="DFZ38" s="612"/>
      <c r="DGA38" s="612"/>
      <c r="DGB38" s="612"/>
      <c r="DGC38" s="612"/>
      <c r="DGD38" s="612"/>
      <c r="DGE38" s="612"/>
      <c r="DGF38" s="612"/>
      <c r="DGG38" s="612"/>
      <c r="DGH38" s="612"/>
      <c r="DGI38" s="612"/>
      <c r="DGJ38" s="612"/>
      <c r="DGK38" s="612"/>
      <c r="DGL38" s="612"/>
      <c r="DGM38" s="612"/>
      <c r="DGN38" s="612"/>
      <c r="DGO38" s="612"/>
      <c r="DGP38" s="612"/>
      <c r="DGQ38" s="612"/>
      <c r="DGR38" s="612"/>
      <c r="DGS38" s="612"/>
      <c r="DGT38" s="612"/>
      <c r="DGU38" s="612"/>
      <c r="DGV38" s="612"/>
      <c r="DGW38" s="612"/>
      <c r="DGX38" s="612"/>
      <c r="DGY38" s="612"/>
      <c r="DGZ38" s="612"/>
      <c r="DHA38" s="612"/>
      <c r="DHB38" s="612"/>
      <c r="DHC38" s="612"/>
      <c r="DHD38" s="612"/>
      <c r="DHE38" s="612"/>
      <c r="DHF38" s="612"/>
      <c r="DHG38" s="612"/>
      <c r="DHH38" s="612"/>
      <c r="DHI38" s="612"/>
      <c r="DHJ38" s="612"/>
      <c r="DHK38" s="612"/>
      <c r="DHL38" s="612"/>
      <c r="DHM38" s="612"/>
      <c r="DHN38" s="612"/>
      <c r="DHO38" s="612"/>
      <c r="DHP38" s="612"/>
      <c r="DHQ38" s="612"/>
      <c r="DHR38" s="612"/>
      <c r="DHS38" s="612"/>
      <c r="DHT38" s="612"/>
      <c r="DHU38" s="612"/>
      <c r="DHV38" s="612"/>
      <c r="DHW38" s="612"/>
      <c r="DHX38" s="612"/>
      <c r="DHY38" s="612"/>
      <c r="DHZ38" s="612"/>
      <c r="DIA38" s="612"/>
      <c r="DIB38" s="612"/>
      <c r="DIC38" s="612"/>
      <c r="DID38" s="612"/>
      <c r="DIE38" s="612"/>
      <c r="DIF38" s="612"/>
      <c r="DIG38" s="612"/>
      <c r="DIH38" s="612"/>
      <c r="DII38" s="612"/>
      <c r="DIJ38" s="612"/>
      <c r="DIK38" s="612"/>
      <c r="DIL38" s="612"/>
      <c r="DIM38" s="612"/>
      <c r="DIN38" s="612"/>
      <c r="DIO38" s="612"/>
      <c r="DIP38" s="612"/>
      <c r="DIQ38" s="612"/>
      <c r="DIR38" s="612"/>
      <c r="DIS38" s="612"/>
      <c r="DIT38" s="612"/>
      <c r="DIU38" s="612"/>
      <c r="DIV38" s="612"/>
      <c r="DIW38" s="612"/>
      <c r="DIX38" s="612"/>
      <c r="DIY38" s="612"/>
      <c r="DIZ38" s="612"/>
      <c r="DJA38" s="612"/>
      <c r="DJB38" s="612"/>
      <c r="DJC38" s="612"/>
      <c r="DJD38" s="612"/>
      <c r="DJE38" s="612"/>
      <c r="DJF38" s="612"/>
      <c r="DJG38" s="612"/>
      <c r="DJH38" s="612"/>
      <c r="DJI38" s="612"/>
      <c r="DJJ38" s="612"/>
      <c r="DJK38" s="612"/>
      <c r="DJL38" s="612"/>
      <c r="DJM38" s="612"/>
      <c r="DJN38" s="612"/>
      <c r="DJO38" s="612"/>
      <c r="DJP38" s="612"/>
      <c r="DJQ38" s="612"/>
      <c r="DJR38" s="612"/>
      <c r="DJS38" s="612"/>
      <c r="DJT38" s="612"/>
      <c r="DJU38" s="612"/>
      <c r="DJV38" s="612"/>
      <c r="DJW38" s="612"/>
      <c r="DJX38" s="612"/>
      <c r="DJY38" s="612"/>
      <c r="DJZ38" s="612"/>
      <c r="DKA38" s="612"/>
      <c r="DKB38" s="612"/>
      <c r="DKC38" s="612"/>
      <c r="DKD38" s="612"/>
      <c r="DKE38" s="612"/>
      <c r="DKF38" s="612"/>
      <c r="DKG38" s="612"/>
      <c r="DKH38" s="612"/>
      <c r="DKI38" s="612"/>
      <c r="DKJ38" s="612"/>
      <c r="DKK38" s="612"/>
      <c r="DKL38" s="612"/>
      <c r="DKM38" s="612"/>
      <c r="DKN38" s="612"/>
      <c r="DKO38" s="612"/>
      <c r="DKP38" s="612"/>
      <c r="DKQ38" s="612"/>
      <c r="DKR38" s="612"/>
      <c r="DKS38" s="612"/>
      <c r="DKT38" s="612"/>
      <c r="DKU38" s="612"/>
      <c r="DKV38" s="612"/>
      <c r="DKW38" s="612"/>
      <c r="DKX38" s="612"/>
      <c r="DKY38" s="612"/>
      <c r="DKZ38" s="612"/>
      <c r="DLA38" s="612"/>
      <c r="DLB38" s="612"/>
      <c r="DLC38" s="612"/>
      <c r="DLD38" s="612"/>
      <c r="DLE38" s="612"/>
      <c r="DLF38" s="612"/>
      <c r="DLG38" s="612"/>
      <c r="DLH38" s="612"/>
      <c r="DLI38" s="612"/>
      <c r="DLJ38" s="612"/>
      <c r="DLK38" s="612"/>
      <c r="DLL38" s="612"/>
      <c r="DLM38" s="612"/>
      <c r="DLN38" s="612"/>
      <c r="DLO38" s="612"/>
      <c r="DLP38" s="612"/>
      <c r="DLQ38" s="612"/>
      <c r="DLR38" s="612"/>
      <c r="DLS38" s="612"/>
      <c r="DLT38" s="612"/>
      <c r="DLU38" s="612"/>
      <c r="DLV38" s="612"/>
      <c r="DLW38" s="612"/>
      <c r="DLX38" s="612"/>
      <c r="DLY38" s="612"/>
      <c r="DLZ38" s="612"/>
      <c r="DMA38" s="612"/>
      <c r="DMB38" s="612"/>
      <c r="DMC38" s="612"/>
      <c r="DMD38" s="612"/>
      <c r="DME38" s="612"/>
      <c r="DMF38" s="612"/>
      <c r="DMG38" s="612"/>
      <c r="DMH38" s="612"/>
      <c r="DMI38" s="612"/>
      <c r="DMJ38" s="612"/>
      <c r="DMK38" s="612"/>
      <c r="DML38" s="612"/>
      <c r="DMM38" s="612"/>
      <c r="DMN38" s="612"/>
      <c r="DMO38" s="612"/>
      <c r="DMP38" s="612"/>
      <c r="DMQ38" s="612"/>
      <c r="DMR38" s="612"/>
      <c r="DMS38" s="612"/>
      <c r="DMT38" s="612"/>
      <c r="DMU38" s="612"/>
      <c r="DMV38" s="612"/>
      <c r="DMW38" s="612"/>
      <c r="DMX38" s="612"/>
      <c r="DMY38" s="612"/>
      <c r="DMZ38" s="612"/>
      <c r="DNA38" s="612"/>
      <c r="DNB38" s="612"/>
      <c r="DNC38" s="612"/>
      <c r="DND38" s="612"/>
      <c r="DNE38" s="612"/>
      <c r="DNF38" s="612"/>
      <c r="DNG38" s="612"/>
      <c r="DNH38" s="612"/>
      <c r="DNI38" s="612"/>
      <c r="DNJ38" s="612"/>
      <c r="DNK38" s="612"/>
      <c r="DNL38" s="612"/>
      <c r="DNM38" s="612"/>
      <c r="DNN38" s="612"/>
      <c r="DNO38" s="612"/>
      <c r="DNP38" s="612"/>
      <c r="DNQ38" s="612"/>
      <c r="DNR38" s="612"/>
      <c r="DNS38" s="612"/>
      <c r="DNT38" s="612"/>
      <c r="DNU38" s="612"/>
      <c r="DNV38" s="612"/>
      <c r="DNW38" s="612"/>
      <c r="DNX38" s="612"/>
      <c r="DNY38" s="612"/>
      <c r="DNZ38" s="612"/>
      <c r="DOA38" s="612"/>
      <c r="DOB38" s="612"/>
      <c r="DOC38" s="612"/>
      <c r="DOD38" s="612"/>
      <c r="DOE38" s="612"/>
      <c r="DOF38" s="612"/>
      <c r="DOG38" s="612"/>
      <c r="DOH38" s="612"/>
      <c r="DOI38" s="612"/>
      <c r="DOJ38" s="612"/>
      <c r="DOK38" s="612"/>
      <c r="DOL38" s="612"/>
      <c r="DOM38" s="612"/>
      <c r="DON38" s="612"/>
      <c r="DOO38" s="612"/>
      <c r="DOP38" s="612"/>
      <c r="DOQ38" s="612"/>
      <c r="DOR38" s="612"/>
      <c r="DOS38" s="612"/>
      <c r="DOT38" s="612"/>
      <c r="DOU38" s="612"/>
      <c r="DOV38" s="612"/>
      <c r="DOW38" s="612"/>
      <c r="DOX38" s="612"/>
      <c r="DOY38" s="612"/>
      <c r="DOZ38" s="612"/>
      <c r="DPA38" s="612"/>
      <c r="DPB38" s="612"/>
      <c r="DPC38" s="612"/>
      <c r="DPD38" s="612"/>
      <c r="DPE38" s="612"/>
      <c r="DPF38" s="612"/>
      <c r="DPG38" s="612"/>
      <c r="DPH38" s="612"/>
      <c r="DPI38" s="612"/>
      <c r="DPJ38" s="612"/>
      <c r="DPK38" s="612"/>
      <c r="DPL38" s="612"/>
      <c r="DPM38" s="612"/>
      <c r="DPN38" s="612"/>
      <c r="DPO38" s="612"/>
      <c r="DPP38" s="612"/>
      <c r="DPQ38" s="612"/>
      <c r="DPR38" s="612"/>
      <c r="DPS38" s="612"/>
      <c r="DPT38" s="612"/>
      <c r="DPU38" s="612"/>
      <c r="DPV38" s="612"/>
      <c r="DPW38" s="612"/>
      <c r="DPX38" s="612"/>
      <c r="DPY38" s="612"/>
      <c r="DPZ38" s="612"/>
      <c r="DQA38" s="612"/>
      <c r="DQB38" s="612"/>
      <c r="DQC38" s="612"/>
      <c r="DQD38" s="612"/>
      <c r="DQE38" s="612"/>
      <c r="DQF38" s="612"/>
      <c r="DQG38" s="612"/>
      <c r="DQH38" s="612"/>
      <c r="DQI38" s="612"/>
      <c r="DQJ38" s="612"/>
      <c r="DQK38" s="612"/>
      <c r="DQL38" s="612"/>
      <c r="DQM38" s="612"/>
      <c r="DQN38" s="612"/>
      <c r="DQO38" s="612"/>
      <c r="DQP38" s="612"/>
      <c r="DQQ38" s="612"/>
      <c r="DQR38" s="612"/>
      <c r="DQS38" s="612"/>
      <c r="DQT38" s="612"/>
      <c r="DQU38" s="612"/>
      <c r="DQV38" s="612"/>
      <c r="DQW38" s="612"/>
      <c r="DQX38" s="612"/>
      <c r="DQY38" s="612"/>
      <c r="DQZ38" s="612"/>
      <c r="DRA38" s="612"/>
      <c r="DRB38" s="612"/>
      <c r="DRC38" s="612"/>
      <c r="DRD38" s="612"/>
      <c r="DRE38" s="612"/>
      <c r="DRF38" s="612"/>
      <c r="DRG38" s="612"/>
      <c r="DRH38" s="612"/>
      <c r="DRI38" s="612"/>
      <c r="DRJ38" s="612"/>
      <c r="DRK38" s="612"/>
      <c r="DRL38" s="612"/>
      <c r="DRM38" s="612"/>
      <c r="DRN38" s="612"/>
      <c r="DRO38" s="612"/>
      <c r="DRP38" s="612"/>
      <c r="DRQ38" s="612"/>
      <c r="DRR38" s="612"/>
      <c r="DRS38" s="612"/>
      <c r="DRT38" s="612"/>
      <c r="DRU38" s="612"/>
      <c r="DRV38" s="612"/>
      <c r="DRW38" s="612"/>
      <c r="DRX38" s="612"/>
      <c r="DRY38" s="612"/>
      <c r="DRZ38" s="612"/>
      <c r="DSA38" s="612"/>
      <c r="DSB38" s="612"/>
      <c r="DSC38" s="612"/>
      <c r="DSD38" s="612"/>
      <c r="DSE38" s="612"/>
      <c r="DSF38" s="612"/>
      <c r="DSG38" s="612"/>
      <c r="DSH38" s="612"/>
      <c r="DSI38" s="612"/>
      <c r="DSJ38" s="612"/>
      <c r="DSK38" s="612"/>
      <c r="DSL38" s="612"/>
      <c r="DSM38" s="612"/>
      <c r="DSN38" s="612"/>
      <c r="DSO38" s="612"/>
      <c r="DSP38" s="612"/>
      <c r="DSQ38" s="612"/>
      <c r="DSR38" s="612"/>
      <c r="DSS38" s="612"/>
      <c r="DST38" s="612"/>
      <c r="DSU38" s="612"/>
      <c r="DSV38" s="612"/>
      <c r="DSW38" s="612"/>
      <c r="DSX38" s="612"/>
      <c r="DSY38" s="612"/>
      <c r="DSZ38" s="612"/>
      <c r="DTA38" s="612"/>
      <c r="DTB38" s="612"/>
      <c r="DTC38" s="612"/>
      <c r="DTD38" s="612"/>
      <c r="DTE38" s="612"/>
      <c r="DTF38" s="612"/>
      <c r="DTG38" s="612"/>
      <c r="DTH38" s="612"/>
      <c r="DTI38" s="612"/>
      <c r="DTJ38" s="612"/>
      <c r="DTK38" s="612"/>
      <c r="DTL38" s="612"/>
      <c r="DTM38" s="612"/>
      <c r="DTN38" s="612"/>
      <c r="DTO38" s="612"/>
      <c r="DTP38" s="612"/>
      <c r="DTQ38" s="612"/>
      <c r="DTR38" s="612"/>
      <c r="DTS38" s="612"/>
      <c r="DTT38" s="612"/>
      <c r="DTU38" s="612"/>
      <c r="DTV38" s="612"/>
      <c r="DTW38" s="612"/>
      <c r="DTX38" s="612"/>
      <c r="DTY38" s="612"/>
      <c r="DTZ38" s="612"/>
      <c r="DUA38" s="612"/>
      <c r="DUB38" s="612"/>
      <c r="DUC38" s="612"/>
      <c r="DUD38" s="612"/>
      <c r="DUE38" s="612"/>
      <c r="DUF38" s="612"/>
      <c r="DUG38" s="612"/>
      <c r="DUH38" s="612"/>
      <c r="DUI38" s="612"/>
      <c r="DUJ38" s="612"/>
      <c r="DUK38" s="612"/>
      <c r="DUL38" s="612"/>
      <c r="DUM38" s="612"/>
      <c r="DUN38" s="612"/>
      <c r="DUO38" s="612"/>
      <c r="DUP38" s="612"/>
      <c r="DUQ38" s="612"/>
      <c r="DUR38" s="612"/>
      <c r="DUS38" s="612"/>
      <c r="DUT38" s="612"/>
      <c r="DUU38" s="612"/>
      <c r="DUV38" s="612"/>
      <c r="DUW38" s="612"/>
      <c r="DUX38" s="612"/>
      <c r="DUY38" s="612"/>
      <c r="DUZ38" s="612"/>
      <c r="DVA38" s="612"/>
      <c r="DVB38" s="612"/>
      <c r="DVC38" s="612"/>
      <c r="DVD38" s="612"/>
      <c r="DVE38" s="612"/>
      <c r="DVF38" s="612"/>
      <c r="DVG38" s="612"/>
      <c r="DVH38" s="612"/>
      <c r="DVI38" s="612"/>
      <c r="DVJ38" s="612"/>
      <c r="DVK38" s="612"/>
      <c r="DVL38" s="612"/>
      <c r="DVM38" s="612"/>
      <c r="DVN38" s="612"/>
      <c r="DVO38" s="612"/>
      <c r="DVP38" s="612"/>
      <c r="DVQ38" s="612"/>
      <c r="DVR38" s="612"/>
      <c r="DVS38" s="612"/>
      <c r="DVT38" s="612"/>
      <c r="DVU38" s="612"/>
      <c r="DVV38" s="612"/>
      <c r="DVW38" s="612"/>
      <c r="DVX38" s="612"/>
      <c r="DVY38" s="612"/>
      <c r="DVZ38" s="612"/>
      <c r="DWA38" s="612"/>
      <c r="DWB38" s="612"/>
      <c r="DWC38" s="612"/>
      <c r="DWD38" s="612"/>
      <c r="DWE38" s="612"/>
      <c r="DWF38" s="612"/>
      <c r="DWG38" s="612"/>
      <c r="DWH38" s="612"/>
      <c r="DWI38" s="612"/>
      <c r="DWJ38" s="612"/>
      <c r="DWK38" s="612"/>
      <c r="DWL38" s="612"/>
      <c r="DWM38" s="612"/>
      <c r="DWN38" s="612"/>
      <c r="DWO38" s="612"/>
      <c r="DWP38" s="612"/>
      <c r="DWQ38" s="612"/>
      <c r="DWR38" s="612"/>
      <c r="DWS38" s="612"/>
      <c r="DWT38" s="612"/>
      <c r="DWU38" s="612"/>
      <c r="DWV38" s="612"/>
      <c r="DWW38" s="612"/>
      <c r="DWX38" s="612"/>
      <c r="DWY38" s="612"/>
      <c r="DWZ38" s="612"/>
      <c r="DXA38" s="612"/>
      <c r="DXB38" s="612"/>
      <c r="DXC38" s="612"/>
      <c r="DXD38" s="612"/>
      <c r="DXE38" s="612"/>
      <c r="DXF38" s="612"/>
      <c r="DXG38" s="612"/>
      <c r="DXH38" s="612"/>
      <c r="DXI38" s="612"/>
      <c r="DXJ38" s="612"/>
      <c r="DXK38" s="612"/>
      <c r="DXL38" s="612"/>
      <c r="DXM38" s="612"/>
      <c r="DXN38" s="612"/>
      <c r="DXO38" s="612"/>
      <c r="DXP38" s="612"/>
      <c r="DXQ38" s="612"/>
      <c r="DXR38" s="612"/>
      <c r="DXS38" s="612"/>
      <c r="DXT38" s="612"/>
      <c r="DXU38" s="612"/>
      <c r="DXV38" s="612"/>
      <c r="DXW38" s="612"/>
      <c r="DXX38" s="612"/>
      <c r="DXY38" s="612"/>
      <c r="DXZ38" s="612"/>
      <c r="DYA38" s="612"/>
      <c r="DYB38" s="612"/>
      <c r="DYC38" s="612"/>
      <c r="DYD38" s="612"/>
      <c r="DYE38" s="612"/>
      <c r="DYF38" s="612"/>
      <c r="DYG38" s="612"/>
      <c r="DYH38" s="612"/>
      <c r="DYI38" s="612"/>
      <c r="DYJ38" s="612"/>
      <c r="DYK38" s="612"/>
      <c r="DYL38" s="612"/>
      <c r="DYM38" s="612"/>
      <c r="DYN38" s="612"/>
      <c r="DYO38" s="612"/>
      <c r="DYP38" s="612"/>
      <c r="DYQ38" s="612"/>
      <c r="DYR38" s="612"/>
      <c r="DYS38" s="612"/>
      <c r="DYT38" s="612"/>
      <c r="DYU38" s="612"/>
      <c r="DYV38" s="612"/>
      <c r="DYW38" s="612"/>
      <c r="DYX38" s="612"/>
      <c r="DYY38" s="612"/>
      <c r="DYZ38" s="612"/>
      <c r="DZA38" s="612"/>
      <c r="DZB38" s="612"/>
      <c r="DZC38" s="612"/>
      <c r="DZD38" s="612"/>
      <c r="DZE38" s="612"/>
      <c r="DZF38" s="612"/>
      <c r="DZG38" s="612"/>
      <c r="DZH38" s="612"/>
      <c r="DZI38" s="612"/>
      <c r="DZJ38" s="612"/>
      <c r="DZK38" s="612"/>
      <c r="DZL38" s="612"/>
      <c r="DZM38" s="612"/>
      <c r="DZN38" s="612"/>
      <c r="DZO38" s="612"/>
      <c r="DZP38" s="612"/>
      <c r="DZQ38" s="612"/>
      <c r="DZR38" s="612"/>
      <c r="DZS38" s="612"/>
      <c r="DZT38" s="612"/>
      <c r="DZU38" s="612"/>
      <c r="DZV38" s="612"/>
      <c r="DZW38" s="612"/>
      <c r="DZX38" s="612"/>
      <c r="DZY38" s="612"/>
      <c r="DZZ38" s="612"/>
      <c r="EAA38" s="612"/>
      <c r="EAB38" s="612"/>
      <c r="EAC38" s="612"/>
      <c r="EAD38" s="612"/>
      <c r="EAE38" s="612"/>
      <c r="EAF38" s="612"/>
      <c r="EAG38" s="612"/>
      <c r="EAH38" s="612"/>
      <c r="EAI38" s="612"/>
      <c r="EAJ38" s="612"/>
      <c r="EAK38" s="612"/>
      <c r="EAL38" s="612"/>
      <c r="EAM38" s="612"/>
      <c r="EAN38" s="612"/>
      <c r="EAO38" s="612"/>
      <c r="EAP38" s="612"/>
      <c r="EAQ38" s="612"/>
      <c r="EAR38" s="612"/>
      <c r="EAS38" s="612"/>
      <c r="EAT38" s="612"/>
      <c r="EAU38" s="612"/>
      <c r="EAV38" s="612"/>
      <c r="EAW38" s="612"/>
      <c r="EAX38" s="612"/>
      <c r="EAY38" s="612"/>
      <c r="EAZ38" s="612"/>
      <c r="EBA38" s="612"/>
      <c r="EBB38" s="612"/>
      <c r="EBC38" s="612"/>
      <c r="EBD38" s="612"/>
      <c r="EBE38" s="612"/>
      <c r="EBF38" s="612"/>
      <c r="EBG38" s="612"/>
      <c r="EBH38" s="612"/>
      <c r="EBI38" s="612"/>
      <c r="EBJ38" s="612"/>
      <c r="EBK38" s="612"/>
      <c r="EBL38" s="612"/>
      <c r="EBM38" s="612"/>
      <c r="EBN38" s="612"/>
      <c r="EBO38" s="612"/>
      <c r="EBP38" s="612"/>
      <c r="EBQ38" s="612"/>
      <c r="EBR38" s="612"/>
      <c r="EBS38" s="612"/>
      <c r="EBT38" s="612"/>
      <c r="EBU38" s="612"/>
      <c r="EBV38" s="612"/>
      <c r="EBW38" s="612"/>
      <c r="EBX38" s="612"/>
      <c r="EBY38" s="612"/>
      <c r="EBZ38" s="612"/>
      <c r="ECA38" s="612"/>
      <c r="ECB38" s="612"/>
      <c r="ECC38" s="612"/>
      <c r="ECD38" s="612"/>
      <c r="ECE38" s="612"/>
      <c r="ECF38" s="612"/>
      <c r="ECG38" s="612"/>
      <c r="ECH38" s="612"/>
      <c r="ECI38" s="612"/>
      <c r="ECJ38" s="612"/>
      <c r="ECK38" s="612"/>
      <c r="ECL38" s="612"/>
      <c r="ECM38" s="612"/>
      <c r="ECN38" s="612"/>
      <c r="ECO38" s="612"/>
      <c r="ECP38" s="612"/>
      <c r="ECQ38" s="612"/>
      <c r="ECR38" s="612"/>
      <c r="ECS38" s="612"/>
      <c r="ECT38" s="612"/>
      <c r="ECU38" s="612"/>
      <c r="ECV38" s="612"/>
      <c r="ECW38" s="612"/>
      <c r="ECX38" s="612"/>
      <c r="ECY38" s="612"/>
      <c r="ECZ38" s="612"/>
      <c r="EDA38" s="612"/>
      <c r="EDB38" s="612"/>
      <c r="EDC38" s="612"/>
      <c r="EDD38" s="612"/>
      <c r="EDE38" s="612"/>
      <c r="EDF38" s="612"/>
      <c r="EDG38" s="612"/>
      <c r="EDH38" s="612"/>
      <c r="EDI38" s="612"/>
      <c r="EDJ38" s="612"/>
      <c r="EDK38" s="612"/>
      <c r="EDL38" s="612"/>
      <c r="EDM38" s="612"/>
      <c r="EDN38" s="612"/>
      <c r="EDO38" s="612"/>
      <c r="EDP38" s="612"/>
      <c r="EDQ38" s="612"/>
      <c r="EDR38" s="612"/>
      <c r="EDS38" s="612"/>
      <c r="EDT38" s="612"/>
      <c r="EDU38" s="612"/>
      <c r="EDV38" s="612"/>
      <c r="EDW38" s="612"/>
      <c r="EDX38" s="612"/>
      <c r="EDY38" s="612"/>
      <c r="EDZ38" s="612"/>
      <c r="EEA38" s="612"/>
      <c r="EEB38" s="612"/>
      <c r="EEC38" s="612"/>
      <c r="EED38" s="612"/>
      <c r="EEE38" s="612"/>
      <c r="EEF38" s="612"/>
      <c r="EEG38" s="612"/>
      <c r="EEH38" s="612"/>
      <c r="EEI38" s="612"/>
      <c r="EEJ38" s="612"/>
      <c r="EEK38" s="612"/>
      <c r="EEL38" s="612"/>
      <c r="EEM38" s="612"/>
      <c r="EEN38" s="612"/>
      <c r="EEO38" s="612"/>
      <c r="EEP38" s="612"/>
      <c r="EEQ38" s="612"/>
      <c r="EER38" s="612"/>
      <c r="EES38" s="612"/>
      <c r="EET38" s="612"/>
      <c r="EEU38" s="612"/>
      <c r="EEV38" s="612"/>
      <c r="EEW38" s="612"/>
      <c r="EEX38" s="612"/>
      <c r="EEY38" s="612"/>
      <c r="EEZ38" s="612"/>
      <c r="EFA38" s="612"/>
      <c r="EFB38" s="612"/>
      <c r="EFC38" s="612"/>
      <c r="EFD38" s="612"/>
      <c r="EFE38" s="612"/>
      <c r="EFF38" s="612"/>
      <c r="EFG38" s="612"/>
      <c r="EFH38" s="612"/>
      <c r="EFI38" s="612"/>
      <c r="EFJ38" s="612"/>
      <c r="EFK38" s="612"/>
      <c r="EFL38" s="612"/>
      <c r="EFM38" s="612"/>
      <c r="EFN38" s="612"/>
      <c r="EFO38" s="612"/>
      <c r="EFP38" s="612"/>
      <c r="EFQ38" s="612"/>
      <c r="EFR38" s="612"/>
      <c r="EFS38" s="612"/>
      <c r="EFT38" s="612"/>
      <c r="EFU38" s="612"/>
      <c r="EFV38" s="612"/>
      <c r="EFW38" s="612"/>
      <c r="EFX38" s="612"/>
      <c r="EFY38" s="612"/>
      <c r="EFZ38" s="612"/>
      <c r="EGA38" s="612"/>
      <c r="EGB38" s="612"/>
      <c r="EGC38" s="612"/>
      <c r="EGD38" s="612"/>
      <c r="EGE38" s="612"/>
      <c r="EGF38" s="612"/>
      <c r="EGG38" s="612"/>
      <c r="EGH38" s="612"/>
      <c r="EGI38" s="612"/>
      <c r="EGJ38" s="612"/>
      <c r="EGK38" s="612"/>
      <c r="EGL38" s="612"/>
      <c r="EGM38" s="612"/>
      <c r="EGN38" s="612"/>
      <c r="EGO38" s="612"/>
      <c r="EGP38" s="612"/>
      <c r="EGQ38" s="612"/>
      <c r="EGR38" s="612"/>
      <c r="EGS38" s="612"/>
      <c r="EGT38" s="612"/>
      <c r="EGU38" s="612"/>
      <c r="EGV38" s="612"/>
      <c r="EGW38" s="612"/>
      <c r="EGX38" s="612"/>
      <c r="EGY38" s="612"/>
      <c r="EGZ38" s="612"/>
      <c r="EHA38" s="612"/>
      <c r="EHB38" s="612"/>
      <c r="EHC38" s="612"/>
      <c r="EHD38" s="612"/>
      <c r="EHE38" s="612"/>
      <c r="EHF38" s="612"/>
      <c r="EHG38" s="612"/>
      <c r="EHH38" s="612"/>
      <c r="EHI38" s="612"/>
      <c r="EHJ38" s="612"/>
      <c r="EHK38" s="612"/>
      <c r="EHL38" s="612"/>
      <c r="EHM38" s="612"/>
      <c r="EHN38" s="612"/>
      <c r="EHO38" s="612"/>
      <c r="EHP38" s="612"/>
      <c r="EHQ38" s="612"/>
      <c r="EHR38" s="612"/>
      <c r="EHS38" s="612"/>
      <c r="EHT38" s="612"/>
      <c r="EHU38" s="612"/>
      <c r="EHV38" s="612"/>
      <c r="EHW38" s="612"/>
      <c r="EHX38" s="612"/>
      <c r="EHY38" s="612"/>
      <c r="EHZ38" s="612"/>
      <c r="EIA38" s="612"/>
      <c r="EIB38" s="612"/>
      <c r="EIC38" s="612"/>
      <c r="EID38" s="612"/>
      <c r="EIE38" s="612"/>
      <c r="EIF38" s="612"/>
      <c r="EIG38" s="612"/>
      <c r="EIH38" s="612"/>
      <c r="EII38" s="612"/>
      <c r="EIJ38" s="612"/>
      <c r="EIK38" s="612"/>
      <c r="EIL38" s="612"/>
      <c r="EIM38" s="612"/>
      <c r="EIN38" s="612"/>
      <c r="EIO38" s="612"/>
      <c r="EIP38" s="612"/>
      <c r="EIQ38" s="612"/>
      <c r="EIR38" s="612"/>
      <c r="EIS38" s="612"/>
      <c r="EIT38" s="612"/>
      <c r="EIU38" s="612"/>
      <c r="EIV38" s="612"/>
      <c r="EIW38" s="612"/>
      <c r="EIX38" s="612"/>
      <c r="EIY38" s="612"/>
      <c r="EIZ38" s="612"/>
      <c r="EJA38" s="612"/>
      <c r="EJB38" s="612"/>
      <c r="EJC38" s="612"/>
      <c r="EJD38" s="612"/>
      <c r="EJE38" s="612"/>
      <c r="EJF38" s="612"/>
      <c r="EJG38" s="612"/>
      <c r="EJH38" s="612"/>
      <c r="EJI38" s="612"/>
      <c r="EJJ38" s="612"/>
      <c r="EJK38" s="612"/>
      <c r="EJL38" s="612"/>
      <c r="EJM38" s="612"/>
      <c r="EJN38" s="612"/>
      <c r="EJO38" s="612"/>
      <c r="EJP38" s="612"/>
      <c r="EJQ38" s="612"/>
      <c r="EJR38" s="612"/>
      <c r="EJS38" s="612"/>
      <c r="EJT38" s="612"/>
      <c r="EJU38" s="612"/>
      <c r="EJV38" s="612"/>
      <c r="EJW38" s="612"/>
      <c r="EJX38" s="612"/>
      <c r="EJY38" s="612"/>
      <c r="EJZ38" s="612"/>
      <c r="EKA38" s="612"/>
      <c r="EKB38" s="612"/>
      <c r="EKC38" s="612"/>
      <c r="EKD38" s="612"/>
      <c r="EKE38" s="612"/>
      <c r="EKF38" s="612"/>
      <c r="EKG38" s="612"/>
      <c r="EKH38" s="612"/>
      <c r="EKI38" s="612"/>
      <c r="EKJ38" s="612"/>
      <c r="EKK38" s="612"/>
      <c r="EKL38" s="612"/>
      <c r="EKM38" s="612"/>
      <c r="EKN38" s="612"/>
      <c r="EKO38" s="612"/>
      <c r="EKP38" s="612"/>
      <c r="EKQ38" s="612"/>
      <c r="EKR38" s="612"/>
      <c r="EKS38" s="612"/>
      <c r="EKT38" s="612"/>
      <c r="EKU38" s="612"/>
      <c r="EKV38" s="612"/>
      <c r="EKW38" s="612"/>
      <c r="EKX38" s="612"/>
      <c r="EKY38" s="612"/>
      <c r="EKZ38" s="612"/>
      <c r="ELA38" s="612"/>
      <c r="ELB38" s="612"/>
      <c r="ELC38" s="612"/>
      <c r="ELD38" s="612"/>
      <c r="ELE38" s="612"/>
      <c r="ELF38" s="612"/>
      <c r="ELG38" s="612"/>
      <c r="ELH38" s="612"/>
      <c r="ELI38" s="612"/>
      <c r="ELJ38" s="612"/>
      <c r="ELK38" s="612"/>
      <c r="ELL38" s="612"/>
      <c r="ELM38" s="612"/>
      <c r="ELN38" s="612"/>
      <c r="ELO38" s="612"/>
      <c r="ELP38" s="612"/>
      <c r="ELQ38" s="612"/>
      <c r="ELR38" s="612"/>
      <c r="ELS38" s="612"/>
      <c r="ELT38" s="612"/>
      <c r="ELU38" s="612"/>
      <c r="ELV38" s="612"/>
      <c r="ELW38" s="612"/>
      <c r="ELX38" s="612"/>
      <c r="ELY38" s="612"/>
      <c r="ELZ38" s="612"/>
      <c r="EMA38" s="612"/>
      <c r="EMB38" s="612"/>
      <c r="EMC38" s="612"/>
      <c r="EMD38" s="612"/>
      <c r="EME38" s="612"/>
      <c r="EMF38" s="612"/>
      <c r="EMG38" s="612"/>
      <c r="EMH38" s="612"/>
      <c r="EMI38" s="612"/>
      <c r="EMJ38" s="612"/>
      <c r="EMK38" s="612"/>
      <c r="EML38" s="612"/>
      <c r="EMM38" s="612"/>
      <c r="EMN38" s="612"/>
      <c r="EMO38" s="612"/>
      <c r="EMP38" s="612"/>
      <c r="EMQ38" s="612"/>
      <c r="EMR38" s="612"/>
      <c r="EMS38" s="612"/>
      <c r="EMT38" s="612"/>
      <c r="EMU38" s="612"/>
      <c r="EMV38" s="612"/>
      <c r="EMW38" s="612"/>
      <c r="EMX38" s="612"/>
      <c r="EMY38" s="612"/>
      <c r="EMZ38" s="612"/>
      <c r="ENA38" s="612"/>
      <c r="ENB38" s="612"/>
      <c r="ENC38" s="612"/>
      <c r="END38" s="612"/>
      <c r="ENE38" s="612"/>
      <c r="ENF38" s="612"/>
      <c r="ENG38" s="612"/>
      <c r="ENH38" s="612"/>
      <c r="ENI38" s="612"/>
      <c r="ENJ38" s="612"/>
      <c r="ENK38" s="612"/>
      <c r="ENL38" s="612"/>
      <c r="ENM38" s="612"/>
      <c r="ENN38" s="612"/>
      <c r="ENO38" s="612"/>
      <c r="ENP38" s="612"/>
      <c r="ENQ38" s="612"/>
      <c r="ENR38" s="612"/>
      <c r="ENS38" s="612"/>
      <c r="ENT38" s="612"/>
      <c r="ENU38" s="612"/>
      <c r="ENV38" s="612"/>
      <c r="ENW38" s="612"/>
      <c r="ENX38" s="612"/>
      <c r="ENY38" s="612"/>
      <c r="ENZ38" s="612"/>
      <c r="EOA38" s="612"/>
      <c r="EOB38" s="612"/>
      <c r="EOC38" s="612"/>
      <c r="EOD38" s="612"/>
      <c r="EOE38" s="612"/>
      <c r="EOF38" s="612"/>
      <c r="EOG38" s="612"/>
      <c r="EOH38" s="612"/>
      <c r="EOI38" s="612"/>
      <c r="EOJ38" s="612"/>
      <c r="EOK38" s="612"/>
      <c r="EOL38" s="612"/>
      <c r="EOM38" s="612"/>
      <c r="EON38" s="612"/>
      <c r="EOO38" s="612"/>
      <c r="EOP38" s="612"/>
      <c r="EOQ38" s="612"/>
      <c r="EOR38" s="612"/>
      <c r="EOS38" s="612"/>
      <c r="EOT38" s="612"/>
      <c r="EOU38" s="612"/>
      <c r="EOV38" s="612"/>
      <c r="EOW38" s="612"/>
      <c r="EOX38" s="612"/>
      <c r="EOY38" s="612"/>
      <c r="EOZ38" s="612"/>
      <c r="EPA38" s="612"/>
      <c r="EPB38" s="612"/>
      <c r="EPC38" s="612"/>
      <c r="EPD38" s="612"/>
      <c r="EPE38" s="612"/>
      <c r="EPF38" s="612"/>
      <c r="EPG38" s="612"/>
      <c r="EPH38" s="612"/>
      <c r="EPI38" s="612"/>
      <c r="EPJ38" s="612"/>
      <c r="EPK38" s="612"/>
      <c r="EPL38" s="612"/>
      <c r="EPM38" s="612"/>
      <c r="EPN38" s="612"/>
      <c r="EPO38" s="612"/>
      <c r="EPP38" s="612"/>
      <c r="EPQ38" s="612"/>
      <c r="EPR38" s="612"/>
      <c r="EPS38" s="612"/>
      <c r="EPT38" s="612"/>
      <c r="EPU38" s="612"/>
      <c r="EPV38" s="612"/>
      <c r="EPW38" s="612"/>
      <c r="EPX38" s="612"/>
      <c r="EPY38" s="612"/>
      <c r="EPZ38" s="612"/>
      <c r="EQA38" s="612"/>
      <c r="EQB38" s="612"/>
      <c r="EQC38" s="612"/>
      <c r="EQD38" s="612"/>
      <c r="EQE38" s="612"/>
      <c r="EQF38" s="612"/>
      <c r="EQG38" s="612"/>
      <c r="EQH38" s="612"/>
      <c r="EQI38" s="612"/>
      <c r="EQJ38" s="612"/>
      <c r="EQK38" s="612"/>
      <c r="EQL38" s="612"/>
      <c r="EQM38" s="612"/>
      <c r="EQN38" s="612"/>
      <c r="EQO38" s="612"/>
      <c r="EQP38" s="612"/>
      <c r="EQQ38" s="612"/>
      <c r="EQR38" s="612"/>
      <c r="EQS38" s="612"/>
      <c r="EQT38" s="612"/>
      <c r="EQU38" s="612"/>
      <c r="EQV38" s="612"/>
      <c r="EQW38" s="612"/>
      <c r="EQX38" s="612"/>
      <c r="EQY38" s="612"/>
      <c r="EQZ38" s="612"/>
      <c r="ERA38" s="612"/>
      <c r="ERB38" s="612"/>
      <c r="ERC38" s="612"/>
      <c r="ERD38" s="612"/>
      <c r="ERE38" s="612"/>
      <c r="ERF38" s="612"/>
      <c r="ERG38" s="612"/>
      <c r="ERH38" s="612"/>
      <c r="ERI38" s="612"/>
      <c r="ERJ38" s="612"/>
      <c r="ERK38" s="612"/>
      <c r="ERL38" s="612"/>
      <c r="ERM38" s="612"/>
      <c r="ERN38" s="612"/>
      <c r="ERO38" s="612"/>
      <c r="ERP38" s="612"/>
      <c r="ERQ38" s="612"/>
      <c r="ERR38" s="612"/>
      <c r="ERS38" s="612"/>
      <c r="ERT38" s="612"/>
      <c r="ERU38" s="612"/>
      <c r="ERV38" s="612"/>
      <c r="ERW38" s="612"/>
      <c r="ERX38" s="612"/>
      <c r="ERY38" s="612"/>
      <c r="ERZ38" s="612"/>
      <c r="ESA38" s="612"/>
      <c r="ESB38" s="612"/>
      <c r="ESC38" s="612"/>
      <c r="ESD38" s="612"/>
      <c r="ESE38" s="612"/>
      <c r="ESF38" s="612"/>
      <c r="ESG38" s="612"/>
      <c r="ESH38" s="612"/>
      <c r="ESI38" s="612"/>
      <c r="ESJ38" s="612"/>
      <c r="ESK38" s="612"/>
      <c r="ESL38" s="612"/>
      <c r="ESM38" s="612"/>
      <c r="ESN38" s="612"/>
      <c r="ESO38" s="612"/>
      <c r="ESP38" s="612"/>
      <c r="ESQ38" s="612"/>
      <c r="ESR38" s="612"/>
      <c r="ESS38" s="612"/>
      <c r="EST38" s="612"/>
      <c r="ESU38" s="612"/>
      <c r="ESV38" s="612"/>
      <c r="ESW38" s="612"/>
      <c r="ESX38" s="612"/>
      <c r="ESY38" s="612"/>
      <c r="ESZ38" s="612"/>
      <c r="ETA38" s="612"/>
      <c r="ETB38" s="612"/>
      <c r="ETC38" s="612"/>
      <c r="ETD38" s="612"/>
      <c r="ETE38" s="612"/>
      <c r="ETF38" s="612"/>
      <c r="ETG38" s="612"/>
      <c r="ETH38" s="612"/>
      <c r="ETI38" s="612"/>
      <c r="ETJ38" s="612"/>
      <c r="ETK38" s="612"/>
      <c r="ETL38" s="612"/>
      <c r="ETM38" s="612"/>
      <c r="ETN38" s="612"/>
      <c r="ETO38" s="612"/>
      <c r="ETP38" s="612"/>
      <c r="ETQ38" s="612"/>
      <c r="ETR38" s="612"/>
      <c r="ETS38" s="612"/>
      <c r="ETT38" s="612"/>
      <c r="ETU38" s="612"/>
      <c r="ETV38" s="612"/>
      <c r="ETW38" s="612"/>
      <c r="ETX38" s="612"/>
      <c r="ETY38" s="612"/>
      <c r="ETZ38" s="612"/>
      <c r="EUA38" s="612"/>
      <c r="EUB38" s="612"/>
      <c r="EUC38" s="612"/>
      <c r="EUD38" s="612"/>
      <c r="EUE38" s="612"/>
      <c r="EUF38" s="612"/>
      <c r="EUG38" s="612"/>
      <c r="EUH38" s="612"/>
      <c r="EUI38" s="612"/>
      <c r="EUJ38" s="612"/>
      <c r="EUK38" s="612"/>
      <c r="EUL38" s="612"/>
      <c r="EUM38" s="612"/>
      <c r="EUN38" s="612"/>
      <c r="EUO38" s="612"/>
      <c r="EUP38" s="612"/>
      <c r="EUQ38" s="612"/>
      <c r="EUR38" s="612"/>
      <c r="EUS38" s="612"/>
      <c r="EUT38" s="612"/>
      <c r="EUU38" s="612"/>
      <c r="EUV38" s="612"/>
      <c r="EUW38" s="612"/>
      <c r="EUX38" s="612"/>
      <c r="EUY38" s="612"/>
      <c r="EUZ38" s="612"/>
      <c r="EVA38" s="612"/>
      <c r="EVB38" s="612"/>
      <c r="EVC38" s="612"/>
      <c r="EVD38" s="612"/>
      <c r="EVE38" s="612"/>
      <c r="EVF38" s="612"/>
      <c r="EVG38" s="612"/>
      <c r="EVH38" s="612"/>
      <c r="EVI38" s="612"/>
      <c r="EVJ38" s="612"/>
      <c r="EVK38" s="612"/>
      <c r="EVL38" s="612"/>
      <c r="EVM38" s="612"/>
      <c r="EVN38" s="612"/>
      <c r="EVO38" s="612"/>
      <c r="EVP38" s="612"/>
      <c r="EVQ38" s="612"/>
      <c r="EVR38" s="612"/>
      <c r="EVS38" s="612"/>
      <c r="EVT38" s="612"/>
      <c r="EVU38" s="612"/>
      <c r="EVV38" s="612"/>
      <c r="EVW38" s="612"/>
      <c r="EVX38" s="612"/>
      <c r="EVY38" s="612"/>
      <c r="EVZ38" s="612"/>
      <c r="EWA38" s="612"/>
      <c r="EWB38" s="612"/>
      <c r="EWC38" s="612"/>
      <c r="EWD38" s="612"/>
      <c r="EWE38" s="612"/>
      <c r="EWF38" s="612"/>
      <c r="EWG38" s="612"/>
      <c r="EWH38" s="612"/>
      <c r="EWI38" s="612"/>
      <c r="EWJ38" s="612"/>
      <c r="EWK38" s="612"/>
      <c r="EWL38" s="612"/>
      <c r="EWM38" s="612"/>
      <c r="EWN38" s="612"/>
      <c r="EWO38" s="612"/>
      <c r="EWP38" s="612"/>
      <c r="EWQ38" s="612"/>
      <c r="EWR38" s="612"/>
      <c r="EWS38" s="612"/>
      <c r="EWT38" s="612"/>
      <c r="EWU38" s="612"/>
      <c r="EWV38" s="612"/>
      <c r="EWW38" s="612"/>
      <c r="EWX38" s="612"/>
      <c r="EWY38" s="612"/>
      <c r="EWZ38" s="612"/>
      <c r="EXA38" s="612"/>
      <c r="EXB38" s="612"/>
      <c r="EXC38" s="612"/>
      <c r="EXD38" s="612"/>
      <c r="EXE38" s="612"/>
      <c r="EXF38" s="612"/>
      <c r="EXG38" s="612"/>
      <c r="EXH38" s="612"/>
      <c r="EXI38" s="612"/>
      <c r="EXJ38" s="612"/>
      <c r="EXK38" s="612"/>
      <c r="EXL38" s="612"/>
      <c r="EXM38" s="612"/>
      <c r="EXN38" s="612"/>
      <c r="EXO38" s="612"/>
      <c r="EXP38" s="612"/>
      <c r="EXQ38" s="612"/>
      <c r="EXR38" s="612"/>
      <c r="EXS38" s="612"/>
      <c r="EXT38" s="612"/>
      <c r="EXU38" s="612"/>
      <c r="EXV38" s="612"/>
      <c r="EXW38" s="612"/>
      <c r="EXX38" s="612"/>
      <c r="EXY38" s="612"/>
      <c r="EXZ38" s="612"/>
      <c r="EYA38" s="612"/>
      <c r="EYB38" s="612"/>
      <c r="EYC38" s="612"/>
      <c r="EYD38" s="612"/>
      <c r="EYE38" s="612"/>
      <c r="EYF38" s="612"/>
      <c r="EYG38" s="612"/>
      <c r="EYH38" s="612"/>
      <c r="EYI38" s="612"/>
      <c r="EYJ38" s="612"/>
      <c r="EYK38" s="612"/>
      <c r="EYL38" s="612"/>
      <c r="EYM38" s="612"/>
      <c r="EYN38" s="612"/>
      <c r="EYO38" s="612"/>
      <c r="EYP38" s="612"/>
      <c r="EYQ38" s="612"/>
      <c r="EYR38" s="612"/>
      <c r="EYS38" s="612"/>
      <c r="EYT38" s="612"/>
      <c r="EYU38" s="612"/>
      <c r="EYV38" s="612"/>
      <c r="EYW38" s="612"/>
      <c r="EYX38" s="612"/>
      <c r="EYY38" s="612"/>
      <c r="EYZ38" s="612"/>
      <c r="EZA38" s="612"/>
      <c r="EZB38" s="612"/>
      <c r="EZC38" s="612"/>
      <c r="EZD38" s="612"/>
      <c r="EZE38" s="612"/>
      <c r="EZF38" s="612"/>
      <c r="EZG38" s="612"/>
      <c r="EZH38" s="612"/>
      <c r="EZI38" s="612"/>
      <c r="EZJ38" s="612"/>
      <c r="EZK38" s="612"/>
      <c r="EZL38" s="612"/>
      <c r="EZM38" s="612"/>
      <c r="EZN38" s="612"/>
      <c r="EZO38" s="612"/>
      <c r="EZP38" s="612"/>
      <c r="EZQ38" s="612"/>
      <c r="EZR38" s="612"/>
      <c r="EZS38" s="612"/>
      <c r="EZT38" s="612"/>
      <c r="EZU38" s="612"/>
      <c r="EZV38" s="612"/>
      <c r="EZW38" s="612"/>
      <c r="EZX38" s="612"/>
      <c r="EZY38" s="612"/>
      <c r="EZZ38" s="612"/>
      <c r="FAA38" s="612"/>
      <c r="FAB38" s="612"/>
      <c r="FAC38" s="612"/>
      <c r="FAD38" s="612"/>
      <c r="FAE38" s="612"/>
      <c r="FAF38" s="612"/>
      <c r="FAG38" s="612"/>
      <c r="FAH38" s="612"/>
      <c r="FAI38" s="612"/>
      <c r="FAJ38" s="612"/>
      <c r="FAK38" s="612"/>
      <c r="FAL38" s="612"/>
      <c r="FAM38" s="612"/>
      <c r="FAN38" s="612"/>
      <c r="FAO38" s="612"/>
      <c r="FAP38" s="612"/>
      <c r="FAQ38" s="612"/>
      <c r="FAR38" s="612"/>
      <c r="FAS38" s="612"/>
      <c r="FAT38" s="612"/>
      <c r="FAU38" s="612"/>
      <c r="FAV38" s="612"/>
      <c r="FAW38" s="612"/>
      <c r="FAX38" s="612"/>
      <c r="FAY38" s="612"/>
      <c r="FAZ38" s="612"/>
      <c r="FBA38" s="612"/>
      <c r="FBB38" s="612"/>
      <c r="FBC38" s="612"/>
      <c r="FBD38" s="612"/>
      <c r="FBE38" s="612"/>
      <c r="FBF38" s="612"/>
      <c r="FBG38" s="612"/>
      <c r="FBH38" s="612"/>
      <c r="FBI38" s="612"/>
      <c r="FBJ38" s="612"/>
      <c r="FBK38" s="612"/>
      <c r="FBL38" s="612"/>
      <c r="FBM38" s="612"/>
      <c r="FBN38" s="612"/>
      <c r="FBO38" s="612"/>
      <c r="FBP38" s="612"/>
      <c r="FBQ38" s="612"/>
      <c r="FBR38" s="612"/>
      <c r="FBS38" s="612"/>
      <c r="FBT38" s="612"/>
      <c r="FBU38" s="612"/>
      <c r="FBV38" s="612"/>
      <c r="FBW38" s="612"/>
      <c r="FBX38" s="612"/>
      <c r="FBY38" s="612"/>
      <c r="FBZ38" s="612"/>
      <c r="FCA38" s="612"/>
      <c r="FCB38" s="612"/>
      <c r="FCC38" s="612"/>
      <c r="FCD38" s="612"/>
      <c r="FCE38" s="612"/>
      <c r="FCF38" s="612"/>
      <c r="FCG38" s="612"/>
      <c r="FCH38" s="612"/>
      <c r="FCI38" s="612"/>
      <c r="FCJ38" s="612"/>
      <c r="FCK38" s="612"/>
      <c r="FCL38" s="612"/>
      <c r="FCM38" s="612"/>
      <c r="FCN38" s="612"/>
      <c r="FCO38" s="612"/>
      <c r="FCP38" s="612"/>
      <c r="FCQ38" s="612"/>
      <c r="FCR38" s="612"/>
      <c r="FCS38" s="612"/>
      <c r="FCT38" s="612"/>
      <c r="FCU38" s="612"/>
      <c r="FCV38" s="612"/>
      <c r="FCW38" s="612"/>
      <c r="FCX38" s="612"/>
      <c r="FCY38" s="612"/>
      <c r="FCZ38" s="612"/>
      <c r="FDA38" s="612"/>
      <c r="FDB38" s="612"/>
      <c r="FDC38" s="612"/>
      <c r="FDD38" s="612"/>
      <c r="FDE38" s="612"/>
      <c r="FDF38" s="612"/>
      <c r="FDG38" s="612"/>
      <c r="FDH38" s="612"/>
      <c r="FDI38" s="612"/>
      <c r="FDJ38" s="612"/>
      <c r="FDK38" s="612"/>
      <c r="FDL38" s="612"/>
      <c r="FDM38" s="612"/>
      <c r="FDN38" s="612"/>
      <c r="FDO38" s="612"/>
      <c r="FDP38" s="612"/>
      <c r="FDQ38" s="612"/>
      <c r="FDR38" s="612"/>
      <c r="FDS38" s="612"/>
      <c r="FDT38" s="612"/>
      <c r="FDU38" s="612"/>
      <c r="FDV38" s="612"/>
      <c r="FDW38" s="612"/>
      <c r="FDX38" s="612"/>
      <c r="FDY38" s="612"/>
      <c r="FDZ38" s="612"/>
      <c r="FEA38" s="612"/>
      <c r="FEB38" s="612"/>
      <c r="FEC38" s="612"/>
      <c r="FED38" s="612"/>
      <c r="FEE38" s="612"/>
      <c r="FEF38" s="612"/>
      <c r="FEG38" s="612"/>
      <c r="FEH38" s="612"/>
      <c r="FEI38" s="612"/>
      <c r="FEJ38" s="612"/>
      <c r="FEK38" s="612"/>
      <c r="FEL38" s="612"/>
      <c r="FEM38" s="612"/>
      <c r="FEN38" s="612"/>
      <c r="FEO38" s="612"/>
      <c r="FEP38" s="612"/>
      <c r="FEQ38" s="612"/>
      <c r="FER38" s="612"/>
      <c r="FES38" s="612"/>
      <c r="FET38" s="612"/>
      <c r="FEU38" s="612"/>
      <c r="FEV38" s="612"/>
      <c r="FEW38" s="612"/>
      <c r="FEX38" s="612"/>
      <c r="FEY38" s="612"/>
      <c r="FEZ38" s="612"/>
      <c r="FFA38" s="612"/>
      <c r="FFB38" s="612"/>
      <c r="FFC38" s="612"/>
      <c r="FFD38" s="612"/>
      <c r="FFE38" s="612"/>
      <c r="FFF38" s="612"/>
      <c r="FFG38" s="612"/>
      <c r="FFH38" s="612"/>
      <c r="FFI38" s="612"/>
      <c r="FFJ38" s="612"/>
      <c r="FFK38" s="612"/>
      <c r="FFL38" s="612"/>
      <c r="FFM38" s="612"/>
      <c r="FFN38" s="612"/>
      <c r="FFO38" s="612"/>
      <c r="FFP38" s="612"/>
      <c r="FFQ38" s="612"/>
      <c r="FFR38" s="612"/>
      <c r="FFS38" s="612"/>
      <c r="FFT38" s="612"/>
      <c r="FFU38" s="612"/>
      <c r="FFV38" s="612"/>
      <c r="FFW38" s="612"/>
      <c r="FFX38" s="612"/>
      <c r="FFY38" s="612"/>
      <c r="FFZ38" s="612"/>
      <c r="FGA38" s="612"/>
      <c r="FGB38" s="612"/>
      <c r="FGC38" s="612"/>
      <c r="FGD38" s="612"/>
      <c r="FGE38" s="612"/>
      <c r="FGF38" s="612"/>
      <c r="FGG38" s="612"/>
      <c r="FGH38" s="612"/>
      <c r="FGI38" s="612"/>
      <c r="FGJ38" s="612"/>
      <c r="FGK38" s="612"/>
      <c r="FGL38" s="612"/>
      <c r="FGM38" s="612"/>
      <c r="FGN38" s="612"/>
      <c r="FGO38" s="612"/>
      <c r="FGP38" s="612"/>
      <c r="FGQ38" s="612"/>
      <c r="FGR38" s="612"/>
      <c r="FGS38" s="612"/>
      <c r="FGT38" s="612"/>
      <c r="FGU38" s="612"/>
      <c r="FGV38" s="612"/>
      <c r="FGW38" s="612"/>
      <c r="FGX38" s="612"/>
      <c r="FGY38" s="612"/>
      <c r="FGZ38" s="612"/>
      <c r="FHA38" s="612"/>
      <c r="FHB38" s="612"/>
      <c r="FHC38" s="612"/>
      <c r="FHD38" s="612"/>
      <c r="FHE38" s="612"/>
      <c r="FHF38" s="612"/>
      <c r="FHG38" s="612"/>
      <c r="FHH38" s="612"/>
      <c r="FHI38" s="612"/>
      <c r="FHJ38" s="612"/>
      <c r="FHK38" s="612"/>
      <c r="FHL38" s="612"/>
      <c r="FHM38" s="612"/>
      <c r="FHN38" s="612"/>
      <c r="FHO38" s="612"/>
      <c r="FHP38" s="612"/>
      <c r="FHQ38" s="612"/>
      <c r="FHR38" s="612"/>
      <c r="FHS38" s="612"/>
      <c r="FHT38" s="612"/>
      <c r="FHU38" s="612"/>
      <c r="FHV38" s="612"/>
      <c r="FHW38" s="612"/>
      <c r="FHX38" s="612"/>
      <c r="FHY38" s="612"/>
      <c r="FHZ38" s="612"/>
      <c r="FIA38" s="612"/>
      <c r="FIB38" s="612"/>
      <c r="FIC38" s="612"/>
      <c r="FID38" s="612"/>
      <c r="FIE38" s="612"/>
      <c r="FIF38" s="612"/>
      <c r="FIG38" s="612"/>
      <c r="FIH38" s="612"/>
      <c r="FII38" s="612"/>
      <c r="FIJ38" s="612"/>
      <c r="FIK38" s="612"/>
      <c r="FIL38" s="612"/>
      <c r="FIM38" s="612"/>
      <c r="FIN38" s="612"/>
      <c r="FIO38" s="612"/>
      <c r="FIP38" s="612"/>
      <c r="FIQ38" s="612"/>
      <c r="FIR38" s="612"/>
      <c r="FIS38" s="612"/>
      <c r="FIT38" s="612"/>
      <c r="FIU38" s="612"/>
      <c r="FIV38" s="612"/>
      <c r="FIW38" s="612"/>
      <c r="FIX38" s="612"/>
      <c r="FIY38" s="612"/>
      <c r="FIZ38" s="612"/>
      <c r="FJA38" s="612"/>
      <c r="FJB38" s="612"/>
      <c r="FJC38" s="612"/>
      <c r="FJD38" s="612"/>
      <c r="FJE38" s="612"/>
      <c r="FJF38" s="612"/>
      <c r="FJG38" s="612"/>
      <c r="FJH38" s="612"/>
      <c r="FJI38" s="612"/>
      <c r="FJJ38" s="612"/>
      <c r="FJK38" s="612"/>
      <c r="FJL38" s="612"/>
      <c r="FJM38" s="612"/>
      <c r="FJN38" s="612"/>
      <c r="FJO38" s="612"/>
      <c r="FJP38" s="612"/>
      <c r="FJQ38" s="612"/>
      <c r="FJR38" s="612"/>
      <c r="FJS38" s="612"/>
      <c r="FJT38" s="612"/>
      <c r="FJU38" s="612"/>
      <c r="FJV38" s="612"/>
      <c r="FJW38" s="612"/>
      <c r="FJX38" s="612"/>
      <c r="FJY38" s="612"/>
      <c r="FJZ38" s="612"/>
      <c r="FKA38" s="612"/>
      <c r="FKB38" s="612"/>
      <c r="FKC38" s="612"/>
      <c r="FKD38" s="612"/>
      <c r="FKE38" s="612"/>
      <c r="FKF38" s="612"/>
      <c r="FKG38" s="612"/>
      <c r="FKH38" s="612"/>
      <c r="FKI38" s="612"/>
      <c r="FKJ38" s="612"/>
      <c r="FKK38" s="612"/>
      <c r="FKL38" s="612"/>
      <c r="FKM38" s="612"/>
      <c r="FKN38" s="612"/>
      <c r="FKO38" s="612"/>
      <c r="FKP38" s="612"/>
      <c r="FKQ38" s="612"/>
      <c r="FKR38" s="612"/>
      <c r="FKS38" s="612"/>
      <c r="FKT38" s="612"/>
      <c r="FKU38" s="612"/>
      <c r="FKV38" s="612"/>
      <c r="FKW38" s="612"/>
      <c r="FKX38" s="612"/>
      <c r="FKY38" s="612"/>
      <c r="FKZ38" s="612"/>
      <c r="FLA38" s="612"/>
      <c r="FLB38" s="612"/>
      <c r="FLC38" s="612"/>
      <c r="FLD38" s="612"/>
      <c r="FLE38" s="612"/>
      <c r="FLF38" s="612"/>
      <c r="FLG38" s="612"/>
      <c r="FLH38" s="612"/>
      <c r="FLI38" s="612"/>
      <c r="FLJ38" s="612"/>
      <c r="FLK38" s="612"/>
      <c r="FLL38" s="612"/>
      <c r="FLM38" s="612"/>
      <c r="FLN38" s="612"/>
      <c r="FLO38" s="612"/>
      <c r="FLP38" s="612"/>
      <c r="FLQ38" s="612"/>
      <c r="FLR38" s="612"/>
      <c r="FLS38" s="612"/>
      <c r="FLT38" s="612"/>
      <c r="FLU38" s="612"/>
      <c r="FLV38" s="612"/>
      <c r="FLW38" s="612"/>
      <c r="FLX38" s="612"/>
      <c r="FLY38" s="612"/>
      <c r="FLZ38" s="612"/>
      <c r="FMA38" s="612"/>
      <c r="FMB38" s="612"/>
      <c r="FMC38" s="612"/>
      <c r="FMD38" s="612"/>
      <c r="FME38" s="612"/>
      <c r="FMF38" s="612"/>
      <c r="FMG38" s="612"/>
      <c r="FMH38" s="612"/>
      <c r="FMI38" s="612"/>
      <c r="FMJ38" s="612"/>
      <c r="FMK38" s="612"/>
      <c r="FML38" s="612"/>
      <c r="FMM38" s="612"/>
      <c r="FMN38" s="612"/>
      <c r="FMO38" s="612"/>
      <c r="FMP38" s="612"/>
      <c r="FMQ38" s="612"/>
      <c r="FMR38" s="612"/>
      <c r="FMS38" s="612"/>
      <c r="FMT38" s="612"/>
      <c r="FMU38" s="612"/>
      <c r="FMV38" s="612"/>
      <c r="FMW38" s="612"/>
      <c r="FMX38" s="612"/>
      <c r="FMY38" s="612"/>
      <c r="FMZ38" s="612"/>
      <c r="FNA38" s="612"/>
      <c r="FNB38" s="612"/>
      <c r="FNC38" s="612"/>
      <c r="FND38" s="612"/>
      <c r="FNE38" s="612"/>
      <c r="FNF38" s="612"/>
      <c r="FNG38" s="612"/>
      <c r="FNH38" s="612"/>
      <c r="FNI38" s="612"/>
      <c r="FNJ38" s="612"/>
      <c r="FNK38" s="612"/>
      <c r="FNL38" s="612"/>
      <c r="FNM38" s="612"/>
      <c r="FNN38" s="612"/>
      <c r="FNO38" s="612"/>
      <c r="FNP38" s="612"/>
      <c r="FNQ38" s="612"/>
      <c r="FNR38" s="612"/>
      <c r="FNS38" s="612"/>
      <c r="FNT38" s="612"/>
      <c r="FNU38" s="612"/>
      <c r="FNV38" s="612"/>
      <c r="FNW38" s="612"/>
      <c r="FNX38" s="612"/>
      <c r="FNY38" s="612"/>
      <c r="FNZ38" s="612"/>
      <c r="FOA38" s="612"/>
      <c r="FOB38" s="612"/>
      <c r="FOC38" s="612"/>
      <c r="FOD38" s="612"/>
      <c r="FOE38" s="612"/>
      <c r="FOF38" s="612"/>
      <c r="FOG38" s="612"/>
      <c r="FOH38" s="612"/>
      <c r="FOI38" s="612"/>
      <c r="FOJ38" s="612"/>
      <c r="FOK38" s="612"/>
      <c r="FOL38" s="612"/>
      <c r="FOM38" s="612"/>
      <c r="FON38" s="612"/>
      <c r="FOO38" s="612"/>
      <c r="FOP38" s="612"/>
      <c r="FOQ38" s="612"/>
      <c r="FOR38" s="612"/>
      <c r="FOS38" s="612"/>
      <c r="FOT38" s="612"/>
      <c r="FOU38" s="612"/>
      <c r="FOV38" s="612"/>
      <c r="FOW38" s="612"/>
      <c r="FOX38" s="612"/>
      <c r="FOY38" s="612"/>
      <c r="FOZ38" s="612"/>
      <c r="FPA38" s="612"/>
      <c r="FPB38" s="612"/>
      <c r="FPC38" s="612"/>
      <c r="FPD38" s="612"/>
      <c r="FPE38" s="612"/>
      <c r="FPF38" s="612"/>
      <c r="FPG38" s="612"/>
      <c r="FPH38" s="612"/>
      <c r="FPI38" s="612"/>
      <c r="FPJ38" s="612"/>
      <c r="FPK38" s="612"/>
      <c r="FPL38" s="612"/>
      <c r="FPM38" s="612"/>
      <c r="FPN38" s="612"/>
      <c r="FPO38" s="612"/>
      <c r="FPP38" s="612"/>
      <c r="FPQ38" s="612"/>
      <c r="FPR38" s="612"/>
      <c r="FPS38" s="612"/>
      <c r="FPT38" s="612"/>
      <c r="FPU38" s="612"/>
      <c r="FPV38" s="612"/>
      <c r="FPW38" s="612"/>
      <c r="FPX38" s="612"/>
      <c r="FPY38" s="612"/>
      <c r="FPZ38" s="612"/>
      <c r="FQA38" s="612"/>
      <c r="FQB38" s="612"/>
      <c r="FQC38" s="612"/>
      <c r="FQD38" s="612"/>
      <c r="FQE38" s="612"/>
      <c r="FQF38" s="612"/>
      <c r="FQG38" s="612"/>
      <c r="FQH38" s="612"/>
      <c r="FQI38" s="612"/>
      <c r="FQJ38" s="612"/>
      <c r="FQK38" s="612"/>
      <c r="FQL38" s="612"/>
      <c r="FQM38" s="612"/>
      <c r="FQN38" s="612"/>
      <c r="FQO38" s="612"/>
      <c r="FQP38" s="612"/>
      <c r="FQQ38" s="612"/>
      <c r="FQR38" s="612"/>
      <c r="FQS38" s="612"/>
      <c r="FQT38" s="612"/>
      <c r="FQU38" s="612"/>
      <c r="FQV38" s="612"/>
      <c r="FQW38" s="612"/>
      <c r="FQX38" s="612"/>
      <c r="FQY38" s="612"/>
      <c r="FQZ38" s="612"/>
      <c r="FRA38" s="612"/>
      <c r="FRB38" s="612"/>
      <c r="FRC38" s="612"/>
      <c r="FRD38" s="612"/>
      <c r="FRE38" s="612"/>
      <c r="FRF38" s="612"/>
      <c r="FRG38" s="612"/>
      <c r="FRH38" s="612"/>
      <c r="FRI38" s="612"/>
      <c r="FRJ38" s="612"/>
      <c r="FRK38" s="612"/>
      <c r="FRL38" s="612"/>
      <c r="FRM38" s="612"/>
      <c r="FRN38" s="612"/>
      <c r="FRO38" s="612"/>
      <c r="FRP38" s="612"/>
      <c r="FRQ38" s="612"/>
      <c r="FRR38" s="612"/>
      <c r="FRS38" s="612"/>
      <c r="FRT38" s="612"/>
      <c r="FRU38" s="612"/>
      <c r="FRV38" s="612"/>
      <c r="FRW38" s="612"/>
      <c r="FRX38" s="612"/>
      <c r="FRY38" s="612"/>
      <c r="FRZ38" s="612"/>
      <c r="FSA38" s="612"/>
      <c r="FSB38" s="612"/>
      <c r="FSC38" s="612"/>
      <c r="FSD38" s="612"/>
      <c r="FSE38" s="612"/>
      <c r="FSF38" s="612"/>
      <c r="FSG38" s="612"/>
      <c r="FSH38" s="612"/>
      <c r="FSI38" s="612"/>
      <c r="FSJ38" s="612"/>
      <c r="FSK38" s="612"/>
      <c r="FSL38" s="612"/>
      <c r="FSM38" s="612"/>
      <c r="FSN38" s="612"/>
      <c r="FSO38" s="612"/>
      <c r="FSP38" s="612"/>
      <c r="FSQ38" s="612"/>
      <c r="FSR38" s="612"/>
      <c r="FSS38" s="612"/>
      <c r="FST38" s="612"/>
      <c r="FSU38" s="612"/>
      <c r="FSV38" s="612"/>
      <c r="FSW38" s="612"/>
      <c r="FSX38" s="612"/>
      <c r="FSY38" s="612"/>
      <c r="FSZ38" s="612"/>
      <c r="FTA38" s="612"/>
      <c r="FTB38" s="612"/>
      <c r="FTC38" s="612"/>
      <c r="FTD38" s="612"/>
      <c r="FTE38" s="612"/>
      <c r="FTF38" s="612"/>
      <c r="FTG38" s="612"/>
      <c r="FTH38" s="612"/>
      <c r="FTI38" s="612"/>
      <c r="FTJ38" s="612"/>
      <c r="FTK38" s="612"/>
      <c r="FTL38" s="612"/>
      <c r="FTM38" s="612"/>
      <c r="FTN38" s="612"/>
      <c r="FTO38" s="612"/>
      <c r="FTP38" s="612"/>
      <c r="FTQ38" s="612"/>
      <c r="FTR38" s="612"/>
      <c r="FTS38" s="612"/>
      <c r="FTT38" s="612"/>
      <c r="FTU38" s="612"/>
      <c r="FTV38" s="612"/>
      <c r="FTW38" s="612"/>
      <c r="FTX38" s="612"/>
      <c r="FTY38" s="612"/>
      <c r="FTZ38" s="612"/>
      <c r="FUA38" s="612"/>
      <c r="FUB38" s="612"/>
      <c r="FUC38" s="612"/>
      <c r="FUD38" s="612"/>
      <c r="FUE38" s="612"/>
      <c r="FUF38" s="612"/>
      <c r="FUG38" s="612"/>
      <c r="FUH38" s="612"/>
      <c r="FUI38" s="612"/>
      <c r="FUJ38" s="612"/>
      <c r="FUK38" s="612"/>
      <c r="FUL38" s="612"/>
      <c r="FUM38" s="612"/>
      <c r="FUN38" s="612"/>
      <c r="FUO38" s="612"/>
      <c r="FUP38" s="612"/>
      <c r="FUQ38" s="612"/>
      <c r="FUR38" s="612"/>
      <c r="FUS38" s="612"/>
      <c r="FUT38" s="612"/>
      <c r="FUU38" s="612"/>
      <c r="FUV38" s="612"/>
      <c r="FUW38" s="612"/>
      <c r="FUX38" s="612"/>
      <c r="FUY38" s="612"/>
      <c r="FUZ38" s="612"/>
      <c r="FVA38" s="612"/>
      <c r="FVB38" s="612"/>
      <c r="FVC38" s="612"/>
      <c r="FVD38" s="612"/>
      <c r="FVE38" s="612"/>
      <c r="FVF38" s="612"/>
      <c r="FVG38" s="612"/>
      <c r="FVH38" s="612"/>
      <c r="FVI38" s="612"/>
      <c r="FVJ38" s="612"/>
      <c r="FVK38" s="612"/>
      <c r="FVL38" s="612"/>
      <c r="FVM38" s="612"/>
      <c r="FVN38" s="612"/>
      <c r="FVO38" s="612"/>
      <c r="FVP38" s="612"/>
      <c r="FVQ38" s="612"/>
      <c r="FVR38" s="612"/>
      <c r="FVS38" s="612"/>
      <c r="FVT38" s="612"/>
      <c r="FVU38" s="612"/>
      <c r="FVV38" s="612"/>
      <c r="FVW38" s="612"/>
      <c r="FVX38" s="612"/>
      <c r="FVY38" s="612"/>
      <c r="FVZ38" s="612"/>
      <c r="FWA38" s="612"/>
      <c r="FWB38" s="612"/>
      <c r="FWC38" s="612"/>
      <c r="FWD38" s="612"/>
      <c r="FWE38" s="612"/>
      <c r="FWF38" s="612"/>
      <c r="FWG38" s="612"/>
      <c r="FWH38" s="612"/>
      <c r="FWI38" s="612"/>
      <c r="FWJ38" s="612"/>
      <c r="FWK38" s="612"/>
      <c r="FWL38" s="612"/>
      <c r="FWM38" s="612"/>
      <c r="FWN38" s="612"/>
      <c r="FWO38" s="612"/>
      <c r="FWP38" s="612"/>
      <c r="FWQ38" s="612"/>
      <c r="FWR38" s="612"/>
      <c r="FWS38" s="612"/>
      <c r="FWT38" s="612"/>
      <c r="FWU38" s="612"/>
      <c r="FWV38" s="612"/>
      <c r="FWW38" s="612"/>
      <c r="FWX38" s="612"/>
      <c r="FWY38" s="612"/>
      <c r="FWZ38" s="612"/>
      <c r="FXA38" s="612"/>
      <c r="FXB38" s="612"/>
      <c r="FXC38" s="612"/>
      <c r="FXD38" s="612"/>
      <c r="FXE38" s="612"/>
      <c r="FXF38" s="612"/>
      <c r="FXG38" s="612"/>
      <c r="FXH38" s="612"/>
      <c r="FXI38" s="612"/>
      <c r="FXJ38" s="612"/>
      <c r="FXK38" s="612"/>
      <c r="FXL38" s="612"/>
      <c r="FXM38" s="612"/>
      <c r="FXN38" s="612"/>
      <c r="FXO38" s="612"/>
      <c r="FXP38" s="612"/>
      <c r="FXQ38" s="612"/>
      <c r="FXR38" s="612"/>
      <c r="FXS38" s="612"/>
      <c r="FXT38" s="612"/>
      <c r="FXU38" s="612"/>
      <c r="FXV38" s="612"/>
      <c r="FXW38" s="612"/>
      <c r="FXX38" s="612"/>
      <c r="FXY38" s="612"/>
      <c r="FXZ38" s="612"/>
      <c r="FYA38" s="612"/>
      <c r="FYB38" s="612"/>
      <c r="FYC38" s="612"/>
      <c r="FYD38" s="612"/>
      <c r="FYE38" s="612"/>
      <c r="FYF38" s="612"/>
      <c r="FYG38" s="612"/>
      <c r="FYH38" s="612"/>
      <c r="FYI38" s="612"/>
      <c r="FYJ38" s="612"/>
      <c r="FYK38" s="612"/>
      <c r="FYL38" s="612"/>
      <c r="FYM38" s="612"/>
      <c r="FYN38" s="612"/>
      <c r="FYO38" s="612"/>
      <c r="FYP38" s="612"/>
      <c r="FYQ38" s="612"/>
      <c r="FYR38" s="612"/>
      <c r="FYS38" s="612"/>
      <c r="FYT38" s="612"/>
      <c r="FYU38" s="612"/>
      <c r="FYV38" s="612"/>
      <c r="FYW38" s="612"/>
      <c r="FYX38" s="612"/>
      <c r="FYY38" s="612"/>
      <c r="FYZ38" s="612"/>
      <c r="FZA38" s="612"/>
      <c r="FZB38" s="612"/>
      <c r="FZC38" s="612"/>
      <c r="FZD38" s="612"/>
      <c r="FZE38" s="612"/>
      <c r="FZF38" s="612"/>
      <c r="FZG38" s="612"/>
      <c r="FZH38" s="612"/>
      <c r="FZI38" s="612"/>
      <c r="FZJ38" s="612"/>
      <c r="FZK38" s="612"/>
      <c r="FZL38" s="612"/>
      <c r="FZM38" s="612"/>
      <c r="FZN38" s="612"/>
      <c r="FZO38" s="612"/>
      <c r="FZP38" s="612"/>
      <c r="FZQ38" s="612"/>
      <c r="FZR38" s="612"/>
      <c r="FZS38" s="612"/>
      <c r="FZT38" s="612"/>
      <c r="FZU38" s="612"/>
      <c r="FZV38" s="612"/>
      <c r="FZW38" s="612"/>
      <c r="FZX38" s="612"/>
      <c r="FZY38" s="612"/>
      <c r="FZZ38" s="612"/>
      <c r="GAA38" s="612"/>
      <c r="GAB38" s="612"/>
      <c r="GAC38" s="612"/>
      <c r="GAD38" s="612"/>
      <c r="GAE38" s="612"/>
      <c r="GAF38" s="612"/>
      <c r="GAG38" s="612"/>
      <c r="GAH38" s="612"/>
      <c r="GAI38" s="612"/>
      <c r="GAJ38" s="612"/>
      <c r="GAK38" s="612"/>
      <c r="GAL38" s="612"/>
      <c r="GAM38" s="612"/>
      <c r="GAN38" s="612"/>
      <c r="GAO38" s="612"/>
      <c r="GAP38" s="612"/>
      <c r="GAQ38" s="612"/>
      <c r="GAR38" s="612"/>
      <c r="GAS38" s="612"/>
      <c r="GAT38" s="612"/>
      <c r="GAU38" s="612"/>
      <c r="GAV38" s="612"/>
      <c r="GAW38" s="612"/>
      <c r="GAX38" s="612"/>
      <c r="GAY38" s="612"/>
      <c r="GAZ38" s="612"/>
      <c r="GBA38" s="612"/>
      <c r="GBB38" s="612"/>
      <c r="GBC38" s="612"/>
      <c r="GBD38" s="612"/>
      <c r="GBE38" s="612"/>
      <c r="GBF38" s="612"/>
      <c r="GBG38" s="612"/>
      <c r="GBH38" s="612"/>
      <c r="GBI38" s="612"/>
      <c r="GBJ38" s="612"/>
      <c r="GBK38" s="612"/>
      <c r="GBL38" s="612"/>
      <c r="GBM38" s="612"/>
      <c r="GBN38" s="612"/>
      <c r="GBO38" s="612"/>
      <c r="GBP38" s="612"/>
      <c r="GBQ38" s="612"/>
      <c r="GBR38" s="612"/>
      <c r="GBS38" s="612"/>
      <c r="GBT38" s="612"/>
      <c r="GBU38" s="612"/>
      <c r="GBV38" s="612"/>
      <c r="GBW38" s="612"/>
      <c r="GBX38" s="612"/>
      <c r="GBY38" s="612"/>
      <c r="GBZ38" s="612"/>
      <c r="GCA38" s="612"/>
      <c r="GCB38" s="612"/>
      <c r="GCC38" s="612"/>
      <c r="GCD38" s="612"/>
      <c r="GCE38" s="612"/>
      <c r="GCF38" s="612"/>
      <c r="GCG38" s="612"/>
      <c r="GCH38" s="612"/>
      <c r="GCI38" s="612"/>
      <c r="GCJ38" s="612"/>
      <c r="GCK38" s="612"/>
      <c r="GCL38" s="612"/>
      <c r="GCM38" s="612"/>
      <c r="GCN38" s="612"/>
      <c r="GCO38" s="612"/>
      <c r="GCP38" s="612"/>
      <c r="GCQ38" s="612"/>
      <c r="GCR38" s="612"/>
      <c r="GCS38" s="612"/>
      <c r="GCT38" s="612"/>
      <c r="GCU38" s="612"/>
      <c r="GCV38" s="612"/>
      <c r="GCW38" s="612"/>
      <c r="GCX38" s="612"/>
      <c r="GCY38" s="612"/>
      <c r="GCZ38" s="612"/>
      <c r="GDA38" s="612"/>
      <c r="GDB38" s="612"/>
      <c r="GDC38" s="612"/>
      <c r="GDD38" s="612"/>
      <c r="GDE38" s="612"/>
      <c r="GDF38" s="612"/>
      <c r="GDG38" s="612"/>
      <c r="GDH38" s="612"/>
      <c r="GDI38" s="612"/>
      <c r="GDJ38" s="612"/>
      <c r="GDK38" s="612"/>
      <c r="GDL38" s="612"/>
      <c r="GDM38" s="612"/>
      <c r="GDN38" s="612"/>
      <c r="GDO38" s="612"/>
      <c r="GDP38" s="612"/>
      <c r="GDQ38" s="612"/>
      <c r="GDR38" s="612"/>
      <c r="GDS38" s="612"/>
      <c r="GDT38" s="612"/>
      <c r="GDU38" s="612"/>
      <c r="GDV38" s="612"/>
      <c r="GDW38" s="612"/>
      <c r="GDX38" s="612"/>
      <c r="GDY38" s="612"/>
      <c r="GDZ38" s="612"/>
      <c r="GEA38" s="612"/>
      <c r="GEB38" s="612"/>
      <c r="GEC38" s="612"/>
      <c r="GED38" s="612"/>
      <c r="GEE38" s="612"/>
      <c r="GEF38" s="612"/>
      <c r="GEG38" s="612"/>
      <c r="GEH38" s="612"/>
      <c r="GEI38" s="612"/>
      <c r="GEJ38" s="612"/>
      <c r="GEK38" s="612"/>
      <c r="GEL38" s="612"/>
      <c r="GEM38" s="612"/>
      <c r="GEN38" s="612"/>
      <c r="GEO38" s="612"/>
      <c r="GEP38" s="612"/>
      <c r="GEQ38" s="612"/>
      <c r="GER38" s="612"/>
      <c r="GES38" s="612"/>
      <c r="GET38" s="612"/>
      <c r="GEU38" s="612"/>
      <c r="GEV38" s="612"/>
      <c r="GEW38" s="612"/>
      <c r="GEX38" s="612"/>
      <c r="GEY38" s="612"/>
      <c r="GEZ38" s="612"/>
      <c r="GFA38" s="612"/>
      <c r="GFB38" s="612"/>
      <c r="GFC38" s="612"/>
      <c r="GFD38" s="612"/>
      <c r="GFE38" s="612"/>
      <c r="GFF38" s="612"/>
      <c r="GFG38" s="612"/>
      <c r="GFH38" s="612"/>
      <c r="GFI38" s="612"/>
      <c r="GFJ38" s="612"/>
      <c r="GFK38" s="612"/>
      <c r="GFL38" s="612"/>
      <c r="GFM38" s="612"/>
      <c r="GFN38" s="612"/>
      <c r="GFO38" s="612"/>
      <c r="GFP38" s="612"/>
      <c r="GFQ38" s="612"/>
      <c r="GFR38" s="612"/>
      <c r="GFS38" s="612"/>
      <c r="GFT38" s="612"/>
      <c r="GFU38" s="612"/>
      <c r="GFV38" s="612"/>
      <c r="GFW38" s="612"/>
      <c r="GFX38" s="612"/>
      <c r="GFY38" s="612"/>
      <c r="GFZ38" s="612"/>
      <c r="GGA38" s="612"/>
      <c r="GGB38" s="612"/>
      <c r="GGC38" s="612"/>
      <c r="GGD38" s="612"/>
      <c r="GGE38" s="612"/>
      <c r="GGF38" s="612"/>
      <c r="GGG38" s="612"/>
      <c r="GGH38" s="612"/>
      <c r="GGI38" s="612"/>
      <c r="GGJ38" s="612"/>
      <c r="GGK38" s="612"/>
      <c r="GGL38" s="612"/>
      <c r="GGM38" s="612"/>
      <c r="GGN38" s="612"/>
      <c r="GGO38" s="612"/>
      <c r="GGP38" s="612"/>
      <c r="GGQ38" s="612"/>
      <c r="GGR38" s="612"/>
      <c r="GGS38" s="612"/>
      <c r="GGT38" s="612"/>
      <c r="GGU38" s="612"/>
      <c r="GGV38" s="612"/>
      <c r="GGW38" s="612"/>
      <c r="GGX38" s="612"/>
      <c r="GGY38" s="612"/>
      <c r="GGZ38" s="612"/>
      <c r="GHA38" s="612"/>
      <c r="GHB38" s="612"/>
      <c r="GHC38" s="612"/>
      <c r="GHD38" s="612"/>
      <c r="GHE38" s="612"/>
      <c r="GHF38" s="612"/>
      <c r="GHG38" s="612"/>
      <c r="GHH38" s="612"/>
      <c r="GHI38" s="612"/>
      <c r="GHJ38" s="612"/>
      <c r="GHK38" s="612"/>
      <c r="GHL38" s="612"/>
      <c r="GHM38" s="612"/>
      <c r="GHN38" s="612"/>
      <c r="GHO38" s="612"/>
      <c r="GHP38" s="612"/>
      <c r="GHQ38" s="612"/>
      <c r="GHR38" s="612"/>
      <c r="GHS38" s="612"/>
      <c r="GHT38" s="612"/>
      <c r="GHU38" s="612"/>
      <c r="GHV38" s="612"/>
      <c r="GHW38" s="612"/>
      <c r="GHX38" s="612"/>
      <c r="GHY38" s="612"/>
      <c r="GHZ38" s="612"/>
      <c r="GIA38" s="612"/>
      <c r="GIB38" s="612"/>
      <c r="GIC38" s="612"/>
      <c r="GID38" s="612"/>
      <c r="GIE38" s="612"/>
      <c r="GIF38" s="612"/>
      <c r="GIG38" s="612"/>
      <c r="GIH38" s="612"/>
      <c r="GII38" s="612"/>
      <c r="GIJ38" s="612"/>
      <c r="GIK38" s="612"/>
      <c r="GIL38" s="612"/>
      <c r="GIM38" s="612"/>
      <c r="GIN38" s="612"/>
      <c r="GIO38" s="612"/>
      <c r="GIP38" s="612"/>
      <c r="GIQ38" s="612"/>
      <c r="GIR38" s="612"/>
      <c r="GIS38" s="612"/>
      <c r="GIT38" s="612"/>
      <c r="GIU38" s="612"/>
      <c r="GIV38" s="612"/>
      <c r="GIW38" s="612"/>
      <c r="GIX38" s="612"/>
      <c r="GIY38" s="612"/>
      <c r="GIZ38" s="612"/>
      <c r="GJA38" s="612"/>
      <c r="GJB38" s="612"/>
      <c r="GJC38" s="612"/>
      <c r="GJD38" s="612"/>
      <c r="GJE38" s="612"/>
      <c r="GJF38" s="612"/>
      <c r="GJG38" s="612"/>
      <c r="GJH38" s="612"/>
      <c r="GJI38" s="612"/>
      <c r="GJJ38" s="612"/>
      <c r="GJK38" s="612"/>
      <c r="GJL38" s="612"/>
      <c r="GJM38" s="612"/>
      <c r="GJN38" s="612"/>
      <c r="GJO38" s="612"/>
      <c r="GJP38" s="612"/>
      <c r="GJQ38" s="612"/>
      <c r="GJR38" s="612"/>
      <c r="GJS38" s="612"/>
      <c r="GJT38" s="612"/>
      <c r="GJU38" s="612"/>
      <c r="GJV38" s="612"/>
      <c r="GJW38" s="612"/>
      <c r="GJX38" s="612"/>
      <c r="GJY38" s="612"/>
      <c r="GJZ38" s="612"/>
      <c r="GKA38" s="612"/>
      <c r="GKB38" s="612"/>
      <c r="GKC38" s="612"/>
      <c r="GKD38" s="612"/>
      <c r="GKE38" s="612"/>
      <c r="GKF38" s="612"/>
      <c r="GKG38" s="612"/>
      <c r="GKH38" s="612"/>
      <c r="GKI38" s="612"/>
      <c r="GKJ38" s="612"/>
      <c r="GKK38" s="612"/>
      <c r="GKL38" s="612"/>
      <c r="GKM38" s="612"/>
      <c r="GKN38" s="612"/>
      <c r="GKO38" s="612"/>
      <c r="GKP38" s="612"/>
      <c r="GKQ38" s="612"/>
      <c r="GKR38" s="612"/>
      <c r="GKS38" s="612"/>
      <c r="GKT38" s="612"/>
      <c r="GKU38" s="612"/>
      <c r="GKV38" s="612"/>
      <c r="GKW38" s="612"/>
      <c r="GKX38" s="612"/>
      <c r="GKY38" s="612"/>
      <c r="GKZ38" s="612"/>
      <c r="GLA38" s="612"/>
      <c r="GLB38" s="612"/>
      <c r="GLC38" s="612"/>
      <c r="GLD38" s="612"/>
      <c r="GLE38" s="612"/>
      <c r="GLF38" s="612"/>
      <c r="GLG38" s="612"/>
      <c r="GLH38" s="612"/>
      <c r="GLI38" s="612"/>
      <c r="GLJ38" s="612"/>
      <c r="GLK38" s="612"/>
      <c r="GLL38" s="612"/>
      <c r="GLM38" s="612"/>
      <c r="GLN38" s="612"/>
      <c r="GLO38" s="612"/>
      <c r="GLP38" s="612"/>
      <c r="GLQ38" s="612"/>
      <c r="GLR38" s="612"/>
      <c r="GLS38" s="612"/>
      <c r="GLT38" s="612"/>
      <c r="GLU38" s="612"/>
      <c r="GLV38" s="612"/>
      <c r="GLW38" s="612"/>
      <c r="GLX38" s="612"/>
      <c r="GLY38" s="612"/>
      <c r="GLZ38" s="612"/>
      <c r="GMA38" s="612"/>
      <c r="GMB38" s="612"/>
      <c r="GMC38" s="612"/>
      <c r="GMD38" s="612"/>
      <c r="GME38" s="612"/>
      <c r="GMF38" s="612"/>
      <c r="GMG38" s="612"/>
      <c r="GMH38" s="612"/>
      <c r="GMI38" s="612"/>
      <c r="GMJ38" s="612"/>
      <c r="GMK38" s="612"/>
      <c r="GML38" s="612"/>
      <c r="GMM38" s="612"/>
      <c r="GMN38" s="612"/>
      <c r="GMO38" s="612"/>
      <c r="GMP38" s="612"/>
      <c r="GMQ38" s="612"/>
      <c r="GMR38" s="612"/>
      <c r="GMS38" s="612"/>
      <c r="GMT38" s="612"/>
      <c r="GMU38" s="612"/>
      <c r="GMV38" s="612"/>
      <c r="GMW38" s="612"/>
      <c r="GMX38" s="612"/>
      <c r="GMY38" s="612"/>
      <c r="GMZ38" s="612"/>
      <c r="GNA38" s="612"/>
      <c r="GNB38" s="612"/>
      <c r="GNC38" s="612"/>
      <c r="GND38" s="612"/>
      <c r="GNE38" s="612"/>
      <c r="GNF38" s="612"/>
      <c r="GNG38" s="612"/>
      <c r="GNH38" s="612"/>
      <c r="GNI38" s="612"/>
      <c r="GNJ38" s="612"/>
      <c r="GNK38" s="612"/>
      <c r="GNL38" s="612"/>
      <c r="GNM38" s="612"/>
      <c r="GNN38" s="612"/>
      <c r="GNO38" s="612"/>
      <c r="GNP38" s="612"/>
      <c r="GNQ38" s="612"/>
      <c r="GNR38" s="612"/>
      <c r="GNS38" s="612"/>
      <c r="GNT38" s="612"/>
      <c r="GNU38" s="612"/>
      <c r="GNV38" s="612"/>
      <c r="GNW38" s="612"/>
      <c r="GNX38" s="612"/>
      <c r="GNY38" s="612"/>
      <c r="GNZ38" s="612"/>
      <c r="GOA38" s="612"/>
      <c r="GOB38" s="612"/>
      <c r="GOC38" s="612"/>
      <c r="GOD38" s="612"/>
      <c r="GOE38" s="612"/>
      <c r="GOF38" s="612"/>
      <c r="GOG38" s="612"/>
      <c r="GOH38" s="612"/>
      <c r="GOI38" s="612"/>
      <c r="GOJ38" s="612"/>
      <c r="GOK38" s="612"/>
      <c r="GOL38" s="612"/>
      <c r="GOM38" s="612"/>
      <c r="GON38" s="612"/>
      <c r="GOO38" s="612"/>
      <c r="GOP38" s="612"/>
      <c r="GOQ38" s="612"/>
      <c r="GOR38" s="612"/>
      <c r="GOS38" s="612"/>
      <c r="GOT38" s="612"/>
      <c r="GOU38" s="612"/>
      <c r="GOV38" s="612"/>
      <c r="GOW38" s="612"/>
      <c r="GOX38" s="612"/>
      <c r="GOY38" s="612"/>
      <c r="GOZ38" s="612"/>
      <c r="GPA38" s="612"/>
      <c r="GPB38" s="612"/>
      <c r="GPC38" s="612"/>
      <c r="GPD38" s="612"/>
      <c r="GPE38" s="612"/>
      <c r="GPF38" s="612"/>
      <c r="GPG38" s="612"/>
      <c r="GPH38" s="612"/>
      <c r="GPI38" s="612"/>
      <c r="GPJ38" s="612"/>
      <c r="GPK38" s="612"/>
      <c r="GPL38" s="612"/>
      <c r="GPM38" s="612"/>
      <c r="GPN38" s="612"/>
      <c r="GPO38" s="612"/>
      <c r="GPP38" s="612"/>
      <c r="GPQ38" s="612"/>
      <c r="GPR38" s="612"/>
      <c r="GPS38" s="612"/>
      <c r="GPT38" s="612"/>
      <c r="GPU38" s="612"/>
      <c r="GPV38" s="612"/>
      <c r="GPW38" s="612"/>
      <c r="GPX38" s="612"/>
      <c r="GPY38" s="612"/>
      <c r="GPZ38" s="612"/>
      <c r="GQA38" s="612"/>
      <c r="GQB38" s="612"/>
      <c r="GQC38" s="612"/>
      <c r="GQD38" s="612"/>
      <c r="GQE38" s="612"/>
      <c r="GQF38" s="612"/>
      <c r="GQG38" s="612"/>
      <c r="GQH38" s="612"/>
      <c r="GQI38" s="612"/>
      <c r="GQJ38" s="612"/>
      <c r="GQK38" s="612"/>
      <c r="GQL38" s="612"/>
      <c r="GQM38" s="612"/>
      <c r="GQN38" s="612"/>
      <c r="GQO38" s="612"/>
      <c r="GQP38" s="612"/>
      <c r="GQQ38" s="612"/>
      <c r="GQR38" s="612"/>
      <c r="GQS38" s="612"/>
      <c r="GQT38" s="612"/>
      <c r="GQU38" s="612"/>
      <c r="GQV38" s="612"/>
      <c r="GQW38" s="612"/>
      <c r="GQX38" s="612"/>
      <c r="GQY38" s="612"/>
      <c r="GQZ38" s="612"/>
      <c r="GRA38" s="612"/>
      <c r="GRB38" s="612"/>
      <c r="GRC38" s="612"/>
      <c r="GRD38" s="612"/>
      <c r="GRE38" s="612"/>
      <c r="GRF38" s="612"/>
      <c r="GRG38" s="612"/>
      <c r="GRH38" s="612"/>
      <c r="GRI38" s="612"/>
      <c r="GRJ38" s="612"/>
      <c r="GRK38" s="612"/>
      <c r="GRL38" s="612"/>
      <c r="GRM38" s="612"/>
      <c r="GRN38" s="612"/>
      <c r="GRO38" s="612"/>
      <c r="GRP38" s="612"/>
      <c r="GRQ38" s="612"/>
      <c r="GRR38" s="612"/>
      <c r="GRS38" s="612"/>
      <c r="GRT38" s="612"/>
      <c r="GRU38" s="612"/>
      <c r="GRV38" s="612"/>
      <c r="GRW38" s="612"/>
      <c r="GRX38" s="612"/>
      <c r="GRY38" s="612"/>
      <c r="GRZ38" s="612"/>
      <c r="GSA38" s="612"/>
      <c r="GSB38" s="612"/>
      <c r="GSC38" s="612"/>
      <c r="GSD38" s="612"/>
      <c r="GSE38" s="612"/>
      <c r="GSF38" s="612"/>
      <c r="GSG38" s="612"/>
      <c r="GSH38" s="612"/>
      <c r="GSI38" s="612"/>
      <c r="GSJ38" s="612"/>
      <c r="GSK38" s="612"/>
      <c r="GSL38" s="612"/>
      <c r="GSM38" s="612"/>
      <c r="GSN38" s="612"/>
      <c r="GSO38" s="612"/>
      <c r="GSP38" s="612"/>
      <c r="GSQ38" s="612"/>
      <c r="GSR38" s="612"/>
      <c r="GSS38" s="612"/>
      <c r="GST38" s="612"/>
      <c r="GSU38" s="612"/>
      <c r="GSV38" s="612"/>
      <c r="GSW38" s="612"/>
      <c r="GSX38" s="612"/>
      <c r="GSY38" s="612"/>
      <c r="GSZ38" s="612"/>
      <c r="GTA38" s="612"/>
      <c r="GTB38" s="612"/>
      <c r="GTC38" s="612"/>
      <c r="GTD38" s="612"/>
      <c r="GTE38" s="612"/>
      <c r="GTF38" s="612"/>
      <c r="GTG38" s="612"/>
      <c r="GTH38" s="612"/>
      <c r="GTI38" s="612"/>
      <c r="GTJ38" s="612"/>
      <c r="GTK38" s="612"/>
      <c r="GTL38" s="612"/>
      <c r="GTM38" s="612"/>
      <c r="GTN38" s="612"/>
      <c r="GTO38" s="612"/>
      <c r="GTP38" s="612"/>
      <c r="GTQ38" s="612"/>
      <c r="GTR38" s="612"/>
      <c r="GTS38" s="612"/>
      <c r="GTT38" s="612"/>
      <c r="GTU38" s="612"/>
      <c r="GTV38" s="612"/>
      <c r="GTW38" s="612"/>
      <c r="GTX38" s="612"/>
      <c r="GTY38" s="612"/>
      <c r="GTZ38" s="612"/>
      <c r="GUA38" s="612"/>
      <c r="GUB38" s="612"/>
      <c r="GUC38" s="612"/>
      <c r="GUD38" s="612"/>
      <c r="GUE38" s="612"/>
      <c r="GUF38" s="612"/>
      <c r="GUG38" s="612"/>
      <c r="GUH38" s="612"/>
      <c r="GUI38" s="612"/>
      <c r="GUJ38" s="612"/>
      <c r="GUK38" s="612"/>
      <c r="GUL38" s="612"/>
      <c r="GUM38" s="612"/>
      <c r="GUN38" s="612"/>
      <c r="GUO38" s="612"/>
      <c r="GUP38" s="612"/>
      <c r="GUQ38" s="612"/>
      <c r="GUR38" s="612"/>
      <c r="GUS38" s="612"/>
      <c r="GUT38" s="612"/>
      <c r="GUU38" s="612"/>
      <c r="GUV38" s="612"/>
      <c r="GUW38" s="612"/>
      <c r="GUX38" s="612"/>
      <c r="GUY38" s="612"/>
      <c r="GUZ38" s="612"/>
      <c r="GVA38" s="612"/>
      <c r="GVB38" s="612"/>
      <c r="GVC38" s="612"/>
      <c r="GVD38" s="612"/>
      <c r="GVE38" s="612"/>
      <c r="GVF38" s="612"/>
      <c r="GVG38" s="612"/>
      <c r="GVH38" s="612"/>
      <c r="GVI38" s="612"/>
      <c r="GVJ38" s="612"/>
      <c r="GVK38" s="612"/>
      <c r="GVL38" s="612"/>
      <c r="GVM38" s="612"/>
      <c r="GVN38" s="612"/>
      <c r="GVO38" s="612"/>
      <c r="GVP38" s="612"/>
      <c r="GVQ38" s="612"/>
      <c r="GVR38" s="612"/>
      <c r="GVS38" s="612"/>
      <c r="GVT38" s="612"/>
      <c r="GVU38" s="612"/>
      <c r="GVV38" s="612"/>
      <c r="GVW38" s="612"/>
      <c r="GVX38" s="612"/>
      <c r="GVY38" s="612"/>
      <c r="GVZ38" s="612"/>
      <c r="GWA38" s="612"/>
      <c r="GWB38" s="612"/>
      <c r="GWC38" s="612"/>
      <c r="GWD38" s="612"/>
      <c r="GWE38" s="612"/>
      <c r="GWF38" s="612"/>
      <c r="GWG38" s="612"/>
      <c r="GWH38" s="612"/>
      <c r="GWI38" s="612"/>
      <c r="GWJ38" s="612"/>
      <c r="GWK38" s="612"/>
      <c r="GWL38" s="612"/>
      <c r="GWM38" s="612"/>
      <c r="GWN38" s="612"/>
      <c r="GWO38" s="612"/>
      <c r="GWP38" s="612"/>
      <c r="GWQ38" s="612"/>
      <c r="GWR38" s="612"/>
      <c r="GWS38" s="612"/>
      <c r="GWT38" s="612"/>
      <c r="GWU38" s="612"/>
      <c r="GWV38" s="612"/>
      <c r="GWW38" s="612"/>
      <c r="GWX38" s="612"/>
      <c r="GWY38" s="612"/>
      <c r="GWZ38" s="612"/>
      <c r="GXA38" s="612"/>
      <c r="GXB38" s="612"/>
      <c r="GXC38" s="612"/>
      <c r="GXD38" s="612"/>
      <c r="GXE38" s="612"/>
      <c r="GXF38" s="612"/>
      <c r="GXG38" s="612"/>
      <c r="GXH38" s="612"/>
      <c r="GXI38" s="612"/>
      <c r="GXJ38" s="612"/>
      <c r="GXK38" s="612"/>
      <c r="GXL38" s="612"/>
      <c r="GXM38" s="612"/>
      <c r="GXN38" s="612"/>
      <c r="GXO38" s="612"/>
      <c r="GXP38" s="612"/>
      <c r="GXQ38" s="612"/>
      <c r="GXR38" s="612"/>
      <c r="GXS38" s="612"/>
      <c r="GXT38" s="612"/>
      <c r="GXU38" s="612"/>
      <c r="GXV38" s="612"/>
      <c r="GXW38" s="612"/>
      <c r="GXX38" s="612"/>
      <c r="GXY38" s="612"/>
      <c r="GXZ38" s="612"/>
      <c r="GYA38" s="612"/>
      <c r="GYB38" s="612"/>
      <c r="GYC38" s="612"/>
      <c r="GYD38" s="612"/>
      <c r="GYE38" s="612"/>
      <c r="GYF38" s="612"/>
      <c r="GYG38" s="612"/>
      <c r="GYH38" s="612"/>
      <c r="GYI38" s="612"/>
      <c r="GYJ38" s="612"/>
      <c r="GYK38" s="612"/>
      <c r="GYL38" s="612"/>
      <c r="GYM38" s="612"/>
      <c r="GYN38" s="612"/>
      <c r="GYO38" s="612"/>
      <c r="GYP38" s="612"/>
      <c r="GYQ38" s="612"/>
      <c r="GYR38" s="612"/>
      <c r="GYS38" s="612"/>
      <c r="GYT38" s="612"/>
      <c r="GYU38" s="612"/>
      <c r="GYV38" s="612"/>
      <c r="GYW38" s="612"/>
      <c r="GYX38" s="612"/>
      <c r="GYY38" s="612"/>
      <c r="GYZ38" s="612"/>
      <c r="GZA38" s="612"/>
      <c r="GZB38" s="612"/>
      <c r="GZC38" s="612"/>
      <c r="GZD38" s="612"/>
      <c r="GZE38" s="612"/>
      <c r="GZF38" s="612"/>
      <c r="GZG38" s="612"/>
      <c r="GZH38" s="612"/>
      <c r="GZI38" s="612"/>
      <c r="GZJ38" s="612"/>
      <c r="GZK38" s="612"/>
      <c r="GZL38" s="612"/>
      <c r="GZM38" s="612"/>
      <c r="GZN38" s="612"/>
      <c r="GZO38" s="612"/>
      <c r="GZP38" s="612"/>
      <c r="GZQ38" s="612"/>
      <c r="GZR38" s="612"/>
      <c r="GZS38" s="612"/>
      <c r="GZT38" s="612"/>
      <c r="GZU38" s="612"/>
      <c r="GZV38" s="612"/>
      <c r="GZW38" s="612"/>
      <c r="GZX38" s="612"/>
      <c r="GZY38" s="612"/>
      <c r="GZZ38" s="612"/>
      <c r="HAA38" s="612"/>
      <c r="HAB38" s="612"/>
      <c r="HAC38" s="612"/>
      <c r="HAD38" s="612"/>
      <c r="HAE38" s="612"/>
      <c r="HAF38" s="612"/>
      <c r="HAG38" s="612"/>
      <c r="HAH38" s="612"/>
      <c r="HAI38" s="612"/>
      <c r="HAJ38" s="612"/>
      <c r="HAK38" s="612"/>
      <c r="HAL38" s="612"/>
      <c r="HAM38" s="612"/>
      <c r="HAN38" s="612"/>
      <c r="HAO38" s="612"/>
      <c r="HAP38" s="612"/>
      <c r="HAQ38" s="612"/>
      <c r="HAR38" s="612"/>
      <c r="HAS38" s="612"/>
      <c r="HAT38" s="612"/>
      <c r="HAU38" s="612"/>
      <c r="HAV38" s="612"/>
      <c r="HAW38" s="612"/>
      <c r="HAX38" s="612"/>
      <c r="HAY38" s="612"/>
      <c r="HAZ38" s="612"/>
      <c r="HBA38" s="612"/>
      <c r="HBB38" s="612"/>
      <c r="HBC38" s="612"/>
      <c r="HBD38" s="612"/>
      <c r="HBE38" s="612"/>
      <c r="HBF38" s="612"/>
      <c r="HBG38" s="612"/>
      <c r="HBH38" s="612"/>
      <c r="HBI38" s="612"/>
      <c r="HBJ38" s="612"/>
      <c r="HBK38" s="612"/>
      <c r="HBL38" s="612"/>
      <c r="HBM38" s="612"/>
      <c r="HBN38" s="612"/>
      <c r="HBO38" s="612"/>
      <c r="HBP38" s="612"/>
      <c r="HBQ38" s="612"/>
      <c r="HBR38" s="612"/>
      <c r="HBS38" s="612"/>
      <c r="HBT38" s="612"/>
      <c r="HBU38" s="612"/>
      <c r="HBV38" s="612"/>
      <c r="HBW38" s="612"/>
      <c r="HBX38" s="612"/>
      <c r="HBY38" s="612"/>
      <c r="HBZ38" s="612"/>
      <c r="HCA38" s="612"/>
      <c r="HCB38" s="612"/>
      <c r="HCC38" s="612"/>
      <c r="HCD38" s="612"/>
      <c r="HCE38" s="612"/>
      <c r="HCF38" s="612"/>
      <c r="HCG38" s="612"/>
      <c r="HCH38" s="612"/>
      <c r="HCI38" s="612"/>
      <c r="HCJ38" s="612"/>
      <c r="HCK38" s="612"/>
      <c r="HCL38" s="612"/>
      <c r="HCM38" s="612"/>
      <c r="HCN38" s="612"/>
      <c r="HCO38" s="612"/>
      <c r="HCP38" s="612"/>
      <c r="HCQ38" s="612"/>
      <c r="HCR38" s="612"/>
      <c r="HCS38" s="612"/>
      <c r="HCT38" s="612"/>
      <c r="HCU38" s="612"/>
      <c r="HCV38" s="612"/>
      <c r="HCW38" s="612"/>
      <c r="HCX38" s="612"/>
      <c r="HCY38" s="612"/>
      <c r="HCZ38" s="612"/>
      <c r="HDA38" s="612"/>
      <c r="HDB38" s="612"/>
      <c r="HDC38" s="612"/>
      <c r="HDD38" s="612"/>
      <c r="HDE38" s="612"/>
      <c r="HDF38" s="612"/>
      <c r="HDG38" s="612"/>
      <c r="HDH38" s="612"/>
      <c r="HDI38" s="612"/>
      <c r="HDJ38" s="612"/>
      <c r="HDK38" s="612"/>
      <c r="HDL38" s="612"/>
      <c r="HDM38" s="612"/>
      <c r="HDN38" s="612"/>
      <c r="HDO38" s="612"/>
      <c r="HDP38" s="612"/>
      <c r="HDQ38" s="612"/>
      <c r="HDR38" s="612"/>
      <c r="HDS38" s="612"/>
      <c r="HDT38" s="612"/>
      <c r="HDU38" s="612"/>
      <c r="HDV38" s="612"/>
      <c r="HDW38" s="612"/>
      <c r="HDX38" s="612"/>
      <c r="HDY38" s="612"/>
      <c r="HDZ38" s="612"/>
      <c r="HEA38" s="612"/>
      <c r="HEB38" s="612"/>
      <c r="HEC38" s="612"/>
      <c r="HED38" s="612"/>
      <c r="HEE38" s="612"/>
      <c r="HEF38" s="612"/>
      <c r="HEG38" s="612"/>
      <c r="HEH38" s="612"/>
      <c r="HEI38" s="612"/>
      <c r="HEJ38" s="612"/>
      <c r="HEK38" s="612"/>
      <c r="HEL38" s="612"/>
      <c r="HEM38" s="612"/>
      <c r="HEN38" s="612"/>
      <c r="HEO38" s="612"/>
      <c r="HEP38" s="612"/>
      <c r="HEQ38" s="612"/>
      <c r="HER38" s="612"/>
      <c r="HES38" s="612"/>
      <c r="HET38" s="612"/>
      <c r="HEU38" s="612"/>
      <c r="HEV38" s="612"/>
      <c r="HEW38" s="612"/>
      <c r="HEX38" s="612"/>
      <c r="HEY38" s="612"/>
      <c r="HEZ38" s="612"/>
      <c r="HFA38" s="612"/>
      <c r="HFB38" s="612"/>
      <c r="HFC38" s="612"/>
      <c r="HFD38" s="612"/>
      <c r="HFE38" s="612"/>
      <c r="HFF38" s="612"/>
      <c r="HFG38" s="612"/>
      <c r="HFH38" s="612"/>
      <c r="HFI38" s="612"/>
      <c r="HFJ38" s="612"/>
      <c r="HFK38" s="612"/>
      <c r="HFL38" s="612"/>
      <c r="HFM38" s="612"/>
      <c r="HFN38" s="612"/>
      <c r="HFO38" s="612"/>
      <c r="HFP38" s="612"/>
      <c r="HFQ38" s="612"/>
      <c r="HFR38" s="612"/>
      <c r="HFS38" s="612"/>
      <c r="HFT38" s="612"/>
      <c r="HFU38" s="612"/>
      <c r="HFV38" s="612"/>
      <c r="HFW38" s="612"/>
      <c r="HFX38" s="612"/>
      <c r="HFY38" s="612"/>
      <c r="HFZ38" s="612"/>
      <c r="HGA38" s="612"/>
      <c r="HGB38" s="612"/>
      <c r="HGC38" s="612"/>
      <c r="HGD38" s="612"/>
      <c r="HGE38" s="612"/>
      <c r="HGF38" s="612"/>
      <c r="HGG38" s="612"/>
      <c r="HGH38" s="612"/>
      <c r="HGI38" s="612"/>
      <c r="HGJ38" s="612"/>
      <c r="HGK38" s="612"/>
      <c r="HGL38" s="612"/>
      <c r="HGM38" s="612"/>
      <c r="HGN38" s="612"/>
      <c r="HGO38" s="612"/>
      <c r="HGP38" s="612"/>
      <c r="HGQ38" s="612"/>
      <c r="HGR38" s="612"/>
      <c r="HGS38" s="612"/>
      <c r="HGT38" s="612"/>
      <c r="HGU38" s="612"/>
      <c r="HGV38" s="612"/>
      <c r="HGW38" s="612"/>
      <c r="HGX38" s="612"/>
      <c r="HGY38" s="612"/>
      <c r="HGZ38" s="612"/>
      <c r="HHA38" s="612"/>
      <c r="HHB38" s="612"/>
      <c r="HHC38" s="612"/>
      <c r="HHD38" s="612"/>
      <c r="HHE38" s="612"/>
      <c r="HHF38" s="612"/>
      <c r="HHG38" s="612"/>
      <c r="HHH38" s="612"/>
      <c r="HHI38" s="612"/>
      <c r="HHJ38" s="612"/>
      <c r="HHK38" s="612"/>
      <c r="HHL38" s="612"/>
      <c r="HHM38" s="612"/>
      <c r="HHN38" s="612"/>
      <c r="HHO38" s="612"/>
      <c r="HHP38" s="612"/>
      <c r="HHQ38" s="612"/>
      <c r="HHR38" s="612"/>
      <c r="HHS38" s="612"/>
      <c r="HHT38" s="612"/>
      <c r="HHU38" s="612"/>
      <c r="HHV38" s="612"/>
      <c r="HHW38" s="612"/>
      <c r="HHX38" s="612"/>
      <c r="HHY38" s="612"/>
      <c r="HHZ38" s="612"/>
      <c r="HIA38" s="612"/>
      <c r="HIB38" s="612"/>
      <c r="HIC38" s="612"/>
      <c r="HID38" s="612"/>
      <c r="HIE38" s="612"/>
      <c r="HIF38" s="612"/>
      <c r="HIG38" s="612"/>
      <c r="HIH38" s="612"/>
      <c r="HII38" s="612"/>
      <c r="HIJ38" s="612"/>
      <c r="HIK38" s="612"/>
      <c r="HIL38" s="612"/>
      <c r="HIM38" s="612"/>
      <c r="HIN38" s="612"/>
      <c r="HIO38" s="612"/>
      <c r="HIP38" s="612"/>
      <c r="HIQ38" s="612"/>
      <c r="HIR38" s="612"/>
      <c r="HIS38" s="612"/>
      <c r="HIT38" s="612"/>
      <c r="HIU38" s="612"/>
      <c r="HIV38" s="612"/>
      <c r="HIW38" s="612"/>
      <c r="HIX38" s="612"/>
      <c r="HIY38" s="612"/>
      <c r="HIZ38" s="612"/>
      <c r="HJA38" s="612"/>
      <c r="HJB38" s="612"/>
      <c r="HJC38" s="612"/>
      <c r="HJD38" s="612"/>
      <c r="HJE38" s="612"/>
      <c r="HJF38" s="612"/>
      <c r="HJG38" s="612"/>
      <c r="HJH38" s="612"/>
      <c r="HJI38" s="612"/>
      <c r="HJJ38" s="612"/>
      <c r="HJK38" s="612"/>
      <c r="HJL38" s="612"/>
      <c r="HJM38" s="612"/>
      <c r="HJN38" s="612"/>
      <c r="HJO38" s="612"/>
      <c r="HJP38" s="612"/>
      <c r="HJQ38" s="612"/>
      <c r="HJR38" s="612"/>
      <c r="HJS38" s="612"/>
      <c r="HJT38" s="612"/>
      <c r="HJU38" s="612"/>
      <c r="HJV38" s="612"/>
      <c r="HJW38" s="612"/>
      <c r="HJX38" s="612"/>
      <c r="HJY38" s="612"/>
      <c r="HJZ38" s="612"/>
      <c r="HKA38" s="612"/>
      <c r="HKB38" s="612"/>
      <c r="HKC38" s="612"/>
      <c r="HKD38" s="612"/>
      <c r="HKE38" s="612"/>
      <c r="HKF38" s="612"/>
      <c r="HKG38" s="612"/>
      <c r="HKH38" s="612"/>
      <c r="HKI38" s="612"/>
      <c r="HKJ38" s="612"/>
      <c r="HKK38" s="612"/>
      <c r="HKL38" s="612"/>
      <c r="HKM38" s="612"/>
      <c r="HKN38" s="612"/>
      <c r="HKO38" s="612"/>
      <c r="HKP38" s="612"/>
      <c r="HKQ38" s="612"/>
      <c r="HKR38" s="612"/>
      <c r="HKS38" s="612"/>
      <c r="HKT38" s="612"/>
      <c r="HKU38" s="612"/>
      <c r="HKV38" s="612"/>
      <c r="HKW38" s="612"/>
      <c r="HKX38" s="612"/>
      <c r="HKY38" s="612"/>
      <c r="HKZ38" s="612"/>
      <c r="HLA38" s="612"/>
      <c r="HLB38" s="612"/>
      <c r="HLC38" s="612"/>
      <c r="HLD38" s="612"/>
      <c r="HLE38" s="612"/>
      <c r="HLF38" s="612"/>
      <c r="HLG38" s="612"/>
      <c r="HLH38" s="612"/>
      <c r="HLI38" s="612"/>
      <c r="HLJ38" s="612"/>
      <c r="HLK38" s="612"/>
      <c r="HLL38" s="612"/>
      <c r="HLM38" s="612"/>
      <c r="HLN38" s="612"/>
      <c r="HLO38" s="612"/>
      <c r="HLP38" s="612"/>
      <c r="HLQ38" s="612"/>
      <c r="HLR38" s="612"/>
      <c r="HLS38" s="612"/>
      <c r="HLT38" s="612"/>
      <c r="HLU38" s="612"/>
      <c r="HLV38" s="612"/>
      <c r="HLW38" s="612"/>
      <c r="HLX38" s="612"/>
      <c r="HLY38" s="612"/>
      <c r="HLZ38" s="612"/>
      <c r="HMA38" s="612"/>
      <c r="HMB38" s="612"/>
      <c r="HMC38" s="612"/>
      <c r="HMD38" s="612"/>
      <c r="HME38" s="612"/>
      <c r="HMF38" s="612"/>
      <c r="HMG38" s="612"/>
      <c r="HMH38" s="612"/>
      <c r="HMI38" s="612"/>
      <c r="HMJ38" s="612"/>
      <c r="HMK38" s="612"/>
      <c r="HML38" s="612"/>
      <c r="HMM38" s="612"/>
      <c r="HMN38" s="612"/>
      <c r="HMO38" s="612"/>
      <c r="HMP38" s="612"/>
      <c r="HMQ38" s="612"/>
      <c r="HMR38" s="612"/>
      <c r="HMS38" s="612"/>
      <c r="HMT38" s="612"/>
      <c r="HMU38" s="612"/>
      <c r="HMV38" s="612"/>
      <c r="HMW38" s="612"/>
      <c r="HMX38" s="612"/>
      <c r="HMY38" s="612"/>
      <c r="HMZ38" s="612"/>
      <c r="HNA38" s="612"/>
      <c r="HNB38" s="612"/>
      <c r="HNC38" s="612"/>
      <c r="HND38" s="612"/>
      <c r="HNE38" s="612"/>
      <c r="HNF38" s="612"/>
      <c r="HNG38" s="612"/>
      <c r="HNH38" s="612"/>
      <c r="HNI38" s="612"/>
      <c r="HNJ38" s="612"/>
      <c r="HNK38" s="612"/>
      <c r="HNL38" s="612"/>
      <c r="HNM38" s="612"/>
      <c r="HNN38" s="612"/>
      <c r="HNO38" s="612"/>
      <c r="HNP38" s="612"/>
      <c r="HNQ38" s="612"/>
      <c r="HNR38" s="612"/>
      <c r="HNS38" s="612"/>
      <c r="HNT38" s="612"/>
      <c r="HNU38" s="612"/>
      <c r="HNV38" s="612"/>
      <c r="HNW38" s="612"/>
      <c r="HNX38" s="612"/>
      <c r="HNY38" s="612"/>
      <c r="HNZ38" s="612"/>
      <c r="HOA38" s="612"/>
      <c r="HOB38" s="612"/>
      <c r="HOC38" s="612"/>
      <c r="HOD38" s="612"/>
      <c r="HOE38" s="612"/>
      <c r="HOF38" s="612"/>
      <c r="HOG38" s="612"/>
      <c r="HOH38" s="612"/>
      <c r="HOI38" s="612"/>
      <c r="HOJ38" s="612"/>
      <c r="HOK38" s="612"/>
      <c r="HOL38" s="612"/>
      <c r="HOM38" s="612"/>
      <c r="HON38" s="612"/>
      <c r="HOO38" s="612"/>
      <c r="HOP38" s="612"/>
      <c r="HOQ38" s="612"/>
      <c r="HOR38" s="612"/>
      <c r="HOS38" s="612"/>
      <c r="HOT38" s="612"/>
      <c r="HOU38" s="612"/>
      <c r="HOV38" s="612"/>
      <c r="HOW38" s="612"/>
      <c r="HOX38" s="612"/>
      <c r="HOY38" s="612"/>
      <c r="HOZ38" s="612"/>
      <c r="HPA38" s="612"/>
      <c r="HPB38" s="612"/>
      <c r="HPC38" s="612"/>
      <c r="HPD38" s="612"/>
      <c r="HPE38" s="612"/>
      <c r="HPF38" s="612"/>
      <c r="HPG38" s="612"/>
      <c r="HPH38" s="612"/>
      <c r="HPI38" s="612"/>
      <c r="HPJ38" s="612"/>
      <c r="HPK38" s="612"/>
      <c r="HPL38" s="612"/>
      <c r="HPM38" s="612"/>
      <c r="HPN38" s="612"/>
      <c r="HPO38" s="612"/>
      <c r="HPP38" s="612"/>
      <c r="HPQ38" s="612"/>
      <c r="HPR38" s="612"/>
      <c r="HPS38" s="612"/>
      <c r="HPT38" s="612"/>
      <c r="HPU38" s="612"/>
      <c r="HPV38" s="612"/>
      <c r="HPW38" s="612"/>
      <c r="HPX38" s="612"/>
      <c r="HPY38" s="612"/>
      <c r="HPZ38" s="612"/>
      <c r="HQA38" s="612"/>
      <c r="HQB38" s="612"/>
      <c r="HQC38" s="612"/>
      <c r="HQD38" s="612"/>
      <c r="HQE38" s="612"/>
      <c r="HQF38" s="612"/>
      <c r="HQG38" s="612"/>
      <c r="HQH38" s="612"/>
      <c r="HQI38" s="612"/>
      <c r="HQJ38" s="612"/>
      <c r="HQK38" s="612"/>
      <c r="HQL38" s="612"/>
      <c r="HQM38" s="612"/>
      <c r="HQN38" s="612"/>
      <c r="HQO38" s="612"/>
      <c r="HQP38" s="612"/>
      <c r="HQQ38" s="612"/>
      <c r="HQR38" s="612"/>
      <c r="HQS38" s="612"/>
      <c r="HQT38" s="612"/>
      <c r="HQU38" s="612"/>
      <c r="HQV38" s="612"/>
      <c r="HQW38" s="612"/>
      <c r="HQX38" s="612"/>
      <c r="HQY38" s="612"/>
      <c r="HQZ38" s="612"/>
      <c r="HRA38" s="612"/>
      <c r="HRB38" s="612"/>
      <c r="HRC38" s="612"/>
      <c r="HRD38" s="612"/>
      <c r="HRE38" s="612"/>
      <c r="HRF38" s="612"/>
      <c r="HRG38" s="612"/>
      <c r="HRH38" s="612"/>
      <c r="HRI38" s="612"/>
      <c r="HRJ38" s="612"/>
      <c r="HRK38" s="612"/>
      <c r="HRL38" s="612"/>
      <c r="HRM38" s="612"/>
      <c r="HRN38" s="612"/>
      <c r="HRO38" s="612"/>
      <c r="HRP38" s="612"/>
      <c r="HRQ38" s="612"/>
      <c r="HRR38" s="612"/>
      <c r="HRS38" s="612"/>
      <c r="HRT38" s="612"/>
      <c r="HRU38" s="612"/>
      <c r="HRV38" s="612"/>
      <c r="HRW38" s="612"/>
      <c r="HRX38" s="612"/>
      <c r="HRY38" s="612"/>
      <c r="HRZ38" s="612"/>
      <c r="HSA38" s="612"/>
      <c r="HSB38" s="612"/>
      <c r="HSC38" s="612"/>
      <c r="HSD38" s="612"/>
      <c r="HSE38" s="612"/>
      <c r="HSF38" s="612"/>
      <c r="HSG38" s="612"/>
      <c r="HSH38" s="612"/>
      <c r="HSI38" s="612"/>
      <c r="HSJ38" s="612"/>
      <c r="HSK38" s="612"/>
      <c r="HSL38" s="612"/>
      <c r="HSM38" s="612"/>
      <c r="HSN38" s="612"/>
      <c r="HSO38" s="612"/>
      <c r="HSP38" s="612"/>
      <c r="HSQ38" s="612"/>
      <c r="HSR38" s="612"/>
      <c r="HSS38" s="612"/>
      <c r="HST38" s="612"/>
      <c r="HSU38" s="612"/>
      <c r="HSV38" s="612"/>
      <c r="HSW38" s="612"/>
      <c r="HSX38" s="612"/>
      <c r="HSY38" s="612"/>
      <c r="HSZ38" s="612"/>
      <c r="HTA38" s="612"/>
      <c r="HTB38" s="612"/>
      <c r="HTC38" s="612"/>
      <c r="HTD38" s="612"/>
      <c r="HTE38" s="612"/>
      <c r="HTF38" s="612"/>
      <c r="HTG38" s="612"/>
      <c r="HTH38" s="612"/>
      <c r="HTI38" s="612"/>
      <c r="HTJ38" s="612"/>
      <c r="HTK38" s="612"/>
      <c r="HTL38" s="612"/>
      <c r="HTM38" s="612"/>
      <c r="HTN38" s="612"/>
      <c r="HTO38" s="612"/>
      <c r="HTP38" s="612"/>
      <c r="HTQ38" s="612"/>
      <c r="HTR38" s="612"/>
      <c r="HTS38" s="612"/>
      <c r="HTT38" s="612"/>
      <c r="HTU38" s="612"/>
      <c r="HTV38" s="612"/>
      <c r="HTW38" s="612"/>
      <c r="HTX38" s="612"/>
      <c r="HTY38" s="612"/>
      <c r="HTZ38" s="612"/>
      <c r="HUA38" s="612"/>
      <c r="HUB38" s="612"/>
      <c r="HUC38" s="612"/>
      <c r="HUD38" s="612"/>
      <c r="HUE38" s="612"/>
      <c r="HUF38" s="612"/>
      <c r="HUG38" s="612"/>
      <c r="HUH38" s="612"/>
      <c r="HUI38" s="612"/>
      <c r="HUJ38" s="612"/>
      <c r="HUK38" s="612"/>
      <c r="HUL38" s="612"/>
      <c r="HUM38" s="612"/>
      <c r="HUN38" s="612"/>
      <c r="HUO38" s="612"/>
      <c r="HUP38" s="612"/>
      <c r="HUQ38" s="612"/>
      <c r="HUR38" s="612"/>
      <c r="HUS38" s="612"/>
      <c r="HUT38" s="612"/>
      <c r="HUU38" s="612"/>
      <c r="HUV38" s="612"/>
      <c r="HUW38" s="612"/>
      <c r="HUX38" s="612"/>
      <c r="HUY38" s="612"/>
      <c r="HUZ38" s="612"/>
      <c r="HVA38" s="612"/>
      <c r="HVB38" s="612"/>
      <c r="HVC38" s="612"/>
      <c r="HVD38" s="612"/>
      <c r="HVE38" s="612"/>
      <c r="HVF38" s="612"/>
      <c r="HVG38" s="612"/>
      <c r="HVH38" s="612"/>
      <c r="HVI38" s="612"/>
      <c r="HVJ38" s="612"/>
      <c r="HVK38" s="612"/>
      <c r="HVL38" s="612"/>
      <c r="HVM38" s="612"/>
      <c r="HVN38" s="612"/>
      <c r="HVO38" s="612"/>
      <c r="HVP38" s="612"/>
      <c r="HVQ38" s="612"/>
      <c r="HVR38" s="612"/>
      <c r="HVS38" s="612"/>
      <c r="HVT38" s="612"/>
      <c r="HVU38" s="612"/>
      <c r="HVV38" s="612"/>
      <c r="HVW38" s="612"/>
      <c r="HVX38" s="612"/>
      <c r="HVY38" s="612"/>
      <c r="HVZ38" s="612"/>
      <c r="HWA38" s="612"/>
      <c r="HWB38" s="612"/>
      <c r="HWC38" s="612"/>
      <c r="HWD38" s="612"/>
      <c r="HWE38" s="612"/>
      <c r="HWF38" s="612"/>
      <c r="HWG38" s="612"/>
      <c r="HWH38" s="612"/>
      <c r="HWI38" s="612"/>
      <c r="HWJ38" s="612"/>
      <c r="HWK38" s="612"/>
      <c r="HWL38" s="612"/>
      <c r="HWM38" s="612"/>
      <c r="HWN38" s="612"/>
      <c r="HWO38" s="612"/>
      <c r="HWP38" s="612"/>
      <c r="HWQ38" s="612"/>
      <c r="HWR38" s="612"/>
      <c r="HWS38" s="612"/>
      <c r="HWT38" s="612"/>
      <c r="HWU38" s="612"/>
      <c r="HWV38" s="612"/>
      <c r="HWW38" s="612"/>
      <c r="HWX38" s="612"/>
      <c r="HWY38" s="612"/>
      <c r="HWZ38" s="612"/>
      <c r="HXA38" s="612"/>
      <c r="HXB38" s="612"/>
      <c r="HXC38" s="612"/>
      <c r="HXD38" s="612"/>
      <c r="HXE38" s="612"/>
      <c r="HXF38" s="612"/>
      <c r="HXG38" s="612"/>
      <c r="HXH38" s="612"/>
      <c r="HXI38" s="612"/>
      <c r="HXJ38" s="612"/>
      <c r="HXK38" s="612"/>
      <c r="HXL38" s="612"/>
      <c r="HXM38" s="612"/>
      <c r="HXN38" s="612"/>
      <c r="HXO38" s="612"/>
      <c r="HXP38" s="612"/>
      <c r="HXQ38" s="612"/>
      <c r="HXR38" s="612"/>
      <c r="HXS38" s="612"/>
      <c r="HXT38" s="612"/>
      <c r="HXU38" s="612"/>
      <c r="HXV38" s="612"/>
      <c r="HXW38" s="612"/>
      <c r="HXX38" s="612"/>
      <c r="HXY38" s="612"/>
      <c r="HXZ38" s="612"/>
      <c r="HYA38" s="612"/>
      <c r="HYB38" s="612"/>
      <c r="HYC38" s="612"/>
      <c r="HYD38" s="612"/>
      <c r="HYE38" s="612"/>
      <c r="HYF38" s="612"/>
      <c r="HYG38" s="612"/>
      <c r="HYH38" s="612"/>
      <c r="HYI38" s="612"/>
      <c r="HYJ38" s="612"/>
      <c r="HYK38" s="612"/>
      <c r="HYL38" s="612"/>
      <c r="HYM38" s="612"/>
      <c r="HYN38" s="612"/>
      <c r="HYO38" s="612"/>
      <c r="HYP38" s="612"/>
      <c r="HYQ38" s="612"/>
      <c r="HYR38" s="612"/>
      <c r="HYS38" s="612"/>
      <c r="HYT38" s="612"/>
      <c r="HYU38" s="612"/>
      <c r="HYV38" s="612"/>
      <c r="HYW38" s="612"/>
      <c r="HYX38" s="612"/>
      <c r="HYY38" s="612"/>
      <c r="HYZ38" s="612"/>
      <c r="HZA38" s="612"/>
      <c r="HZB38" s="612"/>
      <c r="HZC38" s="612"/>
      <c r="HZD38" s="612"/>
      <c r="HZE38" s="612"/>
      <c r="HZF38" s="612"/>
      <c r="HZG38" s="612"/>
      <c r="HZH38" s="612"/>
      <c r="HZI38" s="612"/>
      <c r="HZJ38" s="612"/>
      <c r="HZK38" s="612"/>
      <c r="HZL38" s="612"/>
      <c r="HZM38" s="612"/>
      <c r="HZN38" s="612"/>
      <c r="HZO38" s="612"/>
      <c r="HZP38" s="612"/>
      <c r="HZQ38" s="612"/>
      <c r="HZR38" s="612"/>
      <c r="HZS38" s="612"/>
      <c r="HZT38" s="612"/>
      <c r="HZU38" s="612"/>
      <c r="HZV38" s="612"/>
      <c r="HZW38" s="612"/>
      <c r="HZX38" s="612"/>
      <c r="HZY38" s="612"/>
      <c r="HZZ38" s="612"/>
      <c r="IAA38" s="612"/>
      <c r="IAB38" s="612"/>
      <c r="IAC38" s="612"/>
      <c r="IAD38" s="612"/>
      <c r="IAE38" s="612"/>
      <c r="IAF38" s="612"/>
      <c r="IAG38" s="612"/>
      <c r="IAH38" s="612"/>
      <c r="IAI38" s="612"/>
      <c r="IAJ38" s="612"/>
      <c r="IAK38" s="612"/>
      <c r="IAL38" s="612"/>
      <c r="IAM38" s="612"/>
      <c r="IAN38" s="612"/>
      <c r="IAO38" s="612"/>
      <c r="IAP38" s="612"/>
      <c r="IAQ38" s="612"/>
      <c r="IAR38" s="612"/>
      <c r="IAS38" s="612"/>
      <c r="IAT38" s="612"/>
      <c r="IAU38" s="612"/>
      <c r="IAV38" s="612"/>
      <c r="IAW38" s="612"/>
      <c r="IAX38" s="612"/>
      <c r="IAY38" s="612"/>
      <c r="IAZ38" s="612"/>
      <c r="IBA38" s="612"/>
      <c r="IBB38" s="612"/>
      <c r="IBC38" s="612"/>
      <c r="IBD38" s="612"/>
      <c r="IBE38" s="612"/>
      <c r="IBF38" s="612"/>
      <c r="IBG38" s="612"/>
      <c r="IBH38" s="612"/>
      <c r="IBI38" s="612"/>
      <c r="IBJ38" s="612"/>
      <c r="IBK38" s="612"/>
      <c r="IBL38" s="612"/>
      <c r="IBM38" s="612"/>
      <c r="IBN38" s="612"/>
      <c r="IBO38" s="612"/>
      <c r="IBP38" s="612"/>
      <c r="IBQ38" s="612"/>
      <c r="IBR38" s="612"/>
      <c r="IBS38" s="612"/>
      <c r="IBT38" s="612"/>
      <c r="IBU38" s="612"/>
      <c r="IBV38" s="612"/>
      <c r="IBW38" s="612"/>
      <c r="IBX38" s="612"/>
      <c r="IBY38" s="612"/>
      <c r="IBZ38" s="612"/>
      <c r="ICA38" s="612"/>
      <c r="ICB38" s="612"/>
      <c r="ICC38" s="612"/>
      <c r="ICD38" s="612"/>
      <c r="ICE38" s="612"/>
      <c r="ICF38" s="612"/>
      <c r="ICG38" s="612"/>
      <c r="ICH38" s="612"/>
      <c r="ICI38" s="612"/>
      <c r="ICJ38" s="612"/>
      <c r="ICK38" s="612"/>
      <c r="ICL38" s="612"/>
      <c r="ICM38" s="612"/>
      <c r="ICN38" s="612"/>
      <c r="ICO38" s="612"/>
      <c r="ICP38" s="612"/>
      <c r="ICQ38" s="612"/>
      <c r="ICR38" s="612"/>
      <c r="ICS38" s="612"/>
      <c r="ICT38" s="612"/>
      <c r="ICU38" s="612"/>
      <c r="ICV38" s="612"/>
      <c r="ICW38" s="612"/>
      <c r="ICX38" s="612"/>
      <c r="ICY38" s="612"/>
      <c r="ICZ38" s="612"/>
      <c r="IDA38" s="612"/>
      <c r="IDB38" s="612"/>
      <c r="IDC38" s="612"/>
      <c r="IDD38" s="612"/>
      <c r="IDE38" s="612"/>
      <c r="IDF38" s="612"/>
      <c r="IDG38" s="612"/>
      <c r="IDH38" s="612"/>
      <c r="IDI38" s="612"/>
      <c r="IDJ38" s="612"/>
      <c r="IDK38" s="612"/>
      <c r="IDL38" s="612"/>
      <c r="IDM38" s="612"/>
      <c r="IDN38" s="612"/>
      <c r="IDO38" s="612"/>
      <c r="IDP38" s="612"/>
      <c r="IDQ38" s="612"/>
      <c r="IDR38" s="612"/>
      <c r="IDS38" s="612"/>
      <c r="IDT38" s="612"/>
      <c r="IDU38" s="612"/>
      <c r="IDV38" s="612"/>
      <c r="IDW38" s="612"/>
      <c r="IDX38" s="612"/>
      <c r="IDY38" s="612"/>
      <c r="IDZ38" s="612"/>
      <c r="IEA38" s="612"/>
      <c r="IEB38" s="612"/>
      <c r="IEC38" s="612"/>
      <c r="IED38" s="612"/>
      <c r="IEE38" s="612"/>
      <c r="IEF38" s="612"/>
      <c r="IEG38" s="612"/>
      <c r="IEH38" s="612"/>
      <c r="IEI38" s="612"/>
      <c r="IEJ38" s="612"/>
      <c r="IEK38" s="612"/>
      <c r="IEL38" s="612"/>
      <c r="IEM38" s="612"/>
      <c r="IEN38" s="612"/>
      <c r="IEO38" s="612"/>
      <c r="IEP38" s="612"/>
      <c r="IEQ38" s="612"/>
      <c r="IER38" s="612"/>
      <c r="IES38" s="612"/>
      <c r="IET38" s="612"/>
      <c r="IEU38" s="612"/>
      <c r="IEV38" s="612"/>
      <c r="IEW38" s="612"/>
      <c r="IEX38" s="612"/>
      <c r="IEY38" s="612"/>
      <c r="IEZ38" s="612"/>
      <c r="IFA38" s="612"/>
      <c r="IFB38" s="612"/>
      <c r="IFC38" s="612"/>
      <c r="IFD38" s="612"/>
      <c r="IFE38" s="612"/>
      <c r="IFF38" s="612"/>
      <c r="IFG38" s="612"/>
      <c r="IFH38" s="612"/>
      <c r="IFI38" s="612"/>
      <c r="IFJ38" s="612"/>
      <c r="IFK38" s="612"/>
      <c r="IFL38" s="612"/>
      <c r="IFM38" s="612"/>
      <c r="IFN38" s="612"/>
      <c r="IFO38" s="612"/>
      <c r="IFP38" s="612"/>
      <c r="IFQ38" s="612"/>
      <c r="IFR38" s="612"/>
      <c r="IFS38" s="612"/>
      <c r="IFT38" s="612"/>
      <c r="IFU38" s="612"/>
      <c r="IFV38" s="612"/>
      <c r="IFW38" s="612"/>
      <c r="IFX38" s="612"/>
      <c r="IFY38" s="612"/>
      <c r="IFZ38" s="612"/>
      <c r="IGA38" s="612"/>
      <c r="IGB38" s="612"/>
      <c r="IGC38" s="612"/>
      <c r="IGD38" s="612"/>
      <c r="IGE38" s="612"/>
      <c r="IGF38" s="612"/>
      <c r="IGG38" s="612"/>
      <c r="IGH38" s="612"/>
      <c r="IGI38" s="612"/>
      <c r="IGJ38" s="612"/>
      <c r="IGK38" s="612"/>
      <c r="IGL38" s="612"/>
      <c r="IGM38" s="612"/>
      <c r="IGN38" s="612"/>
      <c r="IGO38" s="612"/>
      <c r="IGP38" s="612"/>
      <c r="IGQ38" s="612"/>
      <c r="IGR38" s="612"/>
      <c r="IGS38" s="612"/>
      <c r="IGT38" s="612"/>
      <c r="IGU38" s="612"/>
      <c r="IGV38" s="612"/>
      <c r="IGW38" s="612"/>
      <c r="IGX38" s="612"/>
      <c r="IGY38" s="612"/>
      <c r="IGZ38" s="612"/>
      <c r="IHA38" s="612"/>
      <c r="IHB38" s="612"/>
      <c r="IHC38" s="612"/>
      <c r="IHD38" s="612"/>
      <c r="IHE38" s="612"/>
      <c r="IHF38" s="612"/>
      <c r="IHG38" s="612"/>
      <c r="IHH38" s="612"/>
      <c r="IHI38" s="612"/>
      <c r="IHJ38" s="612"/>
      <c r="IHK38" s="612"/>
      <c r="IHL38" s="612"/>
      <c r="IHM38" s="612"/>
      <c r="IHN38" s="612"/>
      <c r="IHO38" s="612"/>
      <c r="IHP38" s="612"/>
      <c r="IHQ38" s="612"/>
      <c r="IHR38" s="612"/>
      <c r="IHS38" s="612"/>
      <c r="IHT38" s="612"/>
      <c r="IHU38" s="612"/>
      <c r="IHV38" s="612"/>
      <c r="IHW38" s="612"/>
      <c r="IHX38" s="612"/>
      <c r="IHY38" s="612"/>
      <c r="IHZ38" s="612"/>
      <c r="IIA38" s="612"/>
      <c r="IIB38" s="612"/>
      <c r="IIC38" s="612"/>
      <c r="IID38" s="612"/>
      <c r="IIE38" s="612"/>
      <c r="IIF38" s="612"/>
      <c r="IIG38" s="612"/>
      <c r="IIH38" s="612"/>
      <c r="III38" s="612"/>
      <c r="IIJ38" s="612"/>
      <c r="IIK38" s="612"/>
      <c r="IIL38" s="612"/>
      <c r="IIM38" s="612"/>
      <c r="IIN38" s="612"/>
      <c r="IIO38" s="612"/>
      <c r="IIP38" s="612"/>
      <c r="IIQ38" s="612"/>
      <c r="IIR38" s="612"/>
      <c r="IIS38" s="612"/>
      <c r="IIT38" s="612"/>
      <c r="IIU38" s="612"/>
      <c r="IIV38" s="612"/>
      <c r="IIW38" s="612"/>
      <c r="IIX38" s="612"/>
      <c r="IIY38" s="612"/>
      <c r="IIZ38" s="612"/>
      <c r="IJA38" s="612"/>
      <c r="IJB38" s="612"/>
      <c r="IJC38" s="612"/>
      <c r="IJD38" s="612"/>
      <c r="IJE38" s="612"/>
      <c r="IJF38" s="612"/>
      <c r="IJG38" s="612"/>
      <c r="IJH38" s="612"/>
      <c r="IJI38" s="612"/>
      <c r="IJJ38" s="612"/>
      <c r="IJK38" s="612"/>
      <c r="IJL38" s="612"/>
      <c r="IJM38" s="612"/>
      <c r="IJN38" s="612"/>
      <c r="IJO38" s="612"/>
      <c r="IJP38" s="612"/>
      <c r="IJQ38" s="612"/>
      <c r="IJR38" s="612"/>
      <c r="IJS38" s="612"/>
      <c r="IJT38" s="612"/>
      <c r="IJU38" s="612"/>
      <c r="IJV38" s="612"/>
      <c r="IJW38" s="612"/>
      <c r="IJX38" s="612"/>
      <c r="IJY38" s="612"/>
      <c r="IJZ38" s="612"/>
      <c r="IKA38" s="612"/>
      <c r="IKB38" s="612"/>
      <c r="IKC38" s="612"/>
      <c r="IKD38" s="612"/>
      <c r="IKE38" s="612"/>
      <c r="IKF38" s="612"/>
      <c r="IKG38" s="612"/>
      <c r="IKH38" s="612"/>
      <c r="IKI38" s="612"/>
      <c r="IKJ38" s="612"/>
      <c r="IKK38" s="612"/>
      <c r="IKL38" s="612"/>
      <c r="IKM38" s="612"/>
      <c r="IKN38" s="612"/>
      <c r="IKO38" s="612"/>
      <c r="IKP38" s="612"/>
      <c r="IKQ38" s="612"/>
      <c r="IKR38" s="612"/>
      <c r="IKS38" s="612"/>
      <c r="IKT38" s="612"/>
      <c r="IKU38" s="612"/>
      <c r="IKV38" s="612"/>
      <c r="IKW38" s="612"/>
      <c r="IKX38" s="612"/>
      <c r="IKY38" s="612"/>
      <c r="IKZ38" s="612"/>
      <c r="ILA38" s="612"/>
      <c r="ILB38" s="612"/>
      <c r="ILC38" s="612"/>
      <c r="ILD38" s="612"/>
      <c r="ILE38" s="612"/>
      <c r="ILF38" s="612"/>
      <c r="ILG38" s="612"/>
      <c r="ILH38" s="612"/>
      <c r="ILI38" s="612"/>
      <c r="ILJ38" s="612"/>
      <c r="ILK38" s="612"/>
      <c r="ILL38" s="612"/>
      <c r="ILM38" s="612"/>
      <c r="ILN38" s="612"/>
      <c r="ILO38" s="612"/>
      <c r="ILP38" s="612"/>
      <c r="ILQ38" s="612"/>
      <c r="ILR38" s="612"/>
      <c r="ILS38" s="612"/>
      <c r="ILT38" s="612"/>
      <c r="ILU38" s="612"/>
      <c r="ILV38" s="612"/>
      <c r="ILW38" s="612"/>
      <c r="ILX38" s="612"/>
      <c r="ILY38" s="612"/>
      <c r="ILZ38" s="612"/>
      <c r="IMA38" s="612"/>
      <c r="IMB38" s="612"/>
      <c r="IMC38" s="612"/>
      <c r="IMD38" s="612"/>
      <c r="IME38" s="612"/>
      <c r="IMF38" s="612"/>
      <c r="IMG38" s="612"/>
      <c r="IMH38" s="612"/>
      <c r="IMI38" s="612"/>
      <c r="IMJ38" s="612"/>
      <c r="IMK38" s="612"/>
      <c r="IML38" s="612"/>
      <c r="IMM38" s="612"/>
      <c r="IMN38" s="612"/>
      <c r="IMO38" s="612"/>
      <c r="IMP38" s="612"/>
      <c r="IMQ38" s="612"/>
      <c r="IMR38" s="612"/>
      <c r="IMS38" s="612"/>
      <c r="IMT38" s="612"/>
      <c r="IMU38" s="612"/>
      <c r="IMV38" s="612"/>
      <c r="IMW38" s="612"/>
      <c r="IMX38" s="612"/>
      <c r="IMY38" s="612"/>
      <c r="IMZ38" s="612"/>
      <c r="INA38" s="612"/>
      <c r="INB38" s="612"/>
      <c r="INC38" s="612"/>
      <c r="IND38" s="612"/>
      <c r="INE38" s="612"/>
      <c r="INF38" s="612"/>
      <c r="ING38" s="612"/>
      <c r="INH38" s="612"/>
      <c r="INI38" s="612"/>
      <c r="INJ38" s="612"/>
      <c r="INK38" s="612"/>
      <c r="INL38" s="612"/>
      <c r="INM38" s="612"/>
      <c r="INN38" s="612"/>
      <c r="INO38" s="612"/>
      <c r="INP38" s="612"/>
      <c r="INQ38" s="612"/>
      <c r="INR38" s="612"/>
      <c r="INS38" s="612"/>
      <c r="INT38" s="612"/>
      <c r="INU38" s="612"/>
      <c r="INV38" s="612"/>
      <c r="INW38" s="612"/>
      <c r="INX38" s="612"/>
      <c r="INY38" s="612"/>
      <c r="INZ38" s="612"/>
      <c r="IOA38" s="612"/>
      <c r="IOB38" s="612"/>
      <c r="IOC38" s="612"/>
      <c r="IOD38" s="612"/>
      <c r="IOE38" s="612"/>
      <c r="IOF38" s="612"/>
      <c r="IOG38" s="612"/>
      <c r="IOH38" s="612"/>
      <c r="IOI38" s="612"/>
      <c r="IOJ38" s="612"/>
      <c r="IOK38" s="612"/>
      <c r="IOL38" s="612"/>
      <c r="IOM38" s="612"/>
      <c r="ION38" s="612"/>
      <c r="IOO38" s="612"/>
      <c r="IOP38" s="612"/>
      <c r="IOQ38" s="612"/>
      <c r="IOR38" s="612"/>
      <c r="IOS38" s="612"/>
      <c r="IOT38" s="612"/>
      <c r="IOU38" s="612"/>
      <c r="IOV38" s="612"/>
      <c r="IOW38" s="612"/>
      <c r="IOX38" s="612"/>
      <c r="IOY38" s="612"/>
      <c r="IOZ38" s="612"/>
      <c r="IPA38" s="612"/>
      <c r="IPB38" s="612"/>
      <c r="IPC38" s="612"/>
      <c r="IPD38" s="612"/>
      <c r="IPE38" s="612"/>
      <c r="IPF38" s="612"/>
      <c r="IPG38" s="612"/>
      <c r="IPH38" s="612"/>
      <c r="IPI38" s="612"/>
      <c r="IPJ38" s="612"/>
      <c r="IPK38" s="612"/>
      <c r="IPL38" s="612"/>
      <c r="IPM38" s="612"/>
      <c r="IPN38" s="612"/>
      <c r="IPO38" s="612"/>
      <c r="IPP38" s="612"/>
      <c r="IPQ38" s="612"/>
      <c r="IPR38" s="612"/>
      <c r="IPS38" s="612"/>
      <c r="IPT38" s="612"/>
      <c r="IPU38" s="612"/>
      <c r="IPV38" s="612"/>
      <c r="IPW38" s="612"/>
      <c r="IPX38" s="612"/>
      <c r="IPY38" s="612"/>
      <c r="IPZ38" s="612"/>
      <c r="IQA38" s="612"/>
      <c r="IQB38" s="612"/>
      <c r="IQC38" s="612"/>
      <c r="IQD38" s="612"/>
      <c r="IQE38" s="612"/>
      <c r="IQF38" s="612"/>
      <c r="IQG38" s="612"/>
      <c r="IQH38" s="612"/>
      <c r="IQI38" s="612"/>
      <c r="IQJ38" s="612"/>
      <c r="IQK38" s="612"/>
      <c r="IQL38" s="612"/>
      <c r="IQM38" s="612"/>
      <c r="IQN38" s="612"/>
      <c r="IQO38" s="612"/>
      <c r="IQP38" s="612"/>
      <c r="IQQ38" s="612"/>
      <c r="IQR38" s="612"/>
      <c r="IQS38" s="612"/>
      <c r="IQT38" s="612"/>
      <c r="IQU38" s="612"/>
      <c r="IQV38" s="612"/>
      <c r="IQW38" s="612"/>
      <c r="IQX38" s="612"/>
      <c r="IQY38" s="612"/>
      <c r="IQZ38" s="612"/>
      <c r="IRA38" s="612"/>
      <c r="IRB38" s="612"/>
      <c r="IRC38" s="612"/>
      <c r="IRD38" s="612"/>
      <c r="IRE38" s="612"/>
      <c r="IRF38" s="612"/>
      <c r="IRG38" s="612"/>
      <c r="IRH38" s="612"/>
      <c r="IRI38" s="612"/>
      <c r="IRJ38" s="612"/>
      <c r="IRK38" s="612"/>
      <c r="IRL38" s="612"/>
      <c r="IRM38" s="612"/>
      <c r="IRN38" s="612"/>
      <c r="IRO38" s="612"/>
      <c r="IRP38" s="612"/>
      <c r="IRQ38" s="612"/>
      <c r="IRR38" s="612"/>
      <c r="IRS38" s="612"/>
      <c r="IRT38" s="612"/>
      <c r="IRU38" s="612"/>
      <c r="IRV38" s="612"/>
      <c r="IRW38" s="612"/>
      <c r="IRX38" s="612"/>
      <c r="IRY38" s="612"/>
      <c r="IRZ38" s="612"/>
      <c r="ISA38" s="612"/>
      <c r="ISB38" s="612"/>
      <c r="ISC38" s="612"/>
      <c r="ISD38" s="612"/>
      <c r="ISE38" s="612"/>
      <c r="ISF38" s="612"/>
      <c r="ISG38" s="612"/>
      <c r="ISH38" s="612"/>
      <c r="ISI38" s="612"/>
      <c r="ISJ38" s="612"/>
      <c r="ISK38" s="612"/>
      <c r="ISL38" s="612"/>
      <c r="ISM38" s="612"/>
      <c r="ISN38" s="612"/>
      <c r="ISO38" s="612"/>
      <c r="ISP38" s="612"/>
      <c r="ISQ38" s="612"/>
      <c r="ISR38" s="612"/>
      <c r="ISS38" s="612"/>
      <c r="IST38" s="612"/>
      <c r="ISU38" s="612"/>
      <c r="ISV38" s="612"/>
      <c r="ISW38" s="612"/>
      <c r="ISX38" s="612"/>
      <c r="ISY38" s="612"/>
      <c r="ISZ38" s="612"/>
      <c r="ITA38" s="612"/>
      <c r="ITB38" s="612"/>
      <c r="ITC38" s="612"/>
      <c r="ITD38" s="612"/>
      <c r="ITE38" s="612"/>
      <c r="ITF38" s="612"/>
      <c r="ITG38" s="612"/>
      <c r="ITH38" s="612"/>
      <c r="ITI38" s="612"/>
      <c r="ITJ38" s="612"/>
      <c r="ITK38" s="612"/>
      <c r="ITL38" s="612"/>
      <c r="ITM38" s="612"/>
      <c r="ITN38" s="612"/>
      <c r="ITO38" s="612"/>
      <c r="ITP38" s="612"/>
      <c r="ITQ38" s="612"/>
      <c r="ITR38" s="612"/>
      <c r="ITS38" s="612"/>
      <c r="ITT38" s="612"/>
      <c r="ITU38" s="612"/>
      <c r="ITV38" s="612"/>
      <c r="ITW38" s="612"/>
      <c r="ITX38" s="612"/>
      <c r="ITY38" s="612"/>
      <c r="ITZ38" s="612"/>
      <c r="IUA38" s="612"/>
      <c r="IUB38" s="612"/>
      <c r="IUC38" s="612"/>
      <c r="IUD38" s="612"/>
      <c r="IUE38" s="612"/>
      <c r="IUF38" s="612"/>
      <c r="IUG38" s="612"/>
      <c r="IUH38" s="612"/>
      <c r="IUI38" s="612"/>
      <c r="IUJ38" s="612"/>
      <c r="IUK38" s="612"/>
      <c r="IUL38" s="612"/>
      <c r="IUM38" s="612"/>
      <c r="IUN38" s="612"/>
      <c r="IUO38" s="612"/>
      <c r="IUP38" s="612"/>
      <c r="IUQ38" s="612"/>
      <c r="IUR38" s="612"/>
      <c r="IUS38" s="612"/>
      <c r="IUT38" s="612"/>
      <c r="IUU38" s="612"/>
      <c r="IUV38" s="612"/>
      <c r="IUW38" s="612"/>
      <c r="IUX38" s="612"/>
      <c r="IUY38" s="612"/>
      <c r="IUZ38" s="612"/>
      <c r="IVA38" s="612"/>
      <c r="IVB38" s="612"/>
      <c r="IVC38" s="612"/>
      <c r="IVD38" s="612"/>
      <c r="IVE38" s="612"/>
      <c r="IVF38" s="612"/>
      <c r="IVG38" s="612"/>
      <c r="IVH38" s="612"/>
      <c r="IVI38" s="612"/>
      <c r="IVJ38" s="612"/>
      <c r="IVK38" s="612"/>
      <c r="IVL38" s="612"/>
      <c r="IVM38" s="612"/>
      <c r="IVN38" s="612"/>
      <c r="IVO38" s="612"/>
      <c r="IVP38" s="612"/>
      <c r="IVQ38" s="612"/>
      <c r="IVR38" s="612"/>
      <c r="IVS38" s="612"/>
      <c r="IVT38" s="612"/>
      <c r="IVU38" s="612"/>
      <c r="IVV38" s="612"/>
      <c r="IVW38" s="612"/>
      <c r="IVX38" s="612"/>
      <c r="IVY38" s="612"/>
      <c r="IVZ38" s="612"/>
      <c r="IWA38" s="612"/>
      <c r="IWB38" s="612"/>
      <c r="IWC38" s="612"/>
      <c r="IWD38" s="612"/>
      <c r="IWE38" s="612"/>
      <c r="IWF38" s="612"/>
      <c r="IWG38" s="612"/>
      <c r="IWH38" s="612"/>
      <c r="IWI38" s="612"/>
      <c r="IWJ38" s="612"/>
      <c r="IWK38" s="612"/>
      <c r="IWL38" s="612"/>
      <c r="IWM38" s="612"/>
      <c r="IWN38" s="612"/>
      <c r="IWO38" s="612"/>
      <c r="IWP38" s="612"/>
      <c r="IWQ38" s="612"/>
      <c r="IWR38" s="612"/>
      <c r="IWS38" s="612"/>
      <c r="IWT38" s="612"/>
      <c r="IWU38" s="612"/>
      <c r="IWV38" s="612"/>
      <c r="IWW38" s="612"/>
      <c r="IWX38" s="612"/>
      <c r="IWY38" s="612"/>
      <c r="IWZ38" s="612"/>
      <c r="IXA38" s="612"/>
      <c r="IXB38" s="612"/>
      <c r="IXC38" s="612"/>
      <c r="IXD38" s="612"/>
      <c r="IXE38" s="612"/>
      <c r="IXF38" s="612"/>
      <c r="IXG38" s="612"/>
      <c r="IXH38" s="612"/>
      <c r="IXI38" s="612"/>
      <c r="IXJ38" s="612"/>
      <c r="IXK38" s="612"/>
      <c r="IXL38" s="612"/>
      <c r="IXM38" s="612"/>
      <c r="IXN38" s="612"/>
      <c r="IXO38" s="612"/>
      <c r="IXP38" s="612"/>
      <c r="IXQ38" s="612"/>
      <c r="IXR38" s="612"/>
      <c r="IXS38" s="612"/>
      <c r="IXT38" s="612"/>
      <c r="IXU38" s="612"/>
      <c r="IXV38" s="612"/>
      <c r="IXW38" s="612"/>
      <c r="IXX38" s="612"/>
      <c r="IXY38" s="612"/>
      <c r="IXZ38" s="612"/>
      <c r="IYA38" s="612"/>
      <c r="IYB38" s="612"/>
      <c r="IYC38" s="612"/>
      <c r="IYD38" s="612"/>
      <c r="IYE38" s="612"/>
      <c r="IYF38" s="612"/>
      <c r="IYG38" s="612"/>
      <c r="IYH38" s="612"/>
      <c r="IYI38" s="612"/>
      <c r="IYJ38" s="612"/>
      <c r="IYK38" s="612"/>
      <c r="IYL38" s="612"/>
      <c r="IYM38" s="612"/>
      <c r="IYN38" s="612"/>
      <c r="IYO38" s="612"/>
      <c r="IYP38" s="612"/>
      <c r="IYQ38" s="612"/>
      <c r="IYR38" s="612"/>
      <c r="IYS38" s="612"/>
      <c r="IYT38" s="612"/>
      <c r="IYU38" s="612"/>
      <c r="IYV38" s="612"/>
      <c r="IYW38" s="612"/>
      <c r="IYX38" s="612"/>
      <c r="IYY38" s="612"/>
      <c r="IYZ38" s="612"/>
      <c r="IZA38" s="612"/>
      <c r="IZB38" s="612"/>
      <c r="IZC38" s="612"/>
      <c r="IZD38" s="612"/>
      <c r="IZE38" s="612"/>
      <c r="IZF38" s="612"/>
      <c r="IZG38" s="612"/>
      <c r="IZH38" s="612"/>
      <c r="IZI38" s="612"/>
      <c r="IZJ38" s="612"/>
      <c r="IZK38" s="612"/>
      <c r="IZL38" s="612"/>
      <c r="IZM38" s="612"/>
      <c r="IZN38" s="612"/>
      <c r="IZO38" s="612"/>
      <c r="IZP38" s="612"/>
      <c r="IZQ38" s="612"/>
      <c r="IZR38" s="612"/>
      <c r="IZS38" s="612"/>
      <c r="IZT38" s="612"/>
      <c r="IZU38" s="612"/>
      <c r="IZV38" s="612"/>
      <c r="IZW38" s="612"/>
      <c r="IZX38" s="612"/>
      <c r="IZY38" s="612"/>
      <c r="IZZ38" s="612"/>
      <c r="JAA38" s="612"/>
      <c r="JAB38" s="612"/>
      <c r="JAC38" s="612"/>
      <c r="JAD38" s="612"/>
      <c r="JAE38" s="612"/>
      <c r="JAF38" s="612"/>
      <c r="JAG38" s="612"/>
      <c r="JAH38" s="612"/>
      <c r="JAI38" s="612"/>
      <c r="JAJ38" s="612"/>
      <c r="JAK38" s="612"/>
      <c r="JAL38" s="612"/>
      <c r="JAM38" s="612"/>
      <c r="JAN38" s="612"/>
      <c r="JAO38" s="612"/>
      <c r="JAP38" s="612"/>
      <c r="JAQ38" s="612"/>
      <c r="JAR38" s="612"/>
      <c r="JAS38" s="612"/>
      <c r="JAT38" s="612"/>
      <c r="JAU38" s="612"/>
      <c r="JAV38" s="612"/>
      <c r="JAW38" s="612"/>
      <c r="JAX38" s="612"/>
      <c r="JAY38" s="612"/>
      <c r="JAZ38" s="612"/>
      <c r="JBA38" s="612"/>
      <c r="JBB38" s="612"/>
      <c r="JBC38" s="612"/>
      <c r="JBD38" s="612"/>
      <c r="JBE38" s="612"/>
      <c r="JBF38" s="612"/>
      <c r="JBG38" s="612"/>
      <c r="JBH38" s="612"/>
      <c r="JBI38" s="612"/>
      <c r="JBJ38" s="612"/>
      <c r="JBK38" s="612"/>
      <c r="JBL38" s="612"/>
      <c r="JBM38" s="612"/>
      <c r="JBN38" s="612"/>
      <c r="JBO38" s="612"/>
      <c r="JBP38" s="612"/>
      <c r="JBQ38" s="612"/>
      <c r="JBR38" s="612"/>
      <c r="JBS38" s="612"/>
      <c r="JBT38" s="612"/>
      <c r="JBU38" s="612"/>
      <c r="JBV38" s="612"/>
      <c r="JBW38" s="612"/>
      <c r="JBX38" s="612"/>
      <c r="JBY38" s="612"/>
      <c r="JBZ38" s="612"/>
      <c r="JCA38" s="612"/>
      <c r="JCB38" s="612"/>
      <c r="JCC38" s="612"/>
      <c r="JCD38" s="612"/>
      <c r="JCE38" s="612"/>
      <c r="JCF38" s="612"/>
      <c r="JCG38" s="612"/>
      <c r="JCH38" s="612"/>
      <c r="JCI38" s="612"/>
      <c r="JCJ38" s="612"/>
      <c r="JCK38" s="612"/>
      <c r="JCL38" s="612"/>
      <c r="JCM38" s="612"/>
      <c r="JCN38" s="612"/>
      <c r="JCO38" s="612"/>
      <c r="JCP38" s="612"/>
      <c r="JCQ38" s="612"/>
      <c r="JCR38" s="612"/>
      <c r="JCS38" s="612"/>
      <c r="JCT38" s="612"/>
      <c r="JCU38" s="612"/>
      <c r="JCV38" s="612"/>
      <c r="JCW38" s="612"/>
      <c r="JCX38" s="612"/>
      <c r="JCY38" s="612"/>
      <c r="JCZ38" s="612"/>
      <c r="JDA38" s="612"/>
      <c r="JDB38" s="612"/>
      <c r="JDC38" s="612"/>
      <c r="JDD38" s="612"/>
      <c r="JDE38" s="612"/>
      <c r="JDF38" s="612"/>
      <c r="JDG38" s="612"/>
      <c r="JDH38" s="612"/>
      <c r="JDI38" s="612"/>
      <c r="JDJ38" s="612"/>
      <c r="JDK38" s="612"/>
      <c r="JDL38" s="612"/>
      <c r="JDM38" s="612"/>
      <c r="JDN38" s="612"/>
      <c r="JDO38" s="612"/>
      <c r="JDP38" s="612"/>
      <c r="JDQ38" s="612"/>
      <c r="JDR38" s="612"/>
      <c r="JDS38" s="612"/>
      <c r="JDT38" s="612"/>
      <c r="JDU38" s="612"/>
      <c r="JDV38" s="612"/>
      <c r="JDW38" s="612"/>
      <c r="JDX38" s="612"/>
      <c r="JDY38" s="612"/>
      <c r="JDZ38" s="612"/>
      <c r="JEA38" s="612"/>
      <c r="JEB38" s="612"/>
      <c r="JEC38" s="612"/>
      <c r="JED38" s="612"/>
      <c r="JEE38" s="612"/>
      <c r="JEF38" s="612"/>
      <c r="JEG38" s="612"/>
      <c r="JEH38" s="612"/>
      <c r="JEI38" s="612"/>
      <c r="JEJ38" s="612"/>
      <c r="JEK38" s="612"/>
      <c r="JEL38" s="612"/>
      <c r="JEM38" s="612"/>
      <c r="JEN38" s="612"/>
      <c r="JEO38" s="612"/>
      <c r="JEP38" s="612"/>
      <c r="JEQ38" s="612"/>
      <c r="JER38" s="612"/>
      <c r="JES38" s="612"/>
      <c r="JET38" s="612"/>
      <c r="JEU38" s="612"/>
      <c r="JEV38" s="612"/>
      <c r="JEW38" s="612"/>
      <c r="JEX38" s="612"/>
      <c r="JEY38" s="612"/>
      <c r="JEZ38" s="612"/>
      <c r="JFA38" s="612"/>
      <c r="JFB38" s="612"/>
      <c r="JFC38" s="612"/>
      <c r="JFD38" s="612"/>
      <c r="JFE38" s="612"/>
      <c r="JFF38" s="612"/>
      <c r="JFG38" s="612"/>
      <c r="JFH38" s="612"/>
      <c r="JFI38" s="612"/>
      <c r="JFJ38" s="612"/>
      <c r="JFK38" s="612"/>
      <c r="JFL38" s="612"/>
      <c r="JFM38" s="612"/>
      <c r="JFN38" s="612"/>
      <c r="JFO38" s="612"/>
      <c r="JFP38" s="612"/>
      <c r="JFQ38" s="612"/>
      <c r="JFR38" s="612"/>
      <c r="JFS38" s="612"/>
      <c r="JFT38" s="612"/>
      <c r="JFU38" s="612"/>
      <c r="JFV38" s="612"/>
      <c r="JFW38" s="612"/>
      <c r="JFX38" s="612"/>
      <c r="JFY38" s="612"/>
      <c r="JFZ38" s="612"/>
      <c r="JGA38" s="612"/>
      <c r="JGB38" s="612"/>
      <c r="JGC38" s="612"/>
      <c r="JGD38" s="612"/>
      <c r="JGE38" s="612"/>
      <c r="JGF38" s="612"/>
      <c r="JGG38" s="612"/>
      <c r="JGH38" s="612"/>
      <c r="JGI38" s="612"/>
      <c r="JGJ38" s="612"/>
      <c r="JGK38" s="612"/>
      <c r="JGL38" s="612"/>
      <c r="JGM38" s="612"/>
      <c r="JGN38" s="612"/>
      <c r="JGO38" s="612"/>
      <c r="JGP38" s="612"/>
      <c r="JGQ38" s="612"/>
      <c r="JGR38" s="612"/>
      <c r="JGS38" s="612"/>
      <c r="JGT38" s="612"/>
      <c r="JGU38" s="612"/>
      <c r="JGV38" s="612"/>
      <c r="JGW38" s="612"/>
      <c r="JGX38" s="612"/>
      <c r="JGY38" s="612"/>
      <c r="JGZ38" s="612"/>
      <c r="JHA38" s="612"/>
      <c r="JHB38" s="612"/>
      <c r="JHC38" s="612"/>
      <c r="JHD38" s="612"/>
      <c r="JHE38" s="612"/>
      <c r="JHF38" s="612"/>
      <c r="JHG38" s="612"/>
      <c r="JHH38" s="612"/>
      <c r="JHI38" s="612"/>
      <c r="JHJ38" s="612"/>
      <c r="JHK38" s="612"/>
      <c r="JHL38" s="612"/>
      <c r="JHM38" s="612"/>
      <c r="JHN38" s="612"/>
      <c r="JHO38" s="612"/>
      <c r="JHP38" s="612"/>
      <c r="JHQ38" s="612"/>
      <c r="JHR38" s="612"/>
      <c r="JHS38" s="612"/>
      <c r="JHT38" s="612"/>
      <c r="JHU38" s="612"/>
      <c r="JHV38" s="612"/>
      <c r="JHW38" s="612"/>
      <c r="JHX38" s="612"/>
      <c r="JHY38" s="612"/>
      <c r="JHZ38" s="612"/>
      <c r="JIA38" s="612"/>
      <c r="JIB38" s="612"/>
      <c r="JIC38" s="612"/>
      <c r="JID38" s="612"/>
      <c r="JIE38" s="612"/>
      <c r="JIF38" s="612"/>
      <c r="JIG38" s="612"/>
      <c r="JIH38" s="612"/>
      <c r="JII38" s="612"/>
      <c r="JIJ38" s="612"/>
      <c r="JIK38" s="612"/>
      <c r="JIL38" s="612"/>
      <c r="JIM38" s="612"/>
      <c r="JIN38" s="612"/>
      <c r="JIO38" s="612"/>
      <c r="JIP38" s="612"/>
      <c r="JIQ38" s="612"/>
      <c r="JIR38" s="612"/>
      <c r="JIS38" s="612"/>
      <c r="JIT38" s="612"/>
      <c r="JIU38" s="612"/>
      <c r="JIV38" s="612"/>
      <c r="JIW38" s="612"/>
      <c r="JIX38" s="612"/>
      <c r="JIY38" s="612"/>
      <c r="JIZ38" s="612"/>
      <c r="JJA38" s="612"/>
      <c r="JJB38" s="612"/>
      <c r="JJC38" s="612"/>
      <c r="JJD38" s="612"/>
      <c r="JJE38" s="612"/>
      <c r="JJF38" s="612"/>
      <c r="JJG38" s="612"/>
      <c r="JJH38" s="612"/>
      <c r="JJI38" s="612"/>
      <c r="JJJ38" s="612"/>
      <c r="JJK38" s="612"/>
      <c r="JJL38" s="612"/>
      <c r="JJM38" s="612"/>
      <c r="JJN38" s="612"/>
      <c r="JJO38" s="612"/>
      <c r="JJP38" s="612"/>
      <c r="JJQ38" s="612"/>
      <c r="JJR38" s="612"/>
      <c r="JJS38" s="612"/>
      <c r="JJT38" s="612"/>
      <c r="JJU38" s="612"/>
      <c r="JJV38" s="612"/>
      <c r="JJW38" s="612"/>
      <c r="JJX38" s="612"/>
      <c r="JJY38" s="612"/>
      <c r="JJZ38" s="612"/>
      <c r="JKA38" s="612"/>
      <c r="JKB38" s="612"/>
      <c r="JKC38" s="612"/>
      <c r="JKD38" s="612"/>
      <c r="JKE38" s="612"/>
      <c r="JKF38" s="612"/>
      <c r="JKG38" s="612"/>
      <c r="JKH38" s="612"/>
      <c r="JKI38" s="612"/>
      <c r="JKJ38" s="612"/>
      <c r="JKK38" s="612"/>
      <c r="JKL38" s="612"/>
      <c r="JKM38" s="612"/>
      <c r="JKN38" s="612"/>
      <c r="JKO38" s="612"/>
      <c r="JKP38" s="612"/>
      <c r="JKQ38" s="612"/>
      <c r="JKR38" s="612"/>
      <c r="JKS38" s="612"/>
      <c r="JKT38" s="612"/>
      <c r="JKU38" s="612"/>
      <c r="JKV38" s="612"/>
      <c r="JKW38" s="612"/>
      <c r="JKX38" s="612"/>
      <c r="JKY38" s="612"/>
      <c r="JKZ38" s="612"/>
      <c r="JLA38" s="612"/>
      <c r="JLB38" s="612"/>
      <c r="JLC38" s="612"/>
      <c r="JLD38" s="612"/>
      <c r="JLE38" s="612"/>
      <c r="JLF38" s="612"/>
      <c r="JLG38" s="612"/>
      <c r="JLH38" s="612"/>
      <c r="JLI38" s="612"/>
      <c r="JLJ38" s="612"/>
      <c r="JLK38" s="612"/>
      <c r="JLL38" s="612"/>
      <c r="JLM38" s="612"/>
      <c r="JLN38" s="612"/>
      <c r="JLO38" s="612"/>
      <c r="JLP38" s="612"/>
      <c r="JLQ38" s="612"/>
      <c r="JLR38" s="612"/>
      <c r="JLS38" s="612"/>
      <c r="JLT38" s="612"/>
      <c r="JLU38" s="612"/>
      <c r="JLV38" s="612"/>
      <c r="JLW38" s="612"/>
      <c r="JLX38" s="612"/>
      <c r="JLY38" s="612"/>
      <c r="JLZ38" s="612"/>
      <c r="JMA38" s="612"/>
      <c r="JMB38" s="612"/>
      <c r="JMC38" s="612"/>
      <c r="JMD38" s="612"/>
      <c r="JME38" s="612"/>
      <c r="JMF38" s="612"/>
      <c r="JMG38" s="612"/>
      <c r="JMH38" s="612"/>
      <c r="JMI38" s="612"/>
      <c r="JMJ38" s="612"/>
      <c r="JMK38" s="612"/>
      <c r="JML38" s="612"/>
      <c r="JMM38" s="612"/>
      <c r="JMN38" s="612"/>
      <c r="JMO38" s="612"/>
      <c r="JMP38" s="612"/>
      <c r="JMQ38" s="612"/>
      <c r="JMR38" s="612"/>
      <c r="JMS38" s="612"/>
      <c r="JMT38" s="612"/>
      <c r="JMU38" s="612"/>
      <c r="JMV38" s="612"/>
      <c r="JMW38" s="612"/>
      <c r="JMX38" s="612"/>
      <c r="JMY38" s="612"/>
      <c r="JMZ38" s="612"/>
      <c r="JNA38" s="612"/>
      <c r="JNB38" s="612"/>
      <c r="JNC38" s="612"/>
      <c r="JND38" s="612"/>
      <c r="JNE38" s="612"/>
      <c r="JNF38" s="612"/>
      <c r="JNG38" s="612"/>
      <c r="JNH38" s="612"/>
      <c r="JNI38" s="612"/>
      <c r="JNJ38" s="612"/>
      <c r="JNK38" s="612"/>
      <c r="JNL38" s="612"/>
      <c r="JNM38" s="612"/>
      <c r="JNN38" s="612"/>
      <c r="JNO38" s="612"/>
      <c r="JNP38" s="612"/>
      <c r="JNQ38" s="612"/>
      <c r="JNR38" s="612"/>
      <c r="JNS38" s="612"/>
      <c r="JNT38" s="612"/>
      <c r="JNU38" s="612"/>
      <c r="JNV38" s="612"/>
      <c r="JNW38" s="612"/>
      <c r="JNX38" s="612"/>
      <c r="JNY38" s="612"/>
      <c r="JNZ38" s="612"/>
      <c r="JOA38" s="612"/>
      <c r="JOB38" s="612"/>
      <c r="JOC38" s="612"/>
      <c r="JOD38" s="612"/>
      <c r="JOE38" s="612"/>
      <c r="JOF38" s="612"/>
      <c r="JOG38" s="612"/>
      <c r="JOH38" s="612"/>
      <c r="JOI38" s="612"/>
      <c r="JOJ38" s="612"/>
      <c r="JOK38" s="612"/>
      <c r="JOL38" s="612"/>
      <c r="JOM38" s="612"/>
      <c r="JON38" s="612"/>
      <c r="JOO38" s="612"/>
      <c r="JOP38" s="612"/>
      <c r="JOQ38" s="612"/>
      <c r="JOR38" s="612"/>
      <c r="JOS38" s="612"/>
      <c r="JOT38" s="612"/>
      <c r="JOU38" s="612"/>
      <c r="JOV38" s="612"/>
      <c r="JOW38" s="612"/>
      <c r="JOX38" s="612"/>
      <c r="JOY38" s="612"/>
      <c r="JOZ38" s="612"/>
      <c r="JPA38" s="612"/>
      <c r="JPB38" s="612"/>
      <c r="JPC38" s="612"/>
      <c r="JPD38" s="612"/>
      <c r="JPE38" s="612"/>
      <c r="JPF38" s="612"/>
      <c r="JPG38" s="612"/>
      <c r="JPH38" s="612"/>
      <c r="JPI38" s="612"/>
      <c r="JPJ38" s="612"/>
      <c r="JPK38" s="612"/>
      <c r="JPL38" s="612"/>
      <c r="JPM38" s="612"/>
      <c r="JPN38" s="612"/>
      <c r="JPO38" s="612"/>
      <c r="JPP38" s="612"/>
      <c r="JPQ38" s="612"/>
      <c r="JPR38" s="612"/>
      <c r="JPS38" s="612"/>
      <c r="JPT38" s="612"/>
      <c r="JPU38" s="612"/>
      <c r="JPV38" s="612"/>
      <c r="JPW38" s="612"/>
      <c r="JPX38" s="612"/>
      <c r="JPY38" s="612"/>
      <c r="JPZ38" s="612"/>
      <c r="JQA38" s="612"/>
      <c r="JQB38" s="612"/>
      <c r="JQC38" s="612"/>
      <c r="JQD38" s="612"/>
      <c r="JQE38" s="612"/>
      <c r="JQF38" s="612"/>
      <c r="JQG38" s="612"/>
      <c r="JQH38" s="612"/>
      <c r="JQI38" s="612"/>
      <c r="JQJ38" s="612"/>
      <c r="JQK38" s="612"/>
      <c r="JQL38" s="612"/>
      <c r="JQM38" s="612"/>
      <c r="JQN38" s="612"/>
      <c r="JQO38" s="612"/>
      <c r="JQP38" s="612"/>
      <c r="JQQ38" s="612"/>
      <c r="JQR38" s="612"/>
      <c r="JQS38" s="612"/>
      <c r="JQT38" s="612"/>
      <c r="JQU38" s="612"/>
      <c r="JQV38" s="612"/>
      <c r="JQW38" s="612"/>
      <c r="JQX38" s="612"/>
      <c r="JQY38" s="612"/>
      <c r="JQZ38" s="612"/>
      <c r="JRA38" s="612"/>
      <c r="JRB38" s="612"/>
      <c r="JRC38" s="612"/>
      <c r="JRD38" s="612"/>
      <c r="JRE38" s="612"/>
      <c r="JRF38" s="612"/>
      <c r="JRG38" s="612"/>
      <c r="JRH38" s="612"/>
      <c r="JRI38" s="612"/>
      <c r="JRJ38" s="612"/>
      <c r="JRK38" s="612"/>
      <c r="JRL38" s="612"/>
      <c r="JRM38" s="612"/>
      <c r="JRN38" s="612"/>
      <c r="JRO38" s="612"/>
      <c r="JRP38" s="612"/>
      <c r="JRQ38" s="612"/>
      <c r="JRR38" s="612"/>
      <c r="JRS38" s="612"/>
      <c r="JRT38" s="612"/>
      <c r="JRU38" s="612"/>
      <c r="JRV38" s="612"/>
      <c r="JRW38" s="612"/>
      <c r="JRX38" s="612"/>
      <c r="JRY38" s="612"/>
      <c r="JRZ38" s="612"/>
      <c r="JSA38" s="612"/>
      <c r="JSB38" s="612"/>
      <c r="JSC38" s="612"/>
      <c r="JSD38" s="612"/>
      <c r="JSE38" s="612"/>
      <c r="JSF38" s="612"/>
      <c r="JSG38" s="612"/>
      <c r="JSH38" s="612"/>
      <c r="JSI38" s="612"/>
      <c r="JSJ38" s="612"/>
      <c r="JSK38" s="612"/>
      <c r="JSL38" s="612"/>
      <c r="JSM38" s="612"/>
      <c r="JSN38" s="612"/>
      <c r="JSO38" s="612"/>
      <c r="JSP38" s="612"/>
      <c r="JSQ38" s="612"/>
      <c r="JSR38" s="612"/>
      <c r="JSS38" s="612"/>
      <c r="JST38" s="612"/>
      <c r="JSU38" s="612"/>
      <c r="JSV38" s="612"/>
      <c r="JSW38" s="612"/>
      <c r="JSX38" s="612"/>
      <c r="JSY38" s="612"/>
      <c r="JSZ38" s="612"/>
      <c r="JTA38" s="612"/>
      <c r="JTB38" s="612"/>
      <c r="JTC38" s="612"/>
      <c r="JTD38" s="612"/>
      <c r="JTE38" s="612"/>
      <c r="JTF38" s="612"/>
      <c r="JTG38" s="612"/>
      <c r="JTH38" s="612"/>
      <c r="JTI38" s="612"/>
      <c r="JTJ38" s="612"/>
      <c r="JTK38" s="612"/>
      <c r="JTL38" s="612"/>
      <c r="JTM38" s="612"/>
      <c r="JTN38" s="612"/>
      <c r="JTO38" s="612"/>
      <c r="JTP38" s="612"/>
      <c r="JTQ38" s="612"/>
      <c r="JTR38" s="612"/>
      <c r="JTS38" s="612"/>
      <c r="JTT38" s="612"/>
      <c r="JTU38" s="612"/>
      <c r="JTV38" s="612"/>
      <c r="JTW38" s="612"/>
      <c r="JTX38" s="612"/>
      <c r="JTY38" s="612"/>
      <c r="JTZ38" s="612"/>
      <c r="JUA38" s="612"/>
      <c r="JUB38" s="612"/>
      <c r="JUC38" s="612"/>
      <c r="JUD38" s="612"/>
      <c r="JUE38" s="612"/>
      <c r="JUF38" s="612"/>
      <c r="JUG38" s="612"/>
      <c r="JUH38" s="612"/>
      <c r="JUI38" s="612"/>
      <c r="JUJ38" s="612"/>
      <c r="JUK38" s="612"/>
      <c r="JUL38" s="612"/>
      <c r="JUM38" s="612"/>
      <c r="JUN38" s="612"/>
      <c r="JUO38" s="612"/>
      <c r="JUP38" s="612"/>
      <c r="JUQ38" s="612"/>
      <c r="JUR38" s="612"/>
      <c r="JUS38" s="612"/>
      <c r="JUT38" s="612"/>
      <c r="JUU38" s="612"/>
      <c r="JUV38" s="612"/>
      <c r="JUW38" s="612"/>
      <c r="JUX38" s="612"/>
      <c r="JUY38" s="612"/>
      <c r="JUZ38" s="612"/>
      <c r="JVA38" s="612"/>
      <c r="JVB38" s="612"/>
      <c r="JVC38" s="612"/>
      <c r="JVD38" s="612"/>
      <c r="JVE38" s="612"/>
      <c r="JVF38" s="612"/>
      <c r="JVG38" s="612"/>
      <c r="JVH38" s="612"/>
      <c r="JVI38" s="612"/>
      <c r="JVJ38" s="612"/>
      <c r="JVK38" s="612"/>
      <c r="JVL38" s="612"/>
      <c r="JVM38" s="612"/>
      <c r="JVN38" s="612"/>
      <c r="JVO38" s="612"/>
      <c r="JVP38" s="612"/>
      <c r="JVQ38" s="612"/>
      <c r="JVR38" s="612"/>
      <c r="JVS38" s="612"/>
      <c r="JVT38" s="612"/>
      <c r="JVU38" s="612"/>
      <c r="JVV38" s="612"/>
      <c r="JVW38" s="612"/>
      <c r="JVX38" s="612"/>
      <c r="JVY38" s="612"/>
      <c r="JVZ38" s="612"/>
      <c r="JWA38" s="612"/>
      <c r="JWB38" s="612"/>
      <c r="JWC38" s="612"/>
      <c r="JWD38" s="612"/>
      <c r="JWE38" s="612"/>
      <c r="JWF38" s="612"/>
      <c r="JWG38" s="612"/>
      <c r="JWH38" s="612"/>
      <c r="JWI38" s="612"/>
      <c r="JWJ38" s="612"/>
      <c r="JWK38" s="612"/>
      <c r="JWL38" s="612"/>
      <c r="JWM38" s="612"/>
      <c r="JWN38" s="612"/>
      <c r="JWO38" s="612"/>
      <c r="JWP38" s="612"/>
      <c r="JWQ38" s="612"/>
      <c r="JWR38" s="612"/>
      <c r="JWS38" s="612"/>
      <c r="JWT38" s="612"/>
      <c r="JWU38" s="612"/>
      <c r="JWV38" s="612"/>
      <c r="JWW38" s="612"/>
      <c r="JWX38" s="612"/>
      <c r="JWY38" s="612"/>
      <c r="JWZ38" s="612"/>
      <c r="JXA38" s="612"/>
      <c r="JXB38" s="612"/>
      <c r="JXC38" s="612"/>
      <c r="JXD38" s="612"/>
      <c r="JXE38" s="612"/>
      <c r="JXF38" s="612"/>
      <c r="JXG38" s="612"/>
      <c r="JXH38" s="612"/>
      <c r="JXI38" s="612"/>
      <c r="JXJ38" s="612"/>
      <c r="JXK38" s="612"/>
      <c r="JXL38" s="612"/>
      <c r="JXM38" s="612"/>
      <c r="JXN38" s="612"/>
      <c r="JXO38" s="612"/>
      <c r="JXP38" s="612"/>
      <c r="JXQ38" s="612"/>
      <c r="JXR38" s="612"/>
      <c r="JXS38" s="612"/>
      <c r="JXT38" s="612"/>
      <c r="JXU38" s="612"/>
      <c r="JXV38" s="612"/>
      <c r="JXW38" s="612"/>
      <c r="JXX38" s="612"/>
      <c r="JXY38" s="612"/>
      <c r="JXZ38" s="612"/>
      <c r="JYA38" s="612"/>
      <c r="JYB38" s="612"/>
      <c r="JYC38" s="612"/>
      <c r="JYD38" s="612"/>
      <c r="JYE38" s="612"/>
      <c r="JYF38" s="612"/>
      <c r="JYG38" s="612"/>
      <c r="JYH38" s="612"/>
      <c r="JYI38" s="612"/>
      <c r="JYJ38" s="612"/>
      <c r="JYK38" s="612"/>
      <c r="JYL38" s="612"/>
      <c r="JYM38" s="612"/>
      <c r="JYN38" s="612"/>
      <c r="JYO38" s="612"/>
      <c r="JYP38" s="612"/>
      <c r="JYQ38" s="612"/>
      <c r="JYR38" s="612"/>
      <c r="JYS38" s="612"/>
      <c r="JYT38" s="612"/>
      <c r="JYU38" s="612"/>
      <c r="JYV38" s="612"/>
      <c r="JYW38" s="612"/>
      <c r="JYX38" s="612"/>
      <c r="JYY38" s="612"/>
      <c r="JYZ38" s="612"/>
      <c r="JZA38" s="612"/>
      <c r="JZB38" s="612"/>
      <c r="JZC38" s="612"/>
      <c r="JZD38" s="612"/>
      <c r="JZE38" s="612"/>
      <c r="JZF38" s="612"/>
      <c r="JZG38" s="612"/>
      <c r="JZH38" s="612"/>
      <c r="JZI38" s="612"/>
      <c r="JZJ38" s="612"/>
      <c r="JZK38" s="612"/>
      <c r="JZL38" s="612"/>
      <c r="JZM38" s="612"/>
      <c r="JZN38" s="612"/>
      <c r="JZO38" s="612"/>
      <c r="JZP38" s="612"/>
      <c r="JZQ38" s="612"/>
      <c r="JZR38" s="612"/>
      <c r="JZS38" s="612"/>
      <c r="JZT38" s="612"/>
      <c r="JZU38" s="612"/>
      <c r="JZV38" s="612"/>
      <c r="JZW38" s="612"/>
      <c r="JZX38" s="612"/>
      <c r="JZY38" s="612"/>
      <c r="JZZ38" s="612"/>
      <c r="KAA38" s="612"/>
      <c r="KAB38" s="612"/>
      <c r="KAC38" s="612"/>
      <c r="KAD38" s="612"/>
      <c r="KAE38" s="612"/>
      <c r="KAF38" s="612"/>
      <c r="KAG38" s="612"/>
      <c r="KAH38" s="612"/>
      <c r="KAI38" s="612"/>
      <c r="KAJ38" s="612"/>
      <c r="KAK38" s="612"/>
      <c r="KAL38" s="612"/>
      <c r="KAM38" s="612"/>
      <c r="KAN38" s="612"/>
      <c r="KAO38" s="612"/>
      <c r="KAP38" s="612"/>
      <c r="KAQ38" s="612"/>
      <c r="KAR38" s="612"/>
      <c r="KAS38" s="612"/>
      <c r="KAT38" s="612"/>
      <c r="KAU38" s="612"/>
      <c r="KAV38" s="612"/>
      <c r="KAW38" s="612"/>
      <c r="KAX38" s="612"/>
      <c r="KAY38" s="612"/>
      <c r="KAZ38" s="612"/>
      <c r="KBA38" s="612"/>
      <c r="KBB38" s="612"/>
      <c r="KBC38" s="612"/>
      <c r="KBD38" s="612"/>
      <c r="KBE38" s="612"/>
      <c r="KBF38" s="612"/>
      <c r="KBG38" s="612"/>
      <c r="KBH38" s="612"/>
      <c r="KBI38" s="612"/>
      <c r="KBJ38" s="612"/>
      <c r="KBK38" s="612"/>
      <c r="KBL38" s="612"/>
      <c r="KBM38" s="612"/>
      <c r="KBN38" s="612"/>
      <c r="KBO38" s="612"/>
      <c r="KBP38" s="612"/>
      <c r="KBQ38" s="612"/>
      <c r="KBR38" s="612"/>
      <c r="KBS38" s="612"/>
      <c r="KBT38" s="612"/>
      <c r="KBU38" s="612"/>
      <c r="KBV38" s="612"/>
      <c r="KBW38" s="612"/>
      <c r="KBX38" s="612"/>
      <c r="KBY38" s="612"/>
      <c r="KBZ38" s="612"/>
      <c r="KCA38" s="612"/>
      <c r="KCB38" s="612"/>
      <c r="KCC38" s="612"/>
      <c r="KCD38" s="612"/>
      <c r="KCE38" s="612"/>
      <c r="KCF38" s="612"/>
      <c r="KCG38" s="612"/>
      <c r="KCH38" s="612"/>
      <c r="KCI38" s="612"/>
      <c r="KCJ38" s="612"/>
      <c r="KCK38" s="612"/>
      <c r="KCL38" s="612"/>
      <c r="KCM38" s="612"/>
      <c r="KCN38" s="612"/>
      <c r="KCO38" s="612"/>
      <c r="KCP38" s="612"/>
      <c r="KCQ38" s="612"/>
      <c r="KCR38" s="612"/>
      <c r="KCS38" s="612"/>
      <c r="KCT38" s="612"/>
      <c r="KCU38" s="612"/>
      <c r="KCV38" s="612"/>
      <c r="KCW38" s="612"/>
      <c r="KCX38" s="612"/>
      <c r="KCY38" s="612"/>
      <c r="KCZ38" s="612"/>
      <c r="KDA38" s="612"/>
      <c r="KDB38" s="612"/>
      <c r="KDC38" s="612"/>
      <c r="KDD38" s="612"/>
      <c r="KDE38" s="612"/>
      <c r="KDF38" s="612"/>
      <c r="KDG38" s="612"/>
      <c r="KDH38" s="612"/>
      <c r="KDI38" s="612"/>
      <c r="KDJ38" s="612"/>
      <c r="KDK38" s="612"/>
      <c r="KDL38" s="612"/>
      <c r="KDM38" s="612"/>
      <c r="KDN38" s="612"/>
      <c r="KDO38" s="612"/>
      <c r="KDP38" s="612"/>
      <c r="KDQ38" s="612"/>
      <c r="KDR38" s="612"/>
      <c r="KDS38" s="612"/>
      <c r="KDT38" s="612"/>
      <c r="KDU38" s="612"/>
      <c r="KDV38" s="612"/>
      <c r="KDW38" s="612"/>
      <c r="KDX38" s="612"/>
      <c r="KDY38" s="612"/>
      <c r="KDZ38" s="612"/>
      <c r="KEA38" s="612"/>
      <c r="KEB38" s="612"/>
      <c r="KEC38" s="612"/>
      <c r="KED38" s="612"/>
      <c r="KEE38" s="612"/>
      <c r="KEF38" s="612"/>
      <c r="KEG38" s="612"/>
      <c r="KEH38" s="612"/>
      <c r="KEI38" s="612"/>
      <c r="KEJ38" s="612"/>
      <c r="KEK38" s="612"/>
      <c r="KEL38" s="612"/>
      <c r="KEM38" s="612"/>
      <c r="KEN38" s="612"/>
      <c r="KEO38" s="612"/>
      <c r="KEP38" s="612"/>
      <c r="KEQ38" s="612"/>
      <c r="KER38" s="612"/>
      <c r="KES38" s="612"/>
      <c r="KET38" s="612"/>
      <c r="KEU38" s="612"/>
      <c r="KEV38" s="612"/>
      <c r="KEW38" s="612"/>
      <c r="KEX38" s="612"/>
      <c r="KEY38" s="612"/>
      <c r="KEZ38" s="612"/>
      <c r="KFA38" s="612"/>
      <c r="KFB38" s="612"/>
      <c r="KFC38" s="612"/>
      <c r="KFD38" s="612"/>
      <c r="KFE38" s="612"/>
      <c r="KFF38" s="612"/>
      <c r="KFG38" s="612"/>
      <c r="KFH38" s="612"/>
      <c r="KFI38" s="612"/>
      <c r="KFJ38" s="612"/>
      <c r="KFK38" s="612"/>
      <c r="KFL38" s="612"/>
      <c r="KFM38" s="612"/>
      <c r="KFN38" s="612"/>
      <c r="KFO38" s="612"/>
      <c r="KFP38" s="612"/>
      <c r="KFQ38" s="612"/>
      <c r="KFR38" s="612"/>
      <c r="KFS38" s="612"/>
      <c r="KFT38" s="612"/>
      <c r="KFU38" s="612"/>
      <c r="KFV38" s="612"/>
      <c r="KFW38" s="612"/>
      <c r="KFX38" s="612"/>
      <c r="KFY38" s="612"/>
      <c r="KFZ38" s="612"/>
      <c r="KGA38" s="612"/>
      <c r="KGB38" s="612"/>
      <c r="KGC38" s="612"/>
      <c r="KGD38" s="612"/>
      <c r="KGE38" s="612"/>
      <c r="KGF38" s="612"/>
      <c r="KGG38" s="612"/>
      <c r="KGH38" s="612"/>
      <c r="KGI38" s="612"/>
      <c r="KGJ38" s="612"/>
      <c r="KGK38" s="612"/>
      <c r="KGL38" s="612"/>
      <c r="KGM38" s="612"/>
      <c r="KGN38" s="612"/>
      <c r="KGO38" s="612"/>
      <c r="KGP38" s="612"/>
      <c r="KGQ38" s="612"/>
      <c r="KGR38" s="612"/>
      <c r="KGS38" s="612"/>
      <c r="KGT38" s="612"/>
      <c r="KGU38" s="612"/>
      <c r="KGV38" s="612"/>
      <c r="KGW38" s="612"/>
      <c r="KGX38" s="612"/>
      <c r="KGY38" s="612"/>
      <c r="KGZ38" s="612"/>
      <c r="KHA38" s="612"/>
      <c r="KHB38" s="612"/>
      <c r="KHC38" s="612"/>
      <c r="KHD38" s="612"/>
      <c r="KHE38" s="612"/>
      <c r="KHF38" s="612"/>
      <c r="KHG38" s="612"/>
      <c r="KHH38" s="612"/>
      <c r="KHI38" s="612"/>
      <c r="KHJ38" s="612"/>
      <c r="KHK38" s="612"/>
      <c r="KHL38" s="612"/>
      <c r="KHM38" s="612"/>
      <c r="KHN38" s="612"/>
      <c r="KHO38" s="612"/>
      <c r="KHP38" s="612"/>
      <c r="KHQ38" s="612"/>
      <c r="KHR38" s="612"/>
      <c r="KHS38" s="612"/>
      <c r="KHT38" s="612"/>
      <c r="KHU38" s="612"/>
      <c r="KHV38" s="612"/>
      <c r="KHW38" s="612"/>
      <c r="KHX38" s="612"/>
      <c r="KHY38" s="612"/>
      <c r="KHZ38" s="612"/>
      <c r="KIA38" s="612"/>
      <c r="KIB38" s="612"/>
      <c r="KIC38" s="612"/>
      <c r="KID38" s="612"/>
      <c r="KIE38" s="612"/>
      <c r="KIF38" s="612"/>
      <c r="KIG38" s="612"/>
      <c r="KIH38" s="612"/>
      <c r="KII38" s="612"/>
      <c r="KIJ38" s="612"/>
      <c r="KIK38" s="612"/>
      <c r="KIL38" s="612"/>
      <c r="KIM38" s="612"/>
      <c r="KIN38" s="612"/>
      <c r="KIO38" s="612"/>
      <c r="KIP38" s="612"/>
      <c r="KIQ38" s="612"/>
      <c r="KIR38" s="612"/>
      <c r="KIS38" s="612"/>
      <c r="KIT38" s="612"/>
      <c r="KIU38" s="612"/>
      <c r="KIV38" s="612"/>
      <c r="KIW38" s="612"/>
      <c r="KIX38" s="612"/>
      <c r="KIY38" s="612"/>
      <c r="KIZ38" s="612"/>
      <c r="KJA38" s="612"/>
      <c r="KJB38" s="612"/>
      <c r="KJC38" s="612"/>
      <c r="KJD38" s="612"/>
      <c r="KJE38" s="612"/>
      <c r="KJF38" s="612"/>
      <c r="KJG38" s="612"/>
      <c r="KJH38" s="612"/>
      <c r="KJI38" s="612"/>
      <c r="KJJ38" s="612"/>
      <c r="KJK38" s="612"/>
      <c r="KJL38" s="612"/>
      <c r="KJM38" s="612"/>
      <c r="KJN38" s="612"/>
      <c r="KJO38" s="612"/>
      <c r="KJP38" s="612"/>
      <c r="KJQ38" s="612"/>
      <c r="KJR38" s="612"/>
      <c r="KJS38" s="612"/>
      <c r="KJT38" s="612"/>
      <c r="KJU38" s="612"/>
      <c r="KJV38" s="612"/>
      <c r="KJW38" s="612"/>
      <c r="KJX38" s="612"/>
      <c r="KJY38" s="612"/>
      <c r="KJZ38" s="612"/>
      <c r="KKA38" s="612"/>
      <c r="KKB38" s="612"/>
      <c r="KKC38" s="612"/>
      <c r="KKD38" s="612"/>
      <c r="KKE38" s="612"/>
      <c r="KKF38" s="612"/>
      <c r="KKG38" s="612"/>
      <c r="KKH38" s="612"/>
      <c r="KKI38" s="612"/>
      <c r="KKJ38" s="612"/>
      <c r="KKK38" s="612"/>
      <c r="KKL38" s="612"/>
      <c r="KKM38" s="612"/>
      <c r="KKN38" s="612"/>
      <c r="KKO38" s="612"/>
      <c r="KKP38" s="612"/>
      <c r="KKQ38" s="612"/>
      <c r="KKR38" s="612"/>
      <c r="KKS38" s="612"/>
      <c r="KKT38" s="612"/>
      <c r="KKU38" s="612"/>
      <c r="KKV38" s="612"/>
      <c r="KKW38" s="612"/>
      <c r="KKX38" s="612"/>
      <c r="KKY38" s="612"/>
      <c r="KKZ38" s="612"/>
      <c r="KLA38" s="612"/>
      <c r="KLB38" s="612"/>
      <c r="KLC38" s="612"/>
      <c r="KLD38" s="612"/>
      <c r="KLE38" s="612"/>
      <c r="KLF38" s="612"/>
      <c r="KLG38" s="612"/>
      <c r="KLH38" s="612"/>
      <c r="KLI38" s="612"/>
      <c r="KLJ38" s="612"/>
      <c r="KLK38" s="612"/>
      <c r="KLL38" s="612"/>
      <c r="KLM38" s="612"/>
      <c r="KLN38" s="612"/>
      <c r="KLO38" s="612"/>
      <c r="KLP38" s="612"/>
      <c r="KLQ38" s="612"/>
      <c r="KLR38" s="612"/>
      <c r="KLS38" s="612"/>
      <c r="KLT38" s="612"/>
      <c r="KLU38" s="612"/>
      <c r="KLV38" s="612"/>
      <c r="KLW38" s="612"/>
      <c r="KLX38" s="612"/>
      <c r="KLY38" s="612"/>
      <c r="KLZ38" s="612"/>
      <c r="KMA38" s="612"/>
      <c r="KMB38" s="612"/>
      <c r="KMC38" s="612"/>
      <c r="KMD38" s="612"/>
      <c r="KME38" s="612"/>
      <c r="KMF38" s="612"/>
      <c r="KMG38" s="612"/>
      <c r="KMH38" s="612"/>
      <c r="KMI38" s="612"/>
      <c r="KMJ38" s="612"/>
      <c r="KMK38" s="612"/>
      <c r="KML38" s="612"/>
      <c r="KMM38" s="612"/>
      <c r="KMN38" s="612"/>
      <c r="KMO38" s="612"/>
      <c r="KMP38" s="612"/>
      <c r="KMQ38" s="612"/>
      <c r="KMR38" s="612"/>
      <c r="KMS38" s="612"/>
      <c r="KMT38" s="612"/>
      <c r="KMU38" s="612"/>
      <c r="KMV38" s="612"/>
      <c r="KMW38" s="612"/>
      <c r="KMX38" s="612"/>
      <c r="KMY38" s="612"/>
      <c r="KMZ38" s="612"/>
      <c r="KNA38" s="612"/>
      <c r="KNB38" s="612"/>
      <c r="KNC38" s="612"/>
      <c r="KND38" s="612"/>
      <c r="KNE38" s="612"/>
      <c r="KNF38" s="612"/>
      <c r="KNG38" s="612"/>
      <c r="KNH38" s="612"/>
      <c r="KNI38" s="612"/>
      <c r="KNJ38" s="612"/>
      <c r="KNK38" s="612"/>
      <c r="KNL38" s="612"/>
      <c r="KNM38" s="612"/>
      <c r="KNN38" s="612"/>
      <c r="KNO38" s="612"/>
      <c r="KNP38" s="612"/>
      <c r="KNQ38" s="612"/>
      <c r="KNR38" s="612"/>
      <c r="KNS38" s="612"/>
      <c r="KNT38" s="612"/>
      <c r="KNU38" s="612"/>
      <c r="KNV38" s="612"/>
      <c r="KNW38" s="612"/>
      <c r="KNX38" s="612"/>
      <c r="KNY38" s="612"/>
      <c r="KNZ38" s="612"/>
      <c r="KOA38" s="612"/>
      <c r="KOB38" s="612"/>
      <c r="KOC38" s="612"/>
      <c r="KOD38" s="612"/>
      <c r="KOE38" s="612"/>
      <c r="KOF38" s="612"/>
      <c r="KOG38" s="612"/>
      <c r="KOH38" s="612"/>
      <c r="KOI38" s="612"/>
      <c r="KOJ38" s="612"/>
      <c r="KOK38" s="612"/>
      <c r="KOL38" s="612"/>
      <c r="KOM38" s="612"/>
      <c r="KON38" s="612"/>
      <c r="KOO38" s="612"/>
      <c r="KOP38" s="612"/>
      <c r="KOQ38" s="612"/>
      <c r="KOR38" s="612"/>
      <c r="KOS38" s="612"/>
      <c r="KOT38" s="612"/>
      <c r="KOU38" s="612"/>
      <c r="KOV38" s="612"/>
      <c r="KOW38" s="612"/>
      <c r="KOX38" s="612"/>
      <c r="KOY38" s="612"/>
      <c r="KOZ38" s="612"/>
      <c r="KPA38" s="612"/>
      <c r="KPB38" s="612"/>
      <c r="KPC38" s="612"/>
      <c r="KPD38" s="612"/>
      <c r="KPE38" s="612"/>
      <c r="KPF38" s="612"/>
      <c r="KPG38" s="612"/>
      <c r="KPH38" s="612"/>
      <c r="KPI38" s="612"/>
      <c r="KPJ38" s="612"/>
      <c r="KPK38" s="612"/>
      <c r="KPL38" s="612"/>
      <c r="KPM38" s="612"/>
      <c r="KPN38" s="612"/>
      <c r="KPO38" s="612"/>
      <c r="KPP38" s="612"/>
      <c r="KPQ38" s="612"/>
      <c r="KPR38" s="612"/>
      <c r="KPS38" s="612"/>
      <c r="KPT38" s="612"/>
      <c r="KPU38" s="612"/>
      <c r="KPV38" s="612"/>
      <c r="KPW38" s="612"/>
      <c r="KPX38" s="612"/>
      <c r="KPY38" s="612"/>
      <c r="KPZ38" s="612"/>
      <c r="KQA38" s="612"/>
      <c r="KQB38" s="612"/>
      <c r="KQC38" s="612"/>
      <c r="KQD38" s="612"/>
      <c r="KQE38" s="612"/>
      <c r="KQF38" s="612"/>
      <c r="KQG38" s="612"/>
      <c r="KQH38" s="612"/>
      <c r="KQI38" s="612"/>
      <c r="KQJ38" s="612"/>
      <c r="KQK38" s="612"/>
      <c r="KQL38" s="612"/>
      <c r="KQM38" s="612"/>
      <c r="KQN38" s="612"/>
      <c r="KQO38" s="612"/>
      <c r="KQP38" s="612"/>
      <c r="KQQ38" s="612"/>
      <c r="KQR38" s="612"/>
      <c r="KQS38" s="612"/>
      <c r="KQT38" s="612"/>
      <c r="KQU38" s="612"/>
      <c r="KQV38" s="612"/>
      <c r="KQW38" s="612"/>
      <c r="KQX38" s="612"/>
      <c r="KQY38" s="612"/>
      <c r="KQZ38" s="612"/>
      <c r="KRA38" s="612"/>
      <c r="KRB38" s="612"/>
      <c r="KRC38" s="612"/>
      <c r="KRD38" s="612"/>
      <c r="KRE38" s="612"/>
      <c r="KRF38" s="612"/>
      <c r="KRG38" s="612"/>
      <c r="KRH38" s="612"/>
      <c r="KRI38" s="612"/>
      <c r="KRJ38" s="612"/>
      <c r="KRK38" s="612"/>
      <c r="KRL38" s="612"/>
      <c r="KRM38" s="612"/>
      <c r="KRN38" s="612"/>
      <c r="KRO38" s="612"/>
      <c r="KRP38" s="612"/>
      <c r="KRQ38" s="612"/>
      <c r="KRR38" s="612"/>
      <c r="KRS38" s="612"/>
      <c r="KRT38" s="612"/>
      <c r="KRU38" s="612"/>
      <c r="KRV38" s="612"/>
      <c r="KRW38" s="612"/>
      <c r="KRX38" s="612"/>
      <c r="KRY38" s="612"/>
      <c r="KRZ38" s="612"/>
      <c r="KSA38" s="612"/>
      <c r="KSB38" s="612"/>
      <c r="KSC38" s="612"/>
      <c r="KSD38" s="612"/>
      <c r="KSE38" s="612"/>
      <c r="KSF38" s="612"/>
      <c r="KSG38" s="612"/>
      <c r="KSH38" s="612"/>
      <c r="KSI38" s="612"/>
      <c r="KSJ38" s="612"/>
      <c r="KSK38" s="612"/>
      <c r="KSL38" s="612"/>
      <c r="KSM38" s="612"/>
      <c r="KSN38" s="612"/>
      <c r="KSO38" s="612"/>
      <c r="KSP38" s="612"/>
      <c r="KSQ38" s="612"/>
      <c r="KSR38" s="612"/>
      <c r="KSS38" s="612"/>
      <c r="KST38" s="612"/>
      <c r="KSU38" s="612"/>
      <c r="KSV38" s="612"/>
      <c r="KSW38" s="612"/>
      <c r="KSX38" s="612"/>
      <c r="KSY38" s="612"/>
      <c r="KSZ38" s="612"/>
      <c r="KTA38" s="612"/>
      <c r="KTB38" s="612"/>
      <c r="KTC38" s="612"/>
      <c r="KTD38" s="612"/>
      <c r="KTE38" s="612"/>
      <c r="KTF38" s="612"/>
      <c r="KTG38" s="612"/>
      <c r="KTH38" s="612"/>
      <c r="KTI38" s="612"/>
      <c r="KTJ38" s="612"/>
      <c r="KTK38" s="612"/>
      <c r="KTL38" s="612"/>
      <c r="KTM38" s="612"/>
      <c r="KTN38" s="612"/>
      <c r="KTO38" s="612"/>
      <c r="KTP38" s="612"/>
      <c r="KTQ38" s="612"/>
      <c r="KTR38" s="612"/>
      <c r="KTS38" s="612"/>
      <c r="KTT38" s="612"/>
      <c r="KTU38" s="612"/>
      <c r="KTV38" s="612"/>
      <c r="KTW38" s="612"/>
      <c r="KTX38" s="612"/>
      <c r="KTY38" s="612"/>
      <c r="KTZ38" s="612"/>
      <c r="KUA38" s="612"/>
      <c r="KUB38" s="612"/>
      <c r="KUC38" s="612"/>
      <c r="KUD38" s="612"/>
      <c r="KUE38" s="612"/>
      <c r="KUF38" s="612"/>
      <c r="KUG38" s="612"/>
      <c r="KUH38" s="612"/>
      <c r="KUI38" s="612"/>
      <c r="KUJ38" s="612"/>
      <c r="KUK38" s="612"/>
      <c r="KUL38" s="612"/>
      <c r="KUM38" s="612"/>
      <c r="KUN38" s="612"/>
      <c r="KUO38" s="612"/>
      <c r="KUP38" s="612"/>
      <c r="KUQ38" s="612"/>
      <c r="KUR38" s="612"/>
      <c r="KUS38" s="612"/>
      <c r="KUT38" s="612"/>
      <c r="KUU38" s="612"/>
      <c r="KUV38" s="612"/>
      <c r="KUW38" s="612"/>
      <c r="KUX38" s="612"/>
      <c r="KUY38" s="612"/>
      <c r="KUZ38" s="612"/>
      <c r="KVA38" s="612"/>
      <c r="KVB38" s="612"/>
      <c r="KVC38" s="612"/>
      <c r="KVD38" s="612"/>
      <c r="KVE38" s="612"/>
      <c r="KVF38" s="612"/>
      <c r="KVG38" s="612"/>
      <c r="KVH38" s="612"/>
      <c r="KVI38" s="612"/>
      <c r="KVJ38" s="612"/>
      <c r="KVK38" s="612"/>
      <c r="KVL38" s="612"/>
      <c r="KVM38" s="612"/>
      <c r="KVN38" s="612"/>
      <c r="KVO38" s="612"/>
      <c r="KVP38" s="612"/>
      <c r="KVQ38" s="612"/>
      <c r="KVR38" s="612"/>
      <c r="KVS38" s="612"/>
      <c r="KVT38" s="612"/>
      <c r="KVU38" s="612"/>
      <c r="KVV38" s="612"/>
      <c r="KVW38" s="612"/>
      <c r="KVX38" s="612"/>
      <c r="KVY38" s="612"/>
      <c r="KVZ38" s="612"/>
      <c r="KWA38" s="612"/>
      <c r="KWB38" s="612"/>
      <c r="KWC38" s="612"/>
      <c r="KWD38" s="612"/>
      <c r="KWE38" s="612"/>
      <c r="KWF38" s="612"/>
      <c r="KWG38" s="612"/>
      <c r="KWH38" s="612"/>
      <c r="KWI38" s="612"/>
      <c r="KWJ38" s="612"/>
      <c r="KWK38" s="612"/>
      <c r="KWL38" s="612"/>
      <c r="KWM38" s="612"/>
      <c r="KWN38" s="612"/>
      <c r="KWO38" s="612"/>
      <c r="KWP38" s="612"/>
      <c r="KWQ38" s="612"/>
      <c r="KWR38" s="612"/>
      <c r="KWS38" s="612"/>
      <c r="KWT38" s="612"/>
      <c r="KWU38" s="612"/>
      <c r="KWV38" s="612"/>
      <c r="KWW38" s="612"/>
      <c r="KWX38" s="612"/>
      <c r="KWY38" s="612"/>
      <c r="KWZ38" s="612"/>
      <c r="KXA38" s="612"/>
      <c r="KXB38" s="612"/>
      <c r="KXC38" s="612"/>
      <c r="KXD38" s="612"/>
      <c r="KXE38" s="612"/>
      <c r="KXF38" s="612"/>
      <c r="KXG38" s="612"/>
      <c r="KXH38" s="612"/>
      <c r="KXI38" s="612"/>
      <c r="KXJ38" s="612"/>
      <c r="KXK38" s="612"/>
      <c r="KXL38" s="612"/>
      <c r="KXM38" s="612"/>
      <c r="KXN38" s="612"/>
      <c r="KXO38" s="612"/>
      <c r="KXP38" s="612"/>
      <c r="KXQ38" s="612"/>
      <c r="KXR38" s="612"/>
      <c r="KXS38" s="612"/>
      <c r="KXT38" s="612"/>
      <c r="KXU38" s="612"/>
      <c r="KXV38" s="612"/>
      <c r="KXW38" s="612"/>
      <c r="KXX38" s="612"/>
      <c r="KXY38" s="612"/>
      <c r="KXZ38" s="612"/>
      <c r="KYA38" s="612"/>
      <c r="KYB38" s="612"/>
      <c r="KYC38" s="612"/>
      <c r="KYD38" s="612"/>
      <c r="KYE38" s="612"/>
      <c r="KYF38" s="612"/>
      <c r="KYG38" s="612"/>
      <c r="KYH38" s="612"/>
      <c r="KYI38" s="612"/>
      <c r="KYJ38" s="612"/>
      <c r="KYK38" s="612"/>
      <c r="KYL38" s="612"/>
      <c r="KYM38" s="612"/>
      <c r="KYN38" s="612"/>
      <c r="KYO38" s="612"/>
      <c r="KYP38" s="612"/>
      <c r="KYQ38" s="612"/>
      <c r="KYR38" s="612"/>
      <c r="KYS38" s="612"/>
      <c r="KYT38" s="612"/>
      <c r="KYU38" s="612"/>
      <c r="KYV38" s="612"/>
      <c r="KYW38" s="612"/>
      <c r="KYX38" s="612"/>
      <c r="KYY38" s="612"/>
      <c r="KYZ38" s="612"/>
      <c r="KZA38" s="612"/>
      <c r="KZB38" s="612"/>
      <c r="KZC38" s="612"/>
      <c r="KZD38" s="612"/>
      <c r="KZE38" s="612"/>
      <c r="KZF38" s="612"/>
      <c r="KZG38" s="612"/>
      <c r="KZH38" s="612"/>
      <c r="KZI38" s="612"/>
      <c r="KZJ38" s="612"/>
      <c r="KZK38" s="612"/>
      <c r="KZL38" s="612"/>
      <c r="KZM38" s="612"/>
      <c r="KZN38" s="612"/>
      <c r="KZO38" s="612"/>
      <c r="KZP38" s="612"/>
      <c r="KZQ38" s="612"/>
      <c r="KZR38" s="612"/>
      <c r="KZS38" s="612"/>
      <c r="KZT38" s="612"/>
      <c r="KZU38" s="612"/>
      <c r="KZV38" s="612"/>
      <c r="KZW38" s="612"/>
      <c r="KZX38" s="612"/>
      <c r="KZY38" s="612"/>
      <c r="KZZ38" s="612"/>
      <c r="LAA38" s="612"/>
      <c r="LAB38" s="612"/>
      <c r="LAC38" s="612"/>
      <c r="LAD38" s="612"/>
      <c r="LAE38" s="612"/>
      <c r="LAF38" s="612"/>
      <c r="LAG38" s="612"/>
      <c r="LAH38" s="612"/>
      <c r="LAI38" s="612"/>
      <c r="LAJ38" s="612"/>
      <c r="LAK38" s="612"/>
      <c r="LAL38" s="612"/>
      <c r="LAM38" s="612"/>
      <c r="LAN38" s="612"/>
      <c r="LAO38" s="612"/>
      <c r="LAP38" s="612"/>
      <c r="LAQ38" s="612"/>
      <c r="LAR38" s="612"/>
      <c r="LAS38" s="612"/>
      <c r="LAT38" s="612"/>
      <c r="LAU38" s="612"/>
      <c r="LAV38" s="612"/>
      <c r="LAW38" s="612"/>
      <c r="LAX38" s="612"/>
      <c r="LAY38" s="612"/>
      <c r="LAZ38" s="612"/>
      <c r="LBA38" s="612"/>
      <c r="LBB38" s="612"/>
      <c r="LBC38" s="612"/>
      <c r="LBD38" s="612"/>
      <c r="LBE38" s="612"/>
      <c r="LBF38" s="612"/>
      <c r="LBG38" s="612"/>
      <c r="LBH38" s="612"/>
      <c r="LBI38" s="612"/>
      <c r="LBJ38" s="612"/>
      <c r="LBK38" s="612"/>
      <c r="LBL38" s="612"/>
      <c r="LBM38" s="612"/>
      <c r="LBN38" s="612"/>
      <c r="LBO38" s="612"/>
      <c r="LBP38" s="612"/>
      <c r="LBQ38" s="612"/>
      <c r="LBR38" s="612"/>
      <c r="LBS38" s="612"/>
      <c r="LBT38" s="612"/>
      <c r="LBU38" s="612"/>
      <c r="LBV38" s="612"/>
      <c r="LBW38" s="612"/>
      <c r="LBX38" s="612"/>
      <c r="LBY38" s="612"/>
      <c r="LBZ38" s="612"/>
      <c r="LCA38" s="612"/>
      <c r="LCB38" s="612"/>
      <c r="LCC38" s="612"/>
      <c r="LCD38" s="612"/>
      <c r="LCE38" s="612"/>
      <c r="LCF38" s="612"/>
      <c r="LCG38" s="612"/>
      <c r="LCH38" s="612"/>
      <c r="LCI38" s="612"/>
      <c r="LCJ38" s="612"/>
      <c r="LCK38" s="612"/>
      <c r="LCL38" s="612"/>
      <c r="LCM38" s="612"/>
      <c r="LCN38" s="612"/>
      <c r="LCO38" s="612"/>
      <c r="LCP38" s="612"/>
      <c r="LCQ38" s="612"/>
      <c r="LCR38" s="612"/>
      <c r="LCS38" s="612"/>
      <c r="LCT38" s="612"/>
      <c r="LCU38" s="612"/>
      <c r="LCV38" s="612"/>
      <c r="LCW38" s="612"/>
      <c r="LCX38" s="612"/>
      <c r="LCY38" s="612"/>
      <c r="LCZ38" s="612"/>
      <c r="LDA38" s="612"/>
      <c r="LDB38" s="612"/>
      <c r="LDC38" s="612"/>
      <c r="LDD38" s="612"/>
      <c r="LDE38" s="612"/>
      <c r="LDF38" s="612"/>
      <c r="LDG38" s="612"/>
      <c r="LDH38" s="612"/>
      <c r="LDI38" s="612"/>
      <c r="LDJ38" s="612"/>
      <c r="LDK38" s="612"/>
      <c r="LDL38" s="612"/>
      <c r="LDM38" s="612"/>
      <c r="LDN38" s="612"/>
      <c r="LDO38" s="612"/>
      <c r="LDP38" s="612"/>
      <c r="LDQ38" s="612"/>
      <c r="LDR38" s="612"/>
      <c r="LDS38" s="612"/>
      <c r="LDT38" s="612"/>
      <c r="LDU38" s="612"/>
      <c r="LDV38" s="612"/>
      <c r="LDW38" s="612"/>
      <c r="LDX38" s="612"/>
      <c r="LDY38" s="612"/>
      <c r="LDZ38" s="612"/>
      <c r="LEA38" s="612"/>
      <c r="LEB38" s="612"/>
      <c r="LEC38" s="612"/>
      <c r="LED38" s="612"/>
      <c r="LEE38" s="612"/>
      <c r="LEF38" s="612"/>
      <c r="LEG38" s="612"/>
      <c r="LEH38" s="612"/>
      <c r="LEI38" s="612"/>
      <c r="LEJ38" s="612"/>
      <c r="LEK38" s="612"/>
      <c r="LEL38" s="612"/>
      <c r="LEM38" s="612"/>
      <c r="LEN38" s="612"/>
      <c r="LEO38" s="612"/>
      <c r="LEP38" s="612"/>
      <c r="LEQ38" s="612"/>
      <c r="LER38" s="612"/>
      <c r="LES38" s="612"/>
      <c r="LET38" s="612"/>
      <c r="LEU38" s="612"/>
      <c r="LEV38" s="612"/>
      <c r="LEW38" s="612"/>
      <c r="LEX38" s="612"/>
      <c r="LEY38" s="612"/>
      <c r="LEZ38" s="612"/>
      <c r="LFA38" s="612"/>
      <c r="LFB38" s="612"/>
      <c r="LFC38" s="612"/>
      <c r="LFD38" s="612"/>
      <c r="LFE38" s="612"/>
      <c r="LFF38" s="612"/>
      <c r="LFG38" s="612"/>
      <c r="LFH38" s="612"/>
      <c r="LFI38" s="612"/>
      <c r="LFJ38" s="612"/>
      <c r="LFK38" s="612"/>
      <c r="LFL38" s="612"/>
      <c r="LFM38" s="612"/>
      <c r="LFN38" s="612"/>
      <c r="LFO38" s="612"/>
      <c r="LFP38" s="612"/>
      <c r="LFQ38" s="612"/>
      <c r="LFR38" s="612"/>
      <c r="LFS38" s="612"/>
      <c r="LFT38" s="612"/>
      <c r="LFU38" s="612"/>
      <c r="LFV38" s="612"/>
      <c r="LFW38" s="612"/>
      <c r="LFX38" s="612"/>
      <c r="LFY38" s="612"/>
      <c r="LFZ38" s="612"/>
      <c r="LGA38" s="612"/>
      <c r="LGB38" s="612"/>
      <c r="LGC38" s="612"/>
      <c r="LGD38" s="612"/>
      <c r="LGE38" s="612"/>
      <c r="LGF38" s="612"/>
      <c r="LGG38" s="612"/>
      <c r="LGH38" s="612"/>
      <c r="LGI38" s="612"/>
      <c r="LGJ38" s="612"/>
      <c r="LGK38" s="612"/>
      <c r="LGL38" s="612"/>
      <c r="LGM38" s="612"/>
      <c r="LGN38" s="612"/>
      <c r="LGO38" s="612"/>
      <c r="LGP38" s="612"/>
      <c r="LGQ38" s="612"/>
      <c r="LGR38" s="612"/>
      <c r="LGS38" s="612"/>
      <c r="LGT38" s="612"/>
      <c r="LGU38" s="612"/>
      <c r="LGV38" s="612"/>
      <c r="LGW38" s="612"/>
      <c r="LGX38" s="612"/>
      <c r="LGY38" s="612"/>
      <c r="LGZ38" s="612"/>
      <c r="LHA38" s="612"/>
      <c r="LHB38" s="612"/>
      <c r="LHC38" s="612"/>
      <c r="LHD38" s="612"/>
      <c r="LHE38" s="612"/>
      <c r="LHF38" s="612"/>
      <c r="LHG38" s="612"/>
      <c r="LHH38" s="612"/>
      <c r="LHI38" s="612"/>
      <c r="LHJ38" s="612"/>
      <c r="LHK38" s="612"/>
      <c r="LHL38" s="612"/>
      <c r="LHM38" s="612"/>
      <c r="LHN38" s="612"/>
      <c r="LHO38" s="612"/>
      <c r="LHP38" s="612"/>
      <c r="LHQ38" s="612"/>
      <c r="LHR38" s="612"/>
      <c r="LHS38" s="612"/>
      <c r="LHT38" s="612"/>
      <c r="LHU38" s="612"/>
      <c r="LHV38" s="612"/>
      <c r="LHW38" s="612"/>
      <c r="LHX38" s="612"/>
      <c r="LHY38" s="612"/>
      <c r="LHZ38" s="612"/>
      <c r="LIA38" s="612"/>
      <c r="LIB38" s="612"/>
      <c r="LIC38" s="612"/>
      <c r="LID38" s="612"/>
      <c r="LIE38" s="612"/>
      <c r="LIF38" s="612"/>
      <c r="LIG38" s="612"/>
      <c r="LIH38" s="612"/>
      <c r="LII38" s="612"/>
      <c r="LIJ38" s="612"/>
      <c r="LIK38" s="612"/>
      <c r="LIL38" s="612"/>
      <c r="LIM38" s="612"/>
      <c r="LIN38" s="612"/>
      <c r="LIO38" s="612"/>
      <c r="LIP38" s="612"/>
      <c r="LIQ38" s="612"/>
      <c r="LIR38" s="612"/>
      <c r="LIS38" s="612"/>
      <c r="LIT38" s="612"/>
      <c r="LIU38" s="612"/>
      <c r="LIV38" s="612"/>
      <c r="LIW38" s="612"/>
      <c r="LIX38" s="612"/>
      <c r="LIY38" s="612"/>
      <c r="LIZ38" s="612"/>
      <c r="LJA38" s="612"/>
      <c r="LJB38" s="612"/>
      <c r="LJC38" s="612"/>
      <c r="LJD38" s="612"/>
      <c r="LJE38" s="612"/>
      <c r="LJF38" s="612"/>
      <c r="LJG38" s="612"/>
      <c r="LJH38" s="612"/>
      <c r="LJI38" s="612"/>
      <c r="LJJ38" s="612"/>
      <c r="LJK38" s="612"/>
      <c r="LJL38" s="612"/>
      <c r="LJM38" s="612"/>
      <c r="LJN38" s="612"/>
      <c r="LJO38" s="612"/>
      <c r="LJP38" s="612"/>
      <c r="LJQ38" s="612"/>
      <c r="LJR38" s="612"/>
      <c r="LJS38" s="612"/>
      <c r="LJT38" s="612"/>
      <c r="LJU38" s="612"/>
      <c r="LJV38" s="612"/>
      <c r="LJW38" s="612"/>
      <c r="LJX38" s="612"/>
      <c r="LJY38" s="612"/>
      <c r="LJZ38" s="612"/>
      <c r="LKA38" s="612"/>
      <c r="LKB38" s="612"/>
      <c r="LKC38" s="612"/>
      <c r="LKD38" s="612"/>
      <c r="LKE38" s="612"/>
      <c r="LKF38" s="612"/>
      <c r="LKG38" s="612"/>
      <c r="LKH38" s="612"/>
      <c r="LKI38" s="612"/>
      <c r="LKJ38" s="612"/>
      <c r="LKK38" s="612"/>
      <c r="LKL38" s="612"/>
      <c r="LKM38" s="612"/>
      <c r="LKN38" s="612"/>
      <c r="LKO38" s="612"/>
      <c r="LKP38" s="612"/>
      <c r="LKQ38" s="612"/>
      <c r="LKR38" s="612"/>
      <c r="LKS38" s="612"/>
      <c r="LKT38" s="612"/>
      <c r="LKU38" s="612"/>
      <c r="LKV38" s="612"/>
      <c r="LKW38" s="612"/>
      <c r="LKX38" s="612"/>
      <c r="LKY38" s="612"/>
      <c r="LKZ38" s="612"/>
      <c r="LLA38" s="612"/>
      <c r="LLB38" s="612"/>
      <c r="LLC38" s="612"/>
      <c r="LLD38" s="612"/>
      <c r="LLE38" s="612"/>
      <c r="LLF38" s="612"/>
      <c r="LLG38" s="612"/>
      <c r="LLH38" s="612"/>
      <c r="LLI38" s="612"/>
      <c r="LLJ38" s="612"/>
      <c r="LLK38" s="612"/>
      <c r="LLL38" s="612"/>
      <c r="LLM38" s="612"/>
      <c r="LLN38" s="612"/>
      <c r="LLO38" s="612"/>
      <c r="LLP38" s="612"/>
      <c r="LLQ38" s="612"/>
      <c r="LLR38" s="612"/>
      <c r="LLS38" s="612"/>
      <c r="LLT38" s="612"/>
      <c r="LLU38" s="612"/>
      <c r="LLV38" s="612"/>
      <c r="LLW38" s="612"/>
      <c r="LLX38" s="612"/>
      <c r="LLY38" s="612"/>
      <c r="LLZ38" s="612"/>
      <c r="LMA38" s="612"/>
      <c r="LMB38" s="612"/>
      <c r="LMC38" s="612"/>
      <c r="LMD38" s="612"/>
      <c r="LME38" s="612"/>
      <c r="LMF38" s="612"/>
      <c r="LMG38" s="612"/>
      <c r="LMH38" s="612"/>
      <c r="LMI38" s="612"/>
      <c r="LMJ38" s="612"/>
      <c r="LMK38" s="612"/>
      <c r="LML38" s="612"/>
      <c r="LMM38" s="612"/>
      <c r="LMN38" s="612"/>
      <c r="LMO38" s="612"/>
      <c r="LMP38" s="612"/>
      <c r="LMQ38" s="612"/>
      <c r="LMR38" s="612"/>
      <c r="LMS38" s="612"/>
      <c r="LMT38" s="612"/>
      <c r="LMU38" s="612"/>
      <c r="LMV38" s="612"/>
      <c r="LMW38" s="612"/>
      <c r="LMX38" s="612"/>
      <c r="LMY38" s="612"/>
      <c r="LMZ38" s="612"/>
      <c r="LNA38" s="612"/>
      <c r="LNB38" s="612"/>
      <c r="LNC38" s="612"/>
      <c r="LND38" s="612"/>
      <c r="LNE38" s="612"/>
      <c r="LNF38" s="612"/>
      <c r="LNG38" s="612"/>
      <c r="LNH38" s="612"/>
      <c r="LNI38" s="612"/>
      <c r="LNJ38" s="612"/>
      <c r="LNK38" s="612"/>
      <c r="LNL38" s="612"/>
      <c r="LNM38" s="612"/>
      <c r="LNN38" s="612"/>
      <c r="LNO38" s="612"/>
      <c r="LNP38" s="612"/>
      <c r="LNQ38" s="612"/>
      <c r="LNR38" s="612"/>
      <c r="LNS38" s="612"/>
      <c r="LNT38" s="612"/>
      <c r="LNU38" s="612"/>
      <c r="LNV38" s="612"/>
      <c r="LNW38" s="612"/>
      <c r="LNX38" s="612"/>
      <c r="LNY38" s="612"/>
      <c r="LNZ38" s="612"/>
      <c r="LOA38" s="612"/>
      <c r="LOB38" s="612"/>
      <c r="LOC38" s="612"/>
      <c r="LOD38" s="612"/>
      <c r="LOE38" s="612"/>
      <c r="LOF38" s="612"/>
      <c r="LOG38" s="612"/>
      <c r="LOH38" s="612"/>
      <c r="LOI38" s="612"/>
      <c r="LOJ38" s="612"/>
      <c r="LOK38" s="612"/>
      <c r="LOL38" s="612"/>
      <c r="LOM38" s="612"/>
      <c r="LON38" s="612"/>
      <c r="LOO38" s="612"/>
      <c r="LOP38" s="612"/>
      <c r="LOQ38" s="612"/>
      <c r="LOR38" s="612"/>
      <c r="LOS38" s="612"/>
      <c r="LOT38" s="612"/>
      <c r="LOU38" s="612"/>
      <c r="LOV38" s="612"/>
      <c r="LOW38" s="612"/>
      <c r="LOX38" s="612"/>
      <c r="LOY38" s="612"/>
      <c r="LOZ38" s="612"/>
      <c r="LPA38" s="612"/>
      <c r="LPB38" s="612"/>
      <c r="LPC38" s="612"/>
      <c r="LPD38" s="612"/>
      <c r="LPE38" s="612"/>
      <c r="LPF38" s="612"/>
      <c r="LPG38" s="612"/>
      <c r="LPH38" s="612"/>
      <c r="LPI38" s="612"/>
      <c r="LPJ38" s="612"/>
      <c r="LPK38" s="612"/>
      <c r="LPL38" s="612"/>
      <c r="LPM38" s="612"/>
      <c r="LPN38" s="612"/>
      <c r="LPO38" s="612"/>
      <c r="LPP38" s="612"/>
      <c r="LPQ38" s="612"/>
      <c r="LPR38" s="612"/>
      <c r="LPS38" s="612"/>
      <c r="LPT38" s="612"/>
      <c r="LPU38" s="612"/>
      <c r="LPV38" s="612"/>
      <c r="LPW38" s="612"/>
      <c r="LPX38" s="612"/>
      <c r="LPY38" s="612"/>
      <c r="LPZ38" s="612"/>
      <c r="LQA38" s="612"/>
      <c r="LQB38" s="612"/>
      <c r="LQC38" s="612"/>
      <c r="LQD38" s="612"/>
      <c r="LQE38" s="612"/>
      <c r="LQF38" s="612"/>
      <c r="LQG38" s="612"/>
      <c r="LQH38" s="612"/>
      <c r="LQI38" s="612"/>
      <c r="LQJ38" s="612"/>
      <c r="LQK38" s="612"/>
      <c r="LQL38" s="612"/>
      <c r="LQM38" s="612"/>
      <c r="LQN38" s="612"/>
      <c r="LQO38" s="612"/>
      <c r="LQP38" s="612"/>
      <c r="LQQ38" s="612"/>
      <c r="LQR38" s="612"/>
      <c r="LQS38" s="612"/>
      <c r="LQT38" s="612"/>
      <c r="LQU38" s="612"/>
      <c r="LQV38" s="612"/>
      <c r="LQW38" s="612"/>
      <c r="LQX38" s="612"/>
      <c r="LQY38" s="612"/>
      <c r="LQZ38" s="612"/>
      <c r="LRA38" s="612"/>
      <c r="LRB38" s="612"/>
      <c r="LRC38" s="612"/>
      <c r="LRD38" s="612"/>
      <c r="LRE38" s="612"/>
      <c r="LRF38" s="612"/>
      <c r="LRG38" s="612"/>
      <c r="LRH38" s="612"/>
      <c r="LRI38" s="612"/>
      <c r="LRJ38" s="612"/>
      <c r="LRK38" s="612"/>
      <c r="LRL38" s="612"/>
      <c r="LRM38" s="612"/>
      <c r="LRN38" s="612"/>
      <c r="LRO38" s="612"/>
      <c r="LRP38" s="612"/>
      <c r="LRQ38" s="612"/>
      <c r="LRR38" s="612"/>
      <c r="LRS38" s="612"/>
      <c r="LRT38" s="612"/>
      <c r="LRU38" s="612"/>
      <c r="LRV38" s="612"/>
      <c r="LRW38" s="612"/>
      <c r="LRX38" s="612"/>
      <c r="LRY38" s="612"/>
      <c r="LRZ38" s="612"/>
      <c r="LSA38" s="612"/>
      <c r="LSB38" s="612"/>
      <c r="LSC38" s="612"/>
      <c r="LSD38" s="612"/>
      <c r="LSE38" s="612"/>
      <c r="LSF38" s="612"/>
      <c r="LSG38" s="612"/>
      <c r="LSH38" s="612"/>
      <c r="LSI38" s="612"/>
      <c r="LSJ38" s="612"/>
      <c r="LSK38" s="612"/>
      <c r="LSL38" s="612"/>
      <c r="LSM38" s="612"/>
      <c r="LSN38" s="612"/>
      <c r="LSO38" s="612"/>
      <c r="LSP38" s="612"/>
      <c r="LSQ38" s="612"/>
      <c r="LSR38" s="612"/>
      <c r="LSS38" s="612"/>
      <c r="LST38" s="612"/>
      <c r="LSU38" s="612"/>
      <c r="LSV38" s="612"/>
      <c r="LSW38" s="612"/>
      <c r="LSX38" s="612"/>
      <c r="LSY38" s="612"/>
      <c r="LSZ38" s="612"/>
      <c r="LTA38" s="612"/>
      <c r="LTB38" s="612"/>
      <c r="LTC38" s="612"/>
      <c r="LTD38" s="612"/>
      <c r="LTE38" s="612"/>
      <c r="LTF38" s="612"/>
      <c r="LTG38" s="612"/>
      <c r="LTH38" s="612"/>
      <c r="LTI38" s="612"/>
      <c r="LTJ38" s="612"/>
      <c r="LTK38" s="612"/>
      <c r="LTL38" s="612"/>
      <c r="LTM38" s="612"/>
      <c r="LTN38" s="612"/>
      <c r="LTO38" s="612"/>
      <c r="LTP38" s="612"/>
      <c r="LTQ38" s="612"/>
      <c r="LTR38" s="612"/>
      <c r="LTS38" s="612"/>
      <c r="LTT38" s="612"/>
      <c r="LTU38" s="612"/>
      <c r="LTV38" s="612"/>
      <c r="LTW38" s="612"/>
      <c r="LTX38" s="612"/>
      <c r="LTY38" s="612"/>
      <c r="LTZ38" s="612"/>
      <c r="LUA38" s="612"/>
      <c r="LUB38" s="612"/>
      <c r="LUC38" s="612"/>
      <c r="LUD38" s="612"/>
      <c r="LUE38" s="612"/>
      <c r="LUF38" s="612"/>
      <c r="LUG38" s="612"/>
      <c r="LUH38" s="612"/>
      <c r="LUI38" s="612"/>
      <c r="LUJ38" s="612"/>
      <c r="LUK38" s="612"/>
      <c r="LUL38" s="612"/>
      <c r="LUM38" s="612"/>
      <c r="LUN38" s="612"/>
      <c r="LUO38" s="612"/>
      <c r="LUP38" s="612"/>
      <c r="LUQ38" s="612"/>
      <c r="LUR38" s="612"/>
      <c r="LUS38" s="612"/>
      <c r="LUT38" s="612"/>
      <c r="LUU38" s="612"/>
      <c r="LUV38" s="612"/>
      <c r="LUW38" s="612"/>
      <c r="LUX38" s="612"/>
      <c r="LUY38" s="612"/>
      <c r="LUZ38" s="612"/>
      <c r="LVA38" s="612"/>
      <c r="LVB38" s="612"/>
      <c r="LVC38" s="612"/>
      <c r="LVD38" s="612"/>
      <c r="LVE38" s="612"/>
      <c r="LVF38" s="612"/>
      <c r="LVG38" s="612"/>
      <c r="LVH38" s="612"/>
      <c r="LVI38" s="612"/>
      <c r="LVJ38" s="612"/>
      <c r="LVK38" s="612"/>
      <c r="LVL38" s="612"/>
      <c r="LVM38" s="612"/>
      <c r="LVN38" s="612"/>
      <c r="LVO38" s="612"/>
      <c r="LVP38" s="612"/>
      <c r="LVQ38" s="612"/>
      <c r="LVR38" s="612"/>
      <c r="LVS38" s="612"/>
      <c r="LVT38" s="612"/>
      <c r="LVU38" s="612"/>
      <c r="LVV38" s="612"/>
      <c r="LVW38" s="612"/>
      <c r="LVX38" s="612"/>
      <c r="LVY38" s="612"/>
      <c r="LVZ38" s="612"/>
      <c r="LWA38" s="612"/>
      <c r="LWB38" s="612"/>
      <c r="LWC38" s="612"/>
      <c r="LWD38" s="612"/>
      <c r="LWE38" s="612"/>
      <c r="LWF38" s="612"/>
      <c r="LWG38" s="612"/>
      <c r="LWH38" s="612"/>
      <c r="LWI38" s="612"/>
      <c r="LWJ38" s="612"/>
      <c r="LWK38" s="612"/>
      <c r="LWL38" s="612"/>
      <c r="LWM38" s="612"/>
      <c r="LWN38" s="612"/>
      <c r="LWO38" s="612"/>
      <c r="LWP38" s="612"/>
      <c r="LWQ38" s="612"/>
      <c r="LWR38" s="612"/>
      <c r="LWS38" s="612"/>
      <c r="LWT38" s="612"/>
      <c r="LWU38" s="612"/>
      <c r="LWV38" s="612"/>
      <c r="LWW38" s="612"/>
      <c r="LWX38" s="612"/>
      <c r="LWY38" s="612"/>
      <c r="LWZ38" s="612"/>
      <c r="LXA38" s="612"/>
      <c r="LXB38" s="612"/>
      <c r="LXC38" s="612"/>
      <c r="LXD38" s="612"/>
      <c r="LXE38" s="612"/>
      <c r="LXF38" s="612"/>
      <c r="LXG38" s="612"/>
      <c r="LXH38" s="612"/>
      <c r="LXI38" s="612"/>
      <c r="LXJ38" s="612"/>
      <c r="LXK38" s="612"/>
      <c r="LXL38" s="612"/>
      <c r="LXM38" s="612"/>
      <c r="LXN38" s="612"/>
      <c r="LXO38" s="612"/>
      <c r="LXP38" s="612"/>
      <c r="LXQ38" s="612"/>
      <c r="LXR38" s="612"/>
      <c r="LXS38" s="612"/>
      <c r="LXT38" s="612"/>
      <c r="LXU38" s="612"/>
      <c r="LXV38" s="612"/>
      <c r="LXW38" s="612"/>
      <c r="LXX38" s="612"/>
      <c r="LXY38" s="612"/>
      <c r="LXZ38" s="612"/>
      <c r="LYA38" s="612"/>
      <c r="LYB38" s="612"/>
      <c r="LYC38" s="612"/>
      <c r="LYD38" s="612"/>
      <c r="LYE38" s="612"/>
      <c r="LYF38" s="612"/>
      <c r="LYG38" s="612"/>
      <c r="LYH38" s="612"/>
      <c r="LYI38" s="612"/>
      <c r="LYJ38" s="612"/>
      <c r="LYK38" s="612"/>
      <c r="LYL38" s="612"/>
      <c r="LYM38" s="612"/>
      <c r="LYN38" s="612"/>
      <c r="LYO38" s="612"/>
      <c r="LYP38" s="612"/>
      <c r="LYQ38" s="612"/>
      <c r="LYR38" s="612"/>
      <c r="LYS38" s="612"/>
      <c r="LYT38" s="612"/>
      <c r="LYU38" s="612"/>
      <c r="LYV38" s="612"/>
      <c r="LYW38" s="612"/>
      <c r="LYX38" s="612"/>
      <c r="LYY38" s="612"/>
      <c r="LYZ38" s="612"/>
      <c r="LZA38" s="612"/>
      <c r="LZB38" s="612"/>
      <c r="LZC38" s="612"/>
      <c r="LZD38" s="612"/>
      <c r="LZE38" s="612"/>
      <c r="LZF38" s="612"/>
      <c r="LZG38" s="612"/>
      <c r="LZH38" s="612"/>
      <c r="LZI38" s="612"/>
      <c r="LZJ38" s="612"/>
      <c r="LZK38" s="612"/>
      <c r="LZL38" s="612"/>
      <c r="LZM38" s="612"/>
      <c r="LZN38" s="612"/>
      <c r="LZO38" s="612"/>
      <c r="LZP38" s="612"/>
      <c r="LZQ38" s="612"/>
      <c r="LZR38" s="612"/>
      <c r="LZS38" s="612"/>
      <c r="LZT38" s="612"/>
      <c r="LZU38" s="612"/>
      <c r="LZV38" s="612"/>
      <c r="LZW38" s="612"/>
      <c r="LZX38" s="612"/>
      <c r="LZY38" s="612"/>
      <c r="LZZ38" s="612"/>
      <c r="MAA38" s="612"/>
      <c r="MAB38" s="612"/>
      <c r="MAC38" s="612"/>
      <c r="MAD38" s="612"/>
      <c r="MAE38" s="612"/>
      <c r="MAF38" s="612"/>
      <c r="MAG38" s="612"/>
      <c r="MAH38" s="612"/>
      <c r="MAI38" s="612"/>
      <c r="MAJ38" s="612"/>
      <c r="MAK38" s="612"/>
      <c r="MAL38" s="612"/>
      <c r="MAM38" s="612"/>
      <c r="MAN38" s="612"/>
      <c r="MAO38" s="612"/>
      <c r="MAP38" s="612"/>
      <c r="MAQ38" s="612"/>
      <c r="MAR38" s="612"/>
      <c r="MAS38" s="612"/>
      <c r="MAT38" s="612"/>
      <c r="MAU38" s="612"/>
      <c r="MAV38" s="612"/>
      <c r="MAW38" s="612"/>
      <c r="MAX38" s="612"/>
      <c r="MAY38" s="612"/>
      <c r="MAZ38" s="612"/>
      <c r="MBA38" s="612"/>
      <c r="MBB38" s="612"/>
      <c r="MBC38" s="612"/>
      <c r="MBD38" s="612"/>
      <c r="MBE38" s="612"/>
      <c r="MBF38" s="612"/>
      <c r="MBG38" s="612"/>
      <c r="MBH38" s="612"/>
      <c r="MBI38" s="612"/>
      <c r="MBJ38" s="612"/>
      <c r="MBK38" s="612"/>
      <c r="MBL38" s="612"/>
      <c r="MBM38" s="612"/>
      <c r="MBN38" s="612"/>
      <c r="MBO38" s="612"/>
      <c r="MBP38" s="612"/>
      <c r="MBQ38" s="612"/>
      <c r="MBR38" s="612"/>
      <c r="MBS38" s="612"/>
      <c r="MBT38" s="612"/>
      <c r="MBU38" s="612"/>
      <c r="MBV38" s="612"/>
      <c r="MBW38" s="612"/>
      <c r="MBX38" s="612"/>
      <c r="MBY38" s="612"/>
      <c r="MBZ38" s="612"/>
      <c r="MCA38" s="612"/>
      <c r="MCB38" s="612"/>
      <c r="MCC38" s="612"/>
      <c r="MCD38" s="612"/>
      <c r="MCE38" s="612"/>
      <c r="MCF38" s="612"/>
      <c r="MCG38" s="612"/>
      <c r="MCH38" s="612"/>
      <c r="MCI38" s="612"/>
      <c r="MCJ38" s="612"/>
      <c r="MCK38" s="612"/>
      <c r="MCL38" s="612"/>
      <c r="MCM38" s="612"/>
      <c r="MCN38" s="612"/>
      <c r="MCO38" s="612"/>
      <c r="MCP38" s="612"/>
      <c r="MCQ38" s="612"/>
      <c r="MCR38" s="612"/>
      <c r="MCS38" s="612"/>
      <c r="MCT38" s="612"/>
      <c r="MCU38" s="612"/>
      <c r="MCV38" s="612"/>
      <c r="MCW38" s="612"/>
      <c r="MCX38" s="612"/>
      <c r="MCY38" s="612"/>
      <c r="MCZ38" s="612"/>
      <c r="MDA38" s="612"/>
      <c r="MDB38" s="612"/>
      <c r="MDC38" s="612"/>
      <c r="MDD38" s="612"/>
      <c r="MDE38" s="612"/>
      <c r="MDF38" s="612"/>
      <c r="MDG38" s="612"/>
      <c r="MDH38" s="612"/>
      <c r="MDI38" s="612"/>
      <c r="MDJ38" s="612"/>
      <c r="MDK38" s="612"/>
      <c r="MDL38" s="612"/>
      <c r="MDM38" s="612"/>
      <c r="MDN38" s="612"/>
      <c r="MDO38" s="612"/>
      <c r="MDP38" s="612"/>
      <c r="MDQ38" s="612"/>
      <c r="MDR38" s="612"/>
      <c r="MDS38" s="612"/>
      <c r="MDT38" s="612"/>
      <c r="MDU38" s="612"/>
      <c r="MDV38" s="612"/>
      <c r="MDW38" s="612"/>
      <c r="MDX38" s="612"/>
      <c r="MDY38" s="612"/>
      <c r="MDZ38" s="612"/>
      <c r="MEA38" s="612"/>
      <c r="MEB38" s="612"/>
      <c r="MEC38" s="612"/>
      <c r="MED38" s="612"/>
      <c r="MEE38" s="612"/>
      <c r="MEF38" s="612"/>
      <c r="MEG38" s="612"/>
      <c r="MEH38" s="612"/>
      <c r="MEI38" s="612"/>
      <c r="MEJ38" s="612"/>
      <c r="MEK38" s="612"/>
      <c r="MEL38" s="612"/>
      <c r="MEM38" s="612"/>
      <c r="MEN38" s="612"/>
      <c r="MEO38" s="612"/>
      <c r="MEP38" s="612"/>
      <c r="MEQ38" s="612"/>
      <c r="MER38" s="612"/>
      <c r="MES38" s="612"/>
      <c r="MET38" s="612"/>
      <c r="MEU38" s="612"/>
      <c r="MEV38" s="612"/>
      <c r="MEW38" s="612"/>
      <c r="MEX38" s="612"/>
      <c r="MEY38" s="612"/>
      <c r="MEZ38" s="612"/>
      <c r="MFA38" s="612"/>
      <c r="MFB38" s="612"/>
      <c r="MFC38" s="612"/>
      <c r="MFD38" s="612"/>
      <c r="MFE38" s="612"/>
      <c r="MFF38" s="612"/>
      <c r="MFG38" s="612"/>
      <c r="MFH38" s="612"/>
      <c r="MFI38" s="612"/>
      <c r="MFJ38" s="612"/>
      <c r="MFK38" s="612"/>
      <c r="MFL38" s="612"/>
      <c r="MFM38" s="612"/>
      <c r="MFN38" s="612"/>
      <c r="MFO38" s="612"/>
      <c r="MFP38" s="612"/>
      <c r="MFQ38" s="612"/>
      <c r="MFR38" s="612"/>
      <c r="MFS38" s="612"/>
      <c r="MFT38" s="612"/>
      <c r="MFU38" s="612"/>
      <c r="MFV38" s="612"/>
      <c r="MFW38" s="612"/>
      <c r="MFX38" s="612"/>
      <c r="MFY38" s="612"/>
      <c r="MFZ38" s="612"/>
      <c r="MGA38" s="612"/>
      <c r="MGB38" s="612"/>
      <c r="MGC38" s="612"/>
      <c r="MGD38" s="612"/>
      <c r="MGE38" s="612"/>
      <c r="MGF38" s="612"/>
      <c r="MGG38" s="612"/>
      <c r="MGH38" s="612"/>
      <c r="MGI38" s="612"/>
      <c r="MGJ38" s="612"/>
      <c r="MGK38" s="612"/>
      <c r="MGL38" s="612"/>
      <c r="MGM38" s="612"/>
      <c r="MGN38" s="612"/>
      <c r="MGO38" s="612"/>
      <c r="MGP38" s="612"/>
      <c r="MGQ38" s="612"/>
      <c r="MGR38" s="612"/>
      <c r="MGS38" s="612"/>
      <c r="MGT38" s="612"/>
      <c r="MGU38" s="612"/>
      <c r="MGV38" s="612"/>
      <c r="MGW38" s="612"/>
      <c r="MGX38" s="612"/>
      <c r="MGY38" s="612"/>
      <c r="MGZ38" s="612"/>
      <c r="MHA38" s="612"/>
      <c r="MHB38" s="612"/>
      <c r="MHC38" s="612"/>
      <c r="MHD38" s="612"/>
      <c r="MHE38" s="612"/>
      <c r="MHF38" s="612"/>
      <c r="MHG38" s="612"/>
      <c r="MHH38" s="612"/>
      <c r="MHI38" s="612"/>
      <c r="MHJ38" s="612"/>
      <c r="MHK38" s="612"/>
      <c r="MHL38" s="612"/>
      <c r="MHM38" s="612"/>
      <c r="MHN38" s="612"/>
      <c r="MHO38" s="612"/>
      <c r="MHP38" s="612"/>
      <c r="MHQ38" s="612"/>
      <c r="MHR38" s="612"/>
      <c r="MHS38" s="612"/>
      <c r="MHT38" s="612"/>
      <c r="MHU38" s="612"/>
      <c r="MHV38" s="612"/>
      <c r="MHW38" s="612"/>
      <c r="MHX38" s="612"/>
      <c r="MHY38" s="612"/>
      <c r="MHZ38" s="612"/>
      <c r="MIA38" s="612"/>
      <c r="MIB38" s="612"/>
      <c r="MIC38" s="612"/>
      <c r="MID38" s="612"/>
      <c r="MIE38" s="612"/>
      <c r="MIF38" s="612"/>
      <c r="MIG38" s="612"/>
      <c r="MIH38" s="612"/>
      <c r="MII38" s="612"/>
      <c r="MIJ38" s="612"/>
      <c r="MIK38" s="612"/>
      <c r="MIL38" s="612"/>
      <c r="MIM38" s="612"/>
      <c r="MIN38" s="612"/>
      <c r="MIO38" s="612"/>
      <c r="MIP38" s="612"/>
      <c r="MIQ38" s="612"/>
      <c r="MIR38" s="612"/>
      <c r="MIS38" s="612"/>
      <c r="MIT38" s="612"/>
      <c r="MIU38" s="612"/>
      <c r="MIV38" s="612"/>
      <c r="MIW38" s="612"/>
      <c r="MIX38" s="612"/>
      <c r="MIY38" s="612"/>
      <c r="MIZ38" s="612"/>
      <c r="MJA38" s="612"/>
      <c r="MJB38" s="612"/>
      <c r="MJC38" s="612"/>
      <c r="MJD38" s="612"/>
      <c r="MJE38" s="612"/>
      <c r="MJF38" s="612"/>
      <c r="MJG38" s="612"/>
      <c r="MJH38" s="612"/>
      <c r="MJI38" s="612"/>
      <c r="MJJ38" s="612"/>
      <c r="MJK38" s="612"/>
      <c r="MJL38" s="612"/>
      <c r="MJM38" s="612"/>
      <c r="MJN38" s="612"/>
      <c r="MJO38" s="612"/>
      <c r="MJP38" s="612"/>
      <c r="MJQ38" s="612"/>
      <c r="MJR38" s="612"/>
      <c r="MJS38" s="612"/>
      <c r="MJT38" s="612"/>
      <c r="MJU38" s="612"/>
      <c r="MJV38" s="612"/>
      <c r="MJW38" s="612"/>
      <c r="MJX38" s="612"/>
      <c r="MJY38" s="612"/>
      <c r="MJZ38" s="612"/>
      <c r="MKA38" s="612"/>
      <c r="MKB38" s="612"/>
      <c r="MKC38" s="612"/>
      <c r="MKD38" s="612"/>
      <c r="MKE38" s="612"/>
      <c r="MKF38" s="612"/>
      <c r="MKG38" s="612"/>
      <c r="MKH38" s="612"/>
      <c r="MKI38" s="612"/>
      <c r="MKJ38" s="612"/>
      <c r="MKK38" s="612"/>
      <c r="MKL38" s="612"/>
      <c r="MKM38" s="612"/>
      <c r="MKN38" s="612"/>
      <c r="MKO38" s="612"/>
      <c r="MKP38" s="612"/>
      <c r="MKQ38" s="612"/>
      <c r="MKR38" s="612"/>
      <c r="MKS38" s="612"/>
      <c r="MKT38" s="612"/>
      <c r="MKU38" s="612"/>
      <c r="MKV38" s="612"/>
      <c r="MKW38" s="612"/>
      <c r="MKX38" s="612"/>
      <c r="MKY38" s="612"/>
      <c r="MKZ38" s="612"/>
      <c r="MLA38" s="612"/>
      <c r="MLB38" s="612"/>
      <c r="MLC38" s="612"/>
      <c r="MLD38" s="612"/>
      <c r="MLE38" s="612"/>
      <c r="MLF38" s="612"/>
      <c r="MLG38" s="612"/>
      <c r="MLH38" s="612"/>
      <c r="MLI38" s="612"/>
      <c r="MLJ38" s="612"/>
      <c r="MLK38" s="612"/>
      <c r="MLL38" s="612"/>
      <c r="MLM38" s="612"/>
      <c r="MLN38" s="612"/>
      <c r="MLO38" s="612"/>
      <c r="MLP38" s="612"/>
      <c r="MLQ38" s="612"/>
      <c r="MLR38" s="612"/>
      <c r="MLS38" s="612"/>
      <c r="MLT38" s="612"/>
      <c r="MLU38" s="612"/>
      <c r="MLV38" s="612"/>
      <c r="MLW38" s="612"/>
      <c r="MLX38" s="612"/>
      <c r="MLY38" s="612"/>
      <c r="MLZ38" s="612"/>
      <c r="MMA38" s="612"/>
      <c r="MMB38" s="612"/>
      <c r="MMC38" s="612"/>
      <c r="MMD38" s="612"/>
      <c r="MME38" s="612"/>
      <c r="MMF38" s="612"/>
      <c r="MMG38" s="612"/>
      <c r="MMH38" s="612"/>
      <c r="MMI38" s="612"/>
      <c r="MMJ38" s="612"/>
      <c r="MMK38" s="612"/>
      <c r="MML38" s="612"/>
      <c r="MMM38" s="612"/>
      <c r="MMN38" s="612"/>
      <c r="MMO38" s="612"/>
      <c r="MMP38" s="612"/>
      <c r="MMQ38" s="612"/>
      <c r="MMR38" s="612"/>
      <c r="MMS38" s="612"/>
      <c r="MMT38" s="612"/>
      <c r="MMU38" s="612"/>
      <c r="MMV38" s="612"/>
      <c r="MMW38" s="612"/>
      <c r="MMX38" s="612"/>
      <c r="MMY38" s="612"/>
      <c r="MMZ38" s="612"/>
      <c r="MNA38" s="612"/>
      <c r="MNB38" s="612"/>
      <c r="MNC38" s="612"/>
      <c r="MND38" s="612"/>
      <c r="MNE38" s="612"/>
      <c r="MNF38" s="612"/>
      <c r="MNG38" s="612"/>
      <c r="MNH38" s="612"/>
      <c r="MNI38" s="612"/>
      <c r="MNJ38" s="612"/>
      <c r="MNK38" s="612"/>
      <c r="MNL38" s="612"/>
      <c r="MNM38" s="612"/>
      <c r="MNN38" s="612"/>
      <c r="MNO38" s="612"/>
      <c r="MNP38" s="612"/>
      <c r="MNQ38" s="612"/>
      <c r="MNR38" s="612"/>
      <c r="MNS38" s="612"/>
      <c r="MNT38" s="612"/>
      <c r="MNU38" s="612"/>
      <c r="MNV38" s="612"/>
      <c r="MNW38" s="612"/>
      <c r="MNX38" s="612"/>
      <c r="MNY38" s="612"/>
      <c r="MNZ38" s="612"/>
      <c r="MOA38" s="612"/>
      <c r="MOB38" s="612"/>
      <c r="MOC38" s="612"/>
      <c r="MOD38" s="612"/>
      <c r="MOE38" s="612"/>
      <c r="MOF38" s="612"/>
      <c r="MOG38" s="612"/>
      <c r="MOH38" s="612"/>
      <c r="MOI38" s="612"/>
      <c r="MOJ38" s="612"/>
      <c r="MOK38" s="612"/>
      <c r="MOL38" s="612"/>
      <c r="MOM38" s="612"/>
      <c r="MON38" s="612"/>
      <c r="MOO38" s="612"/>
      <c r="MOP38" s="612"/>
      <c r="MOQ38" s="612"/>
      <c r="MOR38" s="612"/>
      <c r="MOS38" s="612"/>
      <c r="MOT38" s="612"/>
      <c r="MOU38" s="612"/>
      <c r="MOV38" s="612"/>
      <c r="MOW38" s="612"/>
      <c r="MOX38" s="612"/>
      <c r="MOY38" s="612"/>
      <c r="MOZ38" s="612"/>
      <c r="MPA38" s="612"/>
      <c r="MPB38" s="612"/>
      <c r="MPC38" s="612"/>
      <c r="MPD38" s="612"/>
      <c r="MPE38" s="612"/>
      <c r="MPF38" s="612"/>
      <c r="MPG38" s="612"/>
      <c r="MPH38" s="612"/>
      <c r="MPI38" s="612"/>
      <c r="MPJ38" s="612"/>
      <c r="MPK38" s="612"/>
      <c r="MPL38" s="612"/>
      <c r="MPM38" s="612"/>
      <c r="MPN38" s="612"/>
      <c r="MPO38" s="612"/>
      <c r="MPP38" s="612"/>
      <c r="MPQ38" s="612"/>
      <c r="MPR38" s="612"/>
      <c r="MPS38" s="612"/>
      <c r="MPT38" s="612"/>
      <c r="MPU38" s="612"/>
      <c r="MPV38" s="612"/>
      <c r="MPW38" s="612"/>
      <c r="MPX38" s="612"/>
      <c r="MPY38" s="612"/>
      <c r="MPZ38" s="612"/>
      <c r="MQA38" s="612"/>
      <c r="MQB38" s="612"/>
      <c r="MQC38" s="612"/>
      <c r="MQD38" s="612"/>
      <c r="MQE38" s="612"/>
      <c r="MQF38" s="612"/>
      <c r="MQG38" s="612"/>
      <c r="MQH38" s="612"/>
      <c r="MQI38" s="612"/>
      <c r="MQJ38" s="612"/>
      <c r="MQK38" s="612"/>
      <c r="MQL38" s="612"/>
      <c r="MQM38" s="612"/>
      <c r="MQN38" s="612"/>
      <c r="MQO38" s="612"/>
      <c r="MQP38" s="612"/>
      <c r="MQQ38" s="612"/>
      <c r="MQR38" s="612"/>
      <c r="MQS38" s="612"/>
      <c r="MQT38" s="612"/>
      <c r="MQU38" s="612"/>
      <c r="MQV38" s="612"/>
      <c r="MQW38" s="612"/>
      <c r="MQX38" s="612"/>
      <c r="MQY38" s="612"/>
      <c r="MQZ38" s="612"/>
      <c r="MRA38" s="612"/>
      <c r="MRB38" s="612"/>
      <c r="MRC38" s="612"/>
      <c r="MRD38" s="612"/>
      <c r="MRE38" s="612"/>
      <c r="MRF38" s="612"/>
      <c r="MRG38" s="612"/>
      <c r="MRH38" s="612"/>
      <c r="MRI38" s="612"/>
      <c r="MRJ38" s="612"/>
      <c r="MRK38" s="612"/>
      <c r="MRL38" s="612"/>
      <c r="MRM38" s="612"/>
      <c r="MRN38" s="612"/>
      <c r="MRO38" s="612"/>
      <c r="MRP38" s="612"/>
      <c r="MRQ38" s="612"/>
      <c r="MRR38" s="612"/>
      <c r="MRS38" s="612"/>
      <c r="MRT38" s="612"/>
      <c r="MRU38" s="612"/>
      <c r="MRV38" s="612"/>
      <c r="MRW38" s="612"/>
      <c r="MRX38" s="612"/>
      <c r="MRY38" s="612"/>
      <c r="MRZ38" s="612"/>
      <c r="MSA38" s="612"/>
      <c r="MSB38" s="612"/>
      <c r="MSC38" s="612"/>
      <c r="MSD38" s="612"/>
      <c r="MSE38" s="612"/>
      <c r="MSF38" s="612"/>
      <c r="MSG38" s="612"/>
      <c r="MSH38" s="612"/>
      <c r="MSI38" s="612"/>
      <c r="MSJ38" s="612"/>
      <c r="MSK38" s="612"/>
      <c r="MSL38" s="612"/>
      <c r="MSM38" s="612"/>
      <c r="MSN38" s="612"/>
      <c r="MSO38" s="612"/>
      <c r="MSP38" s="612"/>
      <c r="MSQ38" s="612"/>
      <c r="MSR38" s="612"/>
      <c r="MSS38" s="612"/>
      <c r="MST38" s="612"/>
      <c r="MSU38" s="612"/>
      <c r="MSV38" s="612"/>
      <c r="MSW38" s="612"/>
      <c r="MSX38" s="612"/>
      <c r="MSY38" s="612"/>
      <c r="MSZ38" s="612"/>
      <c r="MTA38" s="612"/>
      <c r="MTB38" s="612"/>
      <c r="MTC38" s="612"/>
      <c r="MTD38" s="612"/>
      <c r="MTE38" s="612"/>
      <c r="MTF38" s="612"/>
      <c r="MTG38" s="612"/>
      <c r="MTH38" s="612"/>
      <c r="MTI38" s="612"/>
      <c r="MTJ38" s="612"/>
      <c r="MTK38" s="612"/>
      <c r="MTL38" s="612"/>
      <c r="MTM38" s="612"/>
      <c r="MTN38" s="612"/>
      <c r="MTO38" s="612"/>
      <c r="MTP38" s="612"/>
      <c r="MTQ38" s="612"/>
      <c r="MTR38" s="612"/>
      <c r="MTS38" s="612"/>
      <c r="MTT38" s="612"/>
      <c r="MTU38" s="612"/>
      <c r="MTV38" s="612"/>
      <c r="MTW38" s="612"/>
      <c r="MTX38" s="612"/>
      <c r="MTY38" s="612"/>
      <c r="MTZ38" s="612"/>
      <c r="MUA38" s="612"/>
      <c r="MUB38" s="612"/>
      <c r="MUC38" s="612"/>
      <c r="MUD38" s="612"/>
      <c r="MUE38" s="612"/>
      <c r="MUF38" s="612"/>
      <c r="MUG38" s="612"/>
      <c r="MUH38" s="612"/>
      <c r="MUI38" s="612"/>
      <c r="MUJ38" s="612"/>
      <c r="MUK38" s="612"/>
      <c r="MUL38" s="612"/>
      <c r="MUM38" s="612"/>
      <c r="MUN38" s="612"/>
      <c r="MUO38" s="612"/>
      <c r="MUP38" s="612"/>
      <c r="MUQ38" s="612"/>
      <c r="MUR38" s="612"/>
      <c r="MUS38" s="612"/>
      <c r="MUT38" s="612"/>
      <c r="MUU38" s="612"/>
      <c r="MUV38" s="612"/>
      <c r="MUW38" s="612"/>
      <c r="MUX38" s="612"/>
      <c r="MUY38" s="612"/>
      <c r="MUZ38" s="612"/>
      <c r="MVA38" s="612"/>
      <c r="MVB38" s="612"/>
      <c r="MVC38" s="612"/>
      <c r="MVD38" s="612"/>
      <c r="MVE38" s="612"/>
      <c r="MVF38" s="612"/>
      <c r="MVG38" s="612"/>
      <c r="MVH38" s="612"/>
      <c r="MVI38" s="612"/>
      <c r="MVJ38" s="612"/>
      <c r="MVK38" s="612"/>
      <c r="MVL38" s="612"/>
      <c r="MVM38" s="612"/>
      <c r="MVN38" s="612"/>
      <c r="MVO38" s="612"/>
      <c r="MVP38" s="612"/>
      <c r="MVQ38" s="612"/>
      <c r="MVR38" s="612"/>
      <c r="MVS38" s="612"/>
      <c r="MVT38" s="612"/>
      <c r="MVU38" s="612"/>
      <c r="MVV38" s="612"/>
      <c r="MVW38" s="612"/>
      <c r="MVX38" s="612"/>
      <c r="MVY38" s="612"/>
      <c r="MVZ38" s="612"/>
      <c r="MWA38" s="612"/>
      <c r="MWB38" s="612"/>
      <c r="MWC38" s="612"/>
      <c r="MWD38" s="612"/>
      <c r="MWE38" s="612"/>
      <c r="MWF38" s="612"/>
      <c r="MWG38" s="612"/>
      <c r="MWH38" s="612"/>
      <c r="MWI38" s="612"/>
      <c r="MWJ38" s="612"/>
      <c r="MWK38" s="612"/>
      <c r="MWL38" s="612"/>
      <c r="MWM38" s="612"/>
      <c r="MWN38" s="612"/>
      <c r="MWO38" s="612"/>
      <c r="MWP38" s="612"/>
      <c r="MWQ38" s="612"/>
      <c r="MWR38" s="612"/>
      <c r="MWS38" s="612"/>
      <c r="MWT38" s="612"/>
      <c r="MWU38" s="612"/>
      <c r="MWV38" s="612"/>
      <c r="MWW38" s="612"/>
      <c r="MWX38" s="612"/>
      <c r="MWY38" s="612"/>
      <c r="MWZ38" s="612"/>
      <c r="MXA38" s="612"/>
      <c r="MXB38" s="612"/>
      <c r="MXC38" s="612"/>
      <c r="MXD38" s="612"/>
      <c r="MXE38" s="612"/>
      <c r="MXF38" s="612"/>
      <c r="MXG38" s="612"/>
      <c r="MXH38" s="612"/>
      <c r="MXI38" s="612"/>
      <c r="MXJ38" s="612"/>
      <c r="MXK38" s="612"/>
      <c r="MXL38" s="612"/>
      <c r="MXM38" s="612"/>
      <c r="MXN38" s="612"/>
      <c r="MXO38" s="612"/>
      <c r="MXP38" s="612"/>
      <c r="MXQ38" s="612"/>
      <c r="MXR38" s="612"/>
      <c r="MXS38" s="612"/>
      <c r="MXT38" s="612"/>
      <c r="MXU38" s="612"/>
      <c r="MXV38" s="612"/>
      <c r="MXW38" s="612"/>
      <c r="MXX38" s="612"/>
      <c r="MXY38" s="612"/>
      <c r="MXZ38" s="612"/>
      <c r="MYA38" s="612"/>
      <c r="MYB38" s="612"/>
      <c r="MYC38" s="612"/>
      <c r="MYD38" s="612"/>
      <c r="MYE38" s="612"/>
      <c r="MYF38" s="612"/>
      <c r="MYG38" s="612"/>
      <c r="MYH38" s="612"/>
      <c r="MYI38" s="612"/>
      <c r="MYJ38" s="612"/>
      <c r="MYK38" s="612"/>
      <c r="MYL38" s="612"/>
      <c r="MYM38" s="612"/>
      <c r="MYN38" s="612"/>
      <c r="MYO38" s="612"/>
      <c r="MYP38" s="612"/>
      <c r="MYQ38" s="612"/>
      <c r="MYR38" s="612"/>
      <c r="MYS38" s="612"/>
      <c r="MYT38" s="612"/>
      <c r="MYU38" s="612"/>
      <c r="MYV38" s="612"/>
      <c r="MYW38" s="612"/>
      <c r="MYX38" s="612"/>
      <c r="MYY38" s="612"/>
      <c r="MYZ38" s="612"/>
      <c r="MZA38" s="612"/>
      <c r="MZB38" s="612"/>
      <c r="MZC38" s="612"/>
      <c r="MZD38" s="612"/>
      <c r="MZE38" s="612"/>
      <c r="MZF38" s="612"/>
      <c r="MZG38" s="612"/>
      <c r="MZH38" s="612"/>
      <c r="MZI38" s="612"/>
      <c r="MZJ38" s="612"/>
      <c r="MZK38" s="612"/>
      <c r="MZL38" s="612"/>
      <c r="MZM38" s="612"/>
      <c r="MZN38" s="612"/>
      <c r="MZO38" s="612"/>
      <c r="MZP38" s="612"/>
      <c r="MZQ38" s="612"/>
      <c r="MZR38" s="612"/>
      <c r="MZS38" s="612"/>
      <c r="MZT38" s="612"/>
      <c r="MZU38" s="612"/>
      <c r="MZV38" s="612"/>
      <c r="MZW38" s="612"/>
      <c r="MZX38" s="612"/>
      <c r="MZY38" s="612"/>
      <c r="MZZ38" s="612"/>
      <c r="NAA38" s="612"/>
      <c r="NAB38" s="612"/>
      <c r="NAC38" s="612"/>
      <c r="NAD38" s="612"/>
      <c r="NAE38" s="612"/>
      <c r="NAF38" s="612"/>
      <c r="NAG38" s="612"/>
      <c r="NAH38" s="612"/>
      <c r="NAI38" s="612"/>
      <c r="NAJ38" s="612"/>
      <c r="NAK38" s="612"/>
      <c r="NAL38" s="612"/>
      <c r="NAM38" s="612"/>
      <c r="NAN38" s="612"/>
      <c r="NAO38" s="612"/>
      <c r="NAP38" s="612"/>
      <c r="NAQ38" s="612"/>
      <c r="NAR38" s="612"/>
      <c r="NAS38" s="612"/>
      <c r="NAT38" s="612"/>
      <c r="NAU38" s="612"/>
      <c r="NAV38" s="612"/>
      <c r="NAW38" s="612"/>
      <c r="NAX38" s="612"/>
      <c r="NAY38" s="612"/>
      <c r="NAZ38" s="612"/>
      <c r="NBA38" s="612"/>
      <c r="NBB38" s="612"/>
      <c r="NBC38" s="612"/>
      <c r="NBD38" s="612"/>
      <c r="NBE38" s="612"/>
      <c r="NBF38" s="612"/>
      <c r="NBG38" s="612"/>
      <c r="NBH38" s="612"/>
      <c r="NBI38" s="612"/>
      <c r="NBJ38" s="612"/>
      <c r="NBK38" s="612"/>
      <c r="NBL38" s="612"/>
      <c r="NBM38" s="612"/>
      <c r="NBN38" s="612"/>
      <c r="NBO38" s="612"/>
      <c r="NBP38" s="612"/>
      <c r="NBQ38" s="612"/>
      <c r="NBR38" s="612"/>
      <c r="NBS38" s="612"/>
      <c r="NBT38" s="612"/>
      <c r="NBU38" s="612"/>
      <c r="NBV38" s="612"/>
      <c r="NBW38" s="612"/>
      <c r="NBX38" s="612"/>
      <c r="NBY38" s="612"/>
      <c r="NBZ38" s="612"/>
      <c r="NCA38" s="612"/>
      <c r="NCB38" s="612"/>
      <c r="NCC38" s="612"/>
      <c r="NCD38" s="612"/>
      <c r="NCE38" s="612"/>
      <c r="NCF38" s="612"/>
      <c r="NCG38" s="612"/>
      <c r="NCH38" s="612"/>
      <c r="NCI38" s="612"/>
      <c r="NCJ38" s="612"/>
      <c r="NCK38" s="612"/>
      <c r="NCL38" s="612"/>
      <c r="NCM38" s="612"/>
      <c r="NCN38" s="612"/>
      <c r="NCO38" s="612"/>
      <c r="NCP38" s="612"/>
      <c r="NCQ38" s="612"/>
      <c r="NCR38" s="612"/>
      <c r="NCS38" s="612"/>
      <c r="NCT38" s="612"/>
      <c r="NCU38" s="612"/>
      <c r="NCV38" s="612"/>
      <c r="NCW38" s="612"/>
      <c r="NCX38" s="612"/>
      <c r="NCY38" s="612"/>
      <c r="NCZ38" s="612"/>
      <c r="NDA38" s="612"/>
      <c r="NDB38" s="612"/>
      <c r="NDC38" s="612"/>
      <c r="NDD38" s="612"/>
      <c r="NDE38" s="612"/>
      <c r="NDF38" s="612"/>
      <c r="NDG38" s="612"/>
      <c r="NDH38" s="612"/>
      <c r="NDI38" s="612"/>
      <c r="NDJ38" s="612"/>
      <c r="NDK38" s="612"/>
      <c r="NDL38" s="612"/>
      <c r="NDM38" s="612"/>
      <c r="NDN38" s="612"/>
      <c r="NDO38" s="612"/>
      <c r="NDP38" s="612"/>
      <c r="NDQ38" s="612"/>
      <c r="NDR38" s="612"/>
      <c r="NDS38" s="612"/>
      <c r="NDT38" s="612"/>
      <c r="NDU38" s="612"/>
      <c r="NDV38" s="612"/>
      <c r="NDW38" s="612"/>
      <c r="NDX38" s="612"/>
      <c r="NDY38" s="612"/>
      <c r="NDZ38" s="612"/>
      <c r="NEA38" s="612"/>
      <c r="NEB38" s="612"/>
      <c r="NEC38" s="612"/>
      <c r="NED38" s="612"/>
      <c r="NEE38" s="612"/>
      <c r="NEF38" s="612"/>
      <c r="NEG38" s="612"/>
      <c r="NEH38" s="612"/>
      <c r="NEI38" s="612"/>
      <c r="NEJ38" s="612"/>
      <c r="NEK38" s="612"/>
      <c r="NEL38" s="612"/>
      <c r="NEM38" s="612"/>
      <c r="NEN38" s="612"/>
      <c r="NEO38" s="612"/>
      <c r="NEP38" s="612"/>
      <c r="NEQ38" s="612"/>
      <c r="NER38" s="612"/>
      <c r="NES38" s="612"/>
      <c r="NET38" s="612"/>
      <c r="NEU38" s="612"/>
      <c r="NEV38" s="612"/>
      <c r="NEW38" s="612"/>
      <c r="NEX38" s="612"/>
      <c r="NEY38" s="612"/>
      <c r="NEZ38" s="612"/>
      <c r="NFA38" s="612"/>
      <c r="NFB38" s="612"/>
      <c r="NFC38" s="612"/>
      <c r="NFD38" s="612"/>
      <c r="NFE38" s="612"/>
      <c r="NFF38" s="612"/>
      <c r="NFG38" s="612"/>
      <c r="NFH38" s="612"/>
      <c r="NFI38" s="612"/>
      <c r="NFJ38" s="612"/>
      <c r="NFK38" s="612"/>
      <c r="NFL38" s="612"/>
      <c r="NFM38" s="612"/>
      <c r="NFN38" s="612"/>
      <c r="NFO38" s="612"/>
      <c r="NFP38" s="612"/>
      <c r="NFQ38" s="612"/>
      <c r="NFR38" s="612"/>
      <c r="NFS38" s="612"/>
      <c r="NFT38" s="612"/>
      <c r="NFU38" s="612"/>
      <c r="NFV38" s="612"/>
      <c r="NFW38" s="612"/>
      <c r="NFX38" s="612"/>
      <c r="NFY38" s="612"/>
      <c r="NFZ38" s="612"/>
      <c r="NGA38" s="612"/>
      <c r="NGB38" s="612"/>
      <c r="NGC38" s="612"/>
      <c r="NGD38" s="612"/>
      <c r="NGE38" s="612"/>
      <c r="NGF38" s="612"/>
      <c r="NGG38" s="612"/>
      <c r="NGH38" s="612"/>
      <c r="NGI38" s="612"/>
      <c r="NGJ38" s="612"/>
      <c r="NGK38" s="612"/>
      <c r="NGL38" s="612"/>
      <c r="NGM38" s="612"/>
      <c r="NGN38" s="612"/>
      <c r="NGO38" s="612"/>
      <c r="NGP38" s="612"/>
      <c r="NGQ38" s="612"/>
      <c r="NGR38" s="612"/>
      <c r="NGS38" s="612"/>
      <c r="NGT38" s="612"/>
      <c r="NGU38" s="612"/>
      <c r="NGV38" s="612"/>
      <c r="NGW38" s="612"/>
      <c r="NGX38" s="612"/>
      <c r="NGY38" s="612"/>
      <c r="NGZ38" s="612"/>
      <c r="NHA38" s="612"/>
      <c r="NHB38" s="612"/>
      <c r="NHC38" s="612"/>
      <c r="NHD38" s="612"/>
      <c r="NHE38" s="612"/>
      <c r="NHF38" s="612"/>
      <c r="NHG38" s="612"/>
      <c r="NHH38" s="612"/>
      <c r="NHI38" s="612"/>
      <c r="NHJ38" s="612"/>
      <c r="NHK38" s="612"/>
      <c r="NHL38" s="612"/>
      <c r="NHM38" s="612"/>
      <c r="NHN38" s="612"/>
      <c r="NHO38" s="612"/>
      <c r="NHP38" s="612"/>
      <c r="NHQ38" s="612"/>
      <c r="NHR38" s="612"/>
      <c r="NHS38" s="612"/>
      <c r="NHT38" s="612"/>
      <c r="NHU38" s="612"/>
      <c r="NHV38" s="612"/>
      <c r="NHW38" s="612"/>
      <c r="NHX38" s="612"/>
      <c r="NHY38" s="612"/>
      <c r="NHZ38" s="612"/>
      <c r="NIA38" s="612"/>
      <c r="NIB38" s="612"/>
      <c r="NIC38" s="612"/>
      <c r="NID38" s="612"/>
      <c r="NIE38" s="612"/>
      <c r="NIF38" s="612"/>
      <c r="NIG38" s="612"/>
      <c r="NIH38" s="612"/>
      <c r="NII38" s="612"/>
      <c r="NIJ38" s="612"/>
      <c r="NIK38" s="612"/>
      <c r="NIL38" s="612"/>
      <c r="NIM38" s="612"/>
      <c r="NIN38" s="612"/>
      <c r="NIO38" s="612"/>
      <c r="NIP38" s="612"/>
      <c r="NIQ38" s="612"/>
      <c r="NIR38" s="612"/>
      <c r="NIS38" s="612"/>
      <c r="NIT38" s="612"/>
      <c r="NIU38" s="612"/>
      <c r="NIV38" s="612"/>
      <c r="NIW38" s="612"/>
      <c r="NIX38" s="612"/>
      <c r="NIY38" s="612"/>
      <c r="NIZ38" s="612"/>
      <c r="NJA38" s="612"/>
      <c r="NJB38" s="612"/>
      <c r="NJC38" s="612"/>
      <c r="NJD38" s="612"/>
      <c r="NJE38" s="612"/>
      <c r="NJF38" s="612"/>
      <c r="NJG38" s="612"/>
      <c r="NJH38" s="612"/>
      <c r="NJI38" s="612"/>
      <c r="NJJ38" s="612"/>
      <c r="NJK38" s="612"/>
      <c r="NJL38" s="612"/>
      <c r="NJM38" s="612"/>
      <c r="NJN38" s="612"/>
      <c r="NJO38" s="612"/>
      <c r="NJP38" s="612"/>
      <c r="NJQ38" s="612"/>
      <c r="NJR38" s="612"/>
      <c r="NJS38" s="612"/>
      <c r="NJT38" s="612"/>
      <c r="NJU38" s="612"/>
      <c r="NJV38" s="612"/>
      <c r="NJW38" s="612"/>
      <c r="NJX38" s="612"/>
      <c r="NJY38" s="612"/>
      <c r="NJZ38" s="612"/>
      <c r="NKA38" s="612"/>
      <c r="NKB38" s="612"/>
      <c r="NKC38" s="612"/>
      <c r="NKD38" s="612"/>
      <c r="NKE38" s="612"/>
      <c r="NKF38" s="612"/>
      <c r="NKG38" s="612"/>
      <c r="NKH38" s="612"/>
      <c r="NKI38" s="612"/>
      <c r="NKJ38" s="612"/>
      <c r="NKK38" s="612"/>
      <c r="NKL38" s="612"/>
      <c r="NKM38" s="612"/>
      <c r="NKN38" s="612"/>
      <c r="NKO38" s="612"/>
      <c r="NKP38" s="612"/>
      <c r="NKQ38" s="612"/>
      <c r="NKR38" s="612"/>
      <c r="NKS38" s="612"/>
      <c r="NKT38" s="612"/>
      <c r="NKU38" s="612"/>
      <c r="NKV38" s="612"/>
      <c r="NKW38" s="612"/>
      <c r="NKX38" s="612"/>
      <c r="NKY38" s="612"/>
      <c r="NKZ38" s="612"/>
      <c r="NLA38" s="612"/>
      <c r="NLB38" s="612"/>
      <c r="NLC38" s="612"/>
      <c r="NLD38" s="612"/>
      <c r="NLE38" s="612"/>
      <c r="NLF38" s="612"/>
      <c r="NLG38" s="612"/>
      <c r="NLH38" s="612"/>
      <c r="NLI38" s="612"/>
      <c r="NLJ38" s="612"/>
      <c r="NLK38" s="612"/>
      <c r="NLL38" s="612"/>
      <c r="NLM38" s="612"/>
      <c r="NLN38" s="612"/>
      <c r="NLO38" s="612"/>
      <c r="NLP38" s="612"/>
      <c r="NLQ38" s="612"/>
      <c r="NLR38" s="612"/>
      <c r="NLS38" s="612"/>
      <c r="NLT38" s="612"/>
      <c r="NLU38" s="612"/>
      <c r="NLV38" s="612"/>
      <c r="NLW38" s="612"/>
      <c r="NLX38" s="612"/>
      <c r="NLY38" s="612"/>
      <c r="NLZ38" s="612"/>
      <c r="NMA38" s="612"/>
      <c r="NMB38" s="612"/>
      <c r="NMC38" s="612"/>
      <c r="NMD38" s="612"/>
      <c r="NME38" s="612"/>
      <c r="NMF38" s="612"/>
      <c r="NMG38" s="612"/>
      <c r="NMH38" s="612"/>
      <c r="NMI38" s="612"/>
      <c r="NMJ38" s="612"/>
      <c r="NMK38" s="612"/>
      <c r="NML38" s="612"/>
      <c r="NMM38" s="612"/>
      <c r="NMN38" s="612"/>
      <c r="NMO38" s="612"/>
      <c r="NMP38" s="612"/>
      <c r="NMQ38" s="612"/>
      <c r="NMR38" s="612"/>
      <c r="NMS38" s="612"/>
      <c r="NMT38" s="612"/>
      <c r="NMU38" s="612"/>
      <c r="NMV38" s="612"/>
      <c r="NMW38" s="612"/>
      <c r="NMX38" s="612"/>
      <c r="NMY38" s="612"/>
      <c r="NMZ38" s="612"/>
      <c r="NNA38" s="612"/>
      <c r="NNB38" s="612"/>
      <c r="NNC38" s="612"/>
      <c r="NND38" s="612"/>
      <c r="NNE38" s="612"/>
      <c r="NNF38" s="612"/>
      <c r="NNG38" s="612"/>
      <c r="NNH38" s="612"/>
      <c r="NNI38" s="612"/>
      <c r="NNJ38" s="612"/>
      <c r="NNK38" s="612"/>
      <c r="NNL38" s="612"/>
      <c r="NNM38" s="612"/>
      <c r="NNN38" s="612"/>
      <c r="NNO38" s="612"/>
      <c r="NNP38" s="612"/>
      <c r="NNQ38" s="612"/>
      <c r="NNR38" s="612"/>
      <c r="NNS38" s="612"/>
      <c r="NNT38" s="612"/>
      <c r="NNU38" s="612"/>
      <c r="NNV38" s="612"/>
      <c r="NNW38" s="612"/>
      <c r="NNX38" s="612"/>
      <c r="NNY38" s="612"/>
      <c r="NNZ38" s="612"/>
      <c r="NOA38" s="612"/>
      <c r="NOB38" s="612"/>
      <c r="NOC38" s="612"/>
      <c r="NOD38" s="612"/>
      <c r="NOE38" s="612"/>
      <c r="NOF38" s="612"/>
      <c r="NOG38" s="612"/>
      <c r="NOH38" s="612"/>
      <c r="NOI38" s="612"/>
      <c r="NOJ38" s="612"/>
      <c r="NOK38" s="612"/>
      <c r="NOL38" s="612"/>
      <c r="NOM38" s="612"/>
      <c r="NON38" s="612"/>
      <c r="NOO38" s="612"/>
      <c r="NOP38" s="612"/>
      <c r="NOQ38" s="612"/>
      <c r="NOR38" s="612"/>
      <c r="NOS38" s="612"/>
      <c r="NOT38" s="612"/>
      <c r="NOU38" s="612"/>
      <c r="NOV38" s="612"/>
      <c r="NOW38" s="612"/>
      <c r="NOX38" s="612"/>
      <c r="NOY38" s="612"/>
      <c r="NOZ38" s="612"/>
      <c r="NPA38" s="612"/>
      <c r="NPB38" s="612"/>
      <c r="NPC38" s="612"/>
      <c r="NPD38" s="612"/>
      <c r="NPE38" s="612"/>
      <c r="NPF38" s="612"/>
      <c r="NPG38" s="612"/>
      <c r="NPH38" s="612"/>
      <c r="NPI38" s="612"/>
      <c r="NPJ38" s="612"/>
      <c r="NPK38" s="612"/>
      <c r="NPL38" s="612"/>
      <c r="NPM38" s="612"/>
      <c r="NPN38" s="612"/>
      <c r="NPO38" s="612"/>
      <c r="NPP38" s="612"/>
      <c r="NPQ38" s="612"/>
      <c r="NPR38" s="612"/>
      <c r="NPS38" s="612"/>
      <c r="NPT38" s="612"/>
      <c r="NPU38" s="612"/>
      <c r="NPV38" s="612"/>
      <c r="NPW38" s="612"/>
      <c r="NPX38" s="612"/>
      <c r="NPY38" s="612"/>
      <c r="NPZ38" s="612"/>
      <c r="NQA38" s="612"/>
      <c r="NQB38" s="612"/>
      <c r="NQC38" s="612"/>
      <c r="NQD38" s="612"/>
      <c r="NQE38" s="612"/>
      <c r="NQF38" s="612"/>
      <c r="NQG38" s="612"/>
      <c r="NQH38" s="612"/>
      <c r="NQI38" s="612"/>
      <c r="NQJ38" s="612"/>
      <c r="NQK38" s="612"/>
      <c r="NQL38" s="612"/>
      <c r="NQM38" s="612"/>
      <c r="NQN38" s="612"/>
      <c r="NQO38" s="612"/>
      <c r="NQP38" s="612"/>
      <c r="NQQ38" s="612"/>
      <c r="NQR38" s="612"/>
      <c r="NQS38" s="612"/>
      <c r="NQT38" s="612"/>
      <c r="NQU38" s="612"/>
      <c r="NQV38" s="612"/>
      <c r="NQW38" s="612"/>
      <c r="NQX38" s="612"/>
      <c r="NQY38" s="612"/>
      <c r="NQZ38" s="612"/>
      <c r="NRA38" s="612"/>
      <c r="NRB38" s="612"/>
      <c r="NRC38" s="612"/>
      <c r="NRD38" s="612"/>
      <c r="NRE38" s="612"/>
      <c r="NRF38" s="612"/>
      <c r="NRG38" s="612"/>
      <c r="NRH38" s="612"/>
      <c r="NRI38" s="612"/>
      <c r="NRJ38" s="612"/>
      <c r="NRK38" s="612"/>
      <c r="NRL38" s="612"/>
      <c r="NRM38" s="612"/>
      <c r="NRN38" s="612"/>
      <c r="NRO38" s="612"/>
      <c r="NRP38" s="612"/>
      <c r="NRQ38" s="612"/>
      <c r="NRR38" s="612"/>
      <c r="NRS38" s="612"/>
      <c r="NRT38" s="612"/>
      <c r="NRU38" s="612"/>
      <c r="NRV38" s="612"/>
      <c r="NRW38" s="612"/>
      <c r="NRX38" s="612"/>
      <c r="NRY38" s="612"/>
      <c r="NRZ38" s="612"/>
      <c r="NSA38" s="612"/>
      <c r="NSB38" s="612"/>
      <c r="NSC38" s="612"/>
      <c r="NSD38" s="612"/>
      <c r="NSE38" s="612"/>
      <c r="NSF38" s="612"/>
      <c r="NSG38" s="612"/>
      <c r="NSH38" s="612"/>
      <c r="NSI38" s="612"/>
      <c r="NSJ38" s="612"/>
      <c r="NSK38" s="612"/>
      <c r="NSL38" s="612"/>
      <c r="NSM38" s="612"/>
      <c r="NSN38" s="612"/>
      <c r="NSO38" s="612"/>
      <c r="NSP38" s="612"/>
      <c r="NSQ38" s="612"/>
      <c r="NSR38" s="612"/>
      <c r="NSS38" s="612"/>
      <c r="NST38" s="612"/>
      <c r="NSU38" s="612"/>
      <c r="NSV38" s="612"/>
      <c r="NSW38" s="612"/>
      <c r="NSX38" s="612"/>
      <c r="NSY38" s="612"/>
      <c r="NSZ38" s="612"/>
      <c r="NTA38" s="612"/>
      <c r="NTB38" s="612"/>
      <c r="NTC38" s="612"/>
      <c r="NTD38" s="612"/>
      <c r="NTE38" s="612"/>
      <c r="NTF38" s="612"/>
      <c r="NTG38" s="612"/>
      <c r="NTH38" s="612"/>
      <c r="NTI38" s="612"/>
      <c r="NTJ38" s="612"/>
      <c r="NTK38" s="612"/>
      <c r="NTL38" s="612"/>
      <c r="NTM38" s="612"/>
      <c r="NTN38" s="612"/>
      <c r="NTO38" s="612"/>
      <c r="NTP38" s="612"/>
      <c r="NTQ38" s="612"/>
      <c r="NTR38" s="612"/>
      <c r="NTS38" s="612"/>
      <c r="NTT38" s="612"/>
      <c r="NTU38" s="612"/>
      <c r="NTV38" s="612"/>
      <c r="NTW38" s="612"/>
      <c r="NTX38" s="612"/>
      <c r="NTY38" s="612"/>
      <c r="NTZ38" s="612"/>
      <c r="NUA38" s="612"/>
      <c r="NUB38" s="612"/>
      <c r="NUC38" s="612"/>
      <c r="NUD38" s="612"/>
      <c r="NUE38" s="612"/>
      <c r="NUF38" s="612"/>
      <c r="NUG38" s="612"/>
      <c r="NUH38" s="612"/>
      <c r="NUI38" s="612"/>
      <c r="NUJ38" s="612"/>
      <c r="NUK38" s="612"/>
      <c r="NUL38" s="612"/>
      <c r="NUM38" s="612"/>
      <c r="NUN38" s="612"/>
      <c r="NUO38" s="612"/>
      <c r="NUP38" s="612"/>
      <c r="NUQ38" s="612"/>
      <c r="NUR38" s="612"/>
      <c r="NUS38" s="612"/>
      <c r="NUT38" s="612"/>
      <c r="NUU38" s="612"/>
      <c r="NUV38" s="612"/>
      <c r="NUW38" s="612"/>
      <c r="NUX38" s="612"/>
      <c r="NUY38" s="612"/>
      <c r="NUZ38" s="612"/>
      <c r="NVA38" s="612"/>
      <c r="NVB38" s="612"/>
      <c r="NVC38" s="612"/>
      <c r="NVD38" s="612"/>
      <c r="NVE38" s="612"/>
      <c r="NVF38" s="612"/>
      <c r="NVG38" s="612"/>
      <c r="NVH38" s="612"/>
      <c r="NVI38" s="612"/>
      <c r="NVJ38" s="612"/>
      <c r="NVK38" s="612"/>
      <c r="NVL38" s="612"/>
      <c r="NVM38" s="612"/>
      <c r="NVN38" s="612"/>
      <c r="NVO38" s="612"/>
      <c r="NVP38" s="612"/>
      <c r="NVQ38" s="612"/>
      <c r="NVR38" s="612"/>
      <c r="NVS38" s="612"/>
      <c r="NVT38" s="612"/>
      <c r="NVU38" s="612"/>
      <c r="NVV38" s="612"/>
      <c r="NVW38" s="612"/>
      <c r="NVX38" s="612"/>
      <c r="NVY38" s="612"/>
      <c r="NVZ38" s="612"/>
      <c r="NWA38" s="612"/>
      <c r="NWB38" s="612"/>
      <c r="NWC38" s="612"/>
      <c r="NWD38" s="612"/>
      <c r="NWE38" s="612"/>
      <c r="NWF38" s="612"/>
      <c r="NWG38" s="612"/>
      <c r="NWH38" s="612"/>
      <c r="NWI38" s="612"/>
      <c r="NWJ38" s="612"/>
      <c r="NWK38" s="612"/>
      <c r="NWL38" s="612"/>
      <c r="NWM38" s="612"/>
      <c r="NWN38" s="612"/>
      <c r="NWO38" s="612"/>
      <c r="NWP38" s="612"/>
      <c r="NWQ38" s="612"/>
      <c r="NWR38" s="612"/>
      <c r="NWS38" s="612"/>
      <c r="NWT38" s="612"/>
      <c r="NWU38" s="612"/>
      <c r="NWV38" s="612"/>
      <c r="NWW38" s="612"/>
      <c r="NWX38" s="612"/>
      <c r="NWY38" s="612"/>
      <c r="NWZ38" s="612"/>
      <c r="NXA38" s="612"/>
      <c r="NXB38" s="612"/>
      <c r="NXC38" s="612"/>
      <c r="NXD38" s="612"/>
      <c r="NXE38" s="612"/>
      <c r="NXF38" s="612"/>
      <c r="NXG38" s="612"/>
      <c r="NXH38" s="612"/>
      <c r="NXI38" s="612"/>
      <c r="NXJ38" s="612"/>
      <c r="NXK38" s="612"/>
      <c r="NXL38" s="612"/>
      <c r="NXM38" s="612"/>
      <c r="NXN38" s="612"/>
      <c r="NXO38" s="612"/>
      <c r="NXP38" s="612"/>
      <c r="NXQ38" s="612"/>
      <c r="NXR38" s="612"/>
      <c r="NXS38" s="612"/>
      <c r="NXT38" s="612"/>
      <c r="NXU38" s="612"/>
      <c r="NXV38" s="612"/>
      <c r="NXW38" s="612"/>
      <c r="NXX38" s="612"/>
      <c r="NXY38" s="612"/>
      <c r="NXZ38" s="612"/>
      <c r="NYA38" s="612"/>
      <c r="NYB38" s="612"/>
      <c r="NYC38" s="612"/>
      <c r="NYD38" s="612"/>
      <c r="NYE38" s="612"/>
      <c r="NYF38" s="612"/>
      <c r="NYG38" s="612"/>
      <c r="NYH38" s="612"/>
      <c r="NYI38" s="612"/>
      <c r="NYJ38" s="612"/>
      <c r="NYK38" s="612"/>
      <c r="NYL38" s="612"/>
      <c r="NYM38" s="612"/>
      <c r="NYN38" s="612"/>
      <c r="NYO38" s="612"/>
      <c r="NYP38" s="612"/>
      <c r="NYQ38" s="612"/>
      <c r="NYR38" s="612"/>
      <c r="NYS38" s="612"/>
      <c r="NYT38" s="612"/>
      <c r="NYU38" s="612"/>
      <c r="NYV38" s="612"/>
      <c r="NYW38" s="612"/>
      <c r="NYX38" s="612"/>
      <c r="NYY38" s="612"/>
      <c r="NYZ38" s="612"/>
      <c r="NZA38" s="612"/>
      <c r="NZB38" s="612"/>
      <c r="NZC38" s="612"/>
      <c r="NZD38" s="612"/>
      <c r="NZE38" s="612"/>
      <c r="NZF38" s="612"/>
      <c r="NZG38" s="612"/>
      <c r="NZH38" s="612"/>
      <c r="NZI38" s="612"/>
      <c r="NZJ38" s="612"/>
      <c r="NZK38" s="612"/>
      <c r="NZL38" s="612"/>
      <c r="NZM38" s="612"/>
      <c r="NZN38" s="612"/>
      <c r="NZO38" s="612"/>
      <c r="NZP38" s="612"/>
      <c r="NZQ38" s="612"/>
      <c r="NZR38" s="612"/>
      <c r="NZS38" s="612"/>
      <c r="NZT38" s="612"/>
      <c r="NZU38" s="612"/>
      <c r="NZV38" s="612"/>
      <c r="NZW38" s="612"/>
      <c r="NZX38" s="612"/>
      <c r="NZY38" s="612"/>
      <c r="NZZ38" s="612"/>
      <c r="OAA38" s="612"/>
      <c r="OAB38" s="612"/>
      <c r="OAC38" s="612"/>
      <c r="OAD38" s="612"/>
      <c r="OAE38" s="612"/>
      <c r="OAF38" s="612"/>
      <c r="OAG38" s="612"/>
      <c r="OAH38" s="612"/>
      <c r="OAI38" s="612"/>
      <c r="OAJ38" s="612"/>
      <c r="OAK38" s="612"/>
      <c r="OAL38" s="612"/>
      <c r="OAM38" s="612"/>
      <c r="OAN38" s="612"/>
      <c r="OAO38" s="612"/>
      <c r="OAP38" s="612"/>
      <c r="OAQ38" s="612"/>
      <c r="OAR38" s="612"/>
      <c r="OAS38" s="612"/>
      <c r="OAT38" s="612"/>
      <c r="OAU38" s="612"/>
      <c r="OAV38" s="612"/>
      <c r="OAW38" s="612"/>
      <c r="OAX38" s="612"/>
      <c r="OAY38" s="612"/>
      <c r="OAZ38" s="612"/>
      <c r="OBA38" s="612"/>
      <c r="OBB38" s="612"/>
      <c r="OBC38" s="612"/>
      <c r="OBD38" s="612"/>
      <c r="OBE38" s="612"/>
      <c r="OBF38" s="612"/>
      <c r="OBG38" s="612"/>
      <c r="OBH38" s="612"/>
      <c r="OBI38" s="612"/>
      <c r="OBJ38" s="612"/>
      <c r="OBK38" s="612"/>
      <c r="OBL38" s="612"/>
      <c r="OBM38" s="612"/>
      <c r="OBN38" s="612"/>
      <c r="OBO38" s="612"/>
      <c r="OBP38" s="612"/>
      <c r="OBQ38" s="612"/>
      <c r="OBR38" s="612"/>
      <c r="OBS38" s="612"/>
      <c r="OBT38" s="612"/>
      <c r="OBU38" s="612"/>
      <c r="OBV38" s="612"/>
      <c r="OBW38" s="612"/>
      <c r="OBX38" s="612"/>
      <c r="OBY38" s="612"/>
      <c r="OBZ38" s="612"/>
      <c r="OCA38" s="612"/>
      <c r="OCB38" s="612"/>
      <c r="OCC38" s="612"/>
      <c r="OCD38" s="612"/>
      <c r="OCE38" s="612"/>
      <c r="OCF38" s="612"/>
      <c r="OCG38" s="612"/>
      <c r="OCH38" s="612"/>
      <c r="OCI38" s="612"/>
      <c r="OCJ38" s="612"/>
      <c r="OCK38" s="612"/>
      <c r="OCL38" s="612"/>
      <c r="OCM38" s="612"/>
      <c r="OCN38" s="612"/>
      <c r="OCO38" s="612"/>
      <c r="OCP38" s="612"/>
      <c r="OCQ38" s="612"/>
      <c r="OCR38" s="612"/>
      <c r="OCS38" s="612"/>
      <c r="OCT38" s="612"/>
      <c r="OCU38" s="612"/>
      <c r="OCV38" s="612"/>
      <c r="OCW38" s="612"/>
      <c r="OCX38" s="612"/>
      <c r="OCY38" s="612"/>
      <c r="OCZ38" s="612"/>
      <c r="ODA38" s="612"/>
      <c r="ODB38" s="612"/>
      <c r="ODC38" s="612"/>
      <c r="ODD38" s="612"/>
      <c r="ODE38" s="612"/>
      <c r="ODF38" s="612"/>
      <c r="ODG38" s="612"/>
      <c r="ODH38" s="612"/>
      <c r="ODI38" s="612"/>
      <c r="ODJ38" s="612"/>
      <c r="ODK38" s="612"/>
      <c r="ODL38" s="612"/>
      <c r="ODM38" s="612"/>
      <c r="ODN38" s="612"/>
      <c r="ODO38" s="612"/>
      <c r="ODP38" s="612"/>
      <c r="ODQ38" s="612"/>
      <c r="ODR38" s="612"/>
      <c r="ODS38" s="612"/>
      <c r="ODT38" s="612"/>
      <c r="ODU38" s="612"/>
      <c r="ODV38" s="612"/>
      <c r="ODW38" s="612"/>
      <c r="ODX38" s="612"/>
      <c r="ODY38" s="612"/>
      <c r="ODZ38" s="612"/>
      <c r="OEA38" s="612"/>
      <c r="OEB38" s="612"/>
      <c r="OEC38" s="612"/>
      <c r="OED38" s="612"/>
      <c r="OEE38" s="612"/>
      <c r="OEF38" s="612"/>
      <c r="OEG38" s="612"/>
      <c r="OEH38" s="612"/>
      <c r="OEI38" s="612"/>
      <c r="OEJ38" s="612"/>
      <c r="OEK38" s="612"/>
      <c r="OEL38" s="612"/>
      <c r="OEM38" s="612"/>
      <c r="OEN38" s="612"/>
      <c r="OEO38" s="612"/>
      <c r="OEP38" s="612"/>
      <c r="OEQ38" s="612"/>
      <c r="OER38" s="612"/>
      <c r="OES38" s="612"/>
      <c r="OET38" s="612"/>
      <c r="OEU38" s="612"/>
      <c r="OEV38" s="612"/>
      <c r="OEW38" s="612"/>
      <c r="OEX38" s="612"/>
      <c r="OEY38" s="612"/>
      <c r="OEZ38" s="612"/>
      <c r="OFA38" s="612"/>
      <c r="OFB38" s="612"/>
      <c r="OFC38" s="612"/>
      <c r="OFD38" s="612"/>
      <c r="OFE38" s="612"/>
      <c r="OFF38" s="612"/>
      <c r="OFG38" s="612"/>
      <c r="OFH38" s="612"/>
      <c r="OFI38" s="612"/>
      <c r="OFJ38" s="612"/>
      <c r="OFK38" s="612"/>
      <c r="OFL38" s="612"/>
      <c r="OFM38" s="612"/>
      <c r="OFN38" s="612"/>
      <c r="OFO38" s="612"/>
      <c r="OFP38" s="612"/>
      <c r="OFQ38" s="612"/>
      <c r="OFR38" s="612"/>
      <c r="OFS38" s="612"/>
      <c r="OFT38" s="612"/>
      <c r="OFU38" s="612"/>
      <c r="OFV38" s="612"/>
      <c r="OFW38" s="612"/>
      <c r="OFX38" s="612"/>
      <c r="OFY38" s="612"/>
      <c r="OFZ38" s="612"/>
      <c r="OGA38" s="612"/>
      <c r="OGB38" s="612"/>
      <c r="OGC38" s="612"/>
      <c r="OGD38" s="612"/>
      <c r="OGE38" s="612"/>
      <c r="OGF38" s="612"/>
      <c r="OGG38" s="612"/>
      <c r="OGH38" s="612"/>
      <c r="OGI38" s="612"/>
      <c r="OGJ38" s="612"/>
      <c r="OGK38" s="612"/>
      <c r="OGL38" s="612"/>
      <c r="OGM38" s="612"/>
      <c r="OGN38" s="612"/>
      <c r="OGO38" s="612"/>
      <c r="OGP38" s="612"/>
      <c r="OGQ38" s="612"/>
      <c r="OGR38" s="612"/>
      <c r="OGS38" s="612"/>
      <c r="OGT38" s="612"/>
      <c r="OGU38" s="612"/>
      <c r="OGV38" s="612"/>
      <c r="OGW38" s="612"/>
      <c r="OGX38" s="612"/>
      <c r="OGY38" s="612"/>
      <c r="OGZ38" s="612"/>
      <c r="OHA38" s="612"/>
      <c r="OHB38" s="612"/>
      <c r="OHC38" s="612"/>
      <c r="OHD38" s="612"/>
      <c r="OHE38" s="612"/>
      <c r="OHF38" s="612"/>
      <c r="OHG38" s="612"/>
      <c r="OHH38" s="612"/>
      <c r="OHI38" s="612"/>
      <c r="OHJ38" s="612"/>
      <c r="OHK38" s="612"/>
      <c r="OHL38" s="612"/>
      <c r="OHM38" s="612"/>
      <c r="OHN38" s="612"/>
      <c r="OHO38" s="612"/>
      <c r="OHP38" s="612"/>
      <c r="OHQ38" s="612"/>
      <c r="OHR38" s="612"/>
      <c r="OHS38" s="612"/>
      <c r="OHT38" s="612"/>
      <c r="OHU38" s="612"/>
      <c r="OHV38" s="612"/>
      <c r="OHW38" s="612"/>
      <c r="OHX38" s="612"/>
      <c r="OHY38" s="612"/>
      <c r="OHZ38" s="612"/>
      <c r="OIA38" s="612"/>
      <c r="OIB38" s="612"/>
      <c r="OIC38" s="612"/>
      <c r="OID38" s="612"/>
      <c r="OIE38" s="612"/>
      <c r="OIF38" s="612"/>
      <c r="OIG38" s="612"/>
      <c r="OIH38" s="612"/>
      <c r="OII38" s="612"/>
      <c r="OIJ38" s="612"/>
      <c r="OIK38" s="612"/>
      <c r="OIL38" s="612"/>
      <c r="OIM38" s="612"/>
      <c r="OIN38" s="612"/>
      <c r="OIO38" s="612"/>
      <c r="OIP38" s="612"/>
      <c r="OIQ38" s="612"/>
      <c r="OIR38" s="612"/>
      <c r="OIS38" s="612"/>
      <c r="OIT38" s="612"/>
      <c r="OIU38" s="612"/>
      <c r="OIV38" s="612"/>
      <c r="OIW38" s="612"/>
      <c r="OIX38" s="612"/>
      <c r="OIY38" s="612"/>
      <c r="OIZ38" s="612"/>
      <c r="OJA38" s="612"/>
      <c r="OJB38" s="612"/>
      <c r="OJC38" s="612"/>
      <c r="OJD38" s="612"/>
      <c r="OJE38" s="612"/>
      <c r="OJF38" s="612"/>
      <c r="OJG38" s="612"/>
      <c r="OJH38" s="612"/>
      <c r="OJI38" s="612"/>
      <c r="OJJ38" s="612"/>
      <c r="OJK38" s="612"/>
      <c r="OJL38" s="612"/>
      <c r="OJM38" s="612"/>
      <c r="OJN38" s="612"/>
      <c r="OJO38" s="612"/>
      <c r="OJP38" s="612"/>
      <c r="OJQ38" s="612"/>
      <c r="OJR38" s="612"/>
      <c r="OJS38" s="612"/>
      <c r="OJT38" s="612"/>
      <c r="OJU38" s="612"/>
      <c r="OJV38" s="612"/>
      <c r="OJW38" s="612"/>
      <c r="OJX38" s="612"/>
      <c r="OJY38" s="612"/>
      <c r="OJZ38" s="612"/>
      <c r="OKA38" s="612"/>
      <c r="OKB38" s="612"/>
      <c r="OKC38" s="612"/>
      <c r="OKD38" s="612"/>
      <c r="OKE38" s="612"/>
      <c r="OKF38" s="612"/>
      <c r="OKG38" s="612"/>
      <c r="OKH38" s="612"/>
      <c r="OKI38" s="612"/>
      <c r="OKJ38" s="612"/>
      <c r="OKK38" s="612"/>
      <c r="OKL38" s="612"/>
      <c r="OKM38" s="612"/>
      <c r="OKN38" s="612"/>
      <c r="OKO38" s="612"/>
      <c r="OKP38" s="612"/>
      <c r="OKQ38" s="612"/>
      <c r="OKR38" s="612"/>
      <c r="OKS38" s="612"/>
      <c r="OKT38" s="612"/>
      <c r="OKU38" s="612"/>
      <c r="OKV38" s="612"/>
      <c r="OKW38" s="612"/>
      <c r="OKX38" s="612"/>
      <c r="OKY38" s="612"/>
      <c r="OKZ38" s="612"/>
      <c r="OLA38" s="612"/>
      <c r="OLB38" s="612"/>
      <c r="OLC38" s="612"/>
      <c r="OLD38" s="612"/>
      <c r="OLE38" s="612"/>
      <c r="OLF38" s="612"/>
      <c r="OLG38" s="612"/>
      <c r="OLH38" s="612"/>
      <c r="OLI38" s="612"/>
      <c r="OLJ38" s="612"/>
      <c r="OLK38" s="612"/>
      <c r="OLL38" s="612"/>
      <c r="OLM38" s="612"/>
      <c r="OLN38" s="612"/>
      <c r="OLO38" s="612"/>
      <c r="OLP38" s="612"/>
      <c r="OLQ38" s="612"/>
      <c r="OLR38" s="612"/>
      <c r="OLS38" s="612"/>
      <c r="OLT38" s="612"/>
      <c r="OLU38" s="612"/>
      <c r="OLV38" s="612"/>
      <c r="OLW38" s="612"/>
      <c r="OLX38" s="612"/>
      <c r="OLY38" s="612"/>
      <c r="OLZ38" s="612"/>
      <c r="OMA38" s="612"/>
      <c r="OMB38" s="612"/>
      <c r="OMC38" s="612"/>
      <c r="OMD38" s="612"/>
      <c r="OME38" s="612"/>
      <c r="OMF38" s="612"/>
      <c r="OMG38" s="612"/>
      <c r="OMH38" s="612"/>
      <c r="OMI38" s="612"/>
      <c r="OMJ38" s="612"/>
      <c r="OMK38" s="612"/>
      <c r="OML38" s="612"/>
      <c r="OMM38" s="612"/>
      <c r="OMN38" s="612"/>
      <c r="OMO38" s="612"/>
      <c r="OMP38" s="612"/>
      <c r="OMQ38" s="612"/>
      <c r="OMR38" s="612"/>
      <c r="OMS38" s="612"/>
      <c r="OMT38" s="612"/>
      <c r="OMU38" s="612"/>
      <c r="OMV38" s="612"/>
      <c r="OMW38" s="612"/>
      <c r="OMX38" s="612"/>
      <c r="OMY38" s="612"/>
      <c r="OMZ38" s="612"/>
      <c r="ONA38" s="612"/>
      <c r="ONB38" s="612"/>
      <c r="ONC38" s="612"/>
      <c r="OND38" s="612"/>
      <c r="ONE38" s="612"/>
      <c r="ONF38" s="612"/>
      <c r="ONG38" s="612"/>
      <c r="ONH38" s="612"/>
      <c r="ONI38" s="612"/>
      <c r="ONJ38" s="612"/>
      <c r="ONK38" s="612"/>
      <c r="ONL38" s="612"/>
      <c r="ONM38" s="612"/>
      <c r="ONN38" s="612"/>
      <c r="ONO38" s="612"/>
      <c r="ONP38" s="612"/>
      <c r="ONQ38" s="612"/>
      <c r="ONR38" s="612"/>
      <c r="ONS38" s="612"/>
      <c r="ONT38" s="612"/>
      <c r="ONU38" s="612"/>
      <c r="ONV38" s="612"/>
      <c r="ONW38" s="612"/>
      <c r="ONX38" s="612"/>
      <c r="ONY38" s="612"/>
      <c r="ONZ38" s="612"/>
      <c r="OOA38" s="612"/>
      <c r="OOB38" s="612"/>
      <c r="OOC38" s="612"/>
      <c r="OOD38" s="612"/>
      <c r="OOE38" s="612"/>
      <c r="OOF38" s="612"/>
      <c r="OOG38" s="612"/>
      <c r="OOH38" s="612"/>
      <c r="OOI38" s="612"/>
      <c r="OOJ38" s="612"/>
      <c r="OOK38" s="612"/>
      <c r="OOL38" s="612"/>
      <c r="OOM38" s="612"/>
      <c r="OON38" s="612"/>
      <c r="OOO38" s="612"/>
      <c r="OOP38" s="612"/>
      <c r="OOQ38" s="612"/>
      <c r="OOR38" s="612"/>
      <c r="OOS38" s="612"/>
      <c r="OOT38" s="612"/>
      <c r="OOU38" s="612"/>
      <c r="OOV38" s="612"/>
      <c r="OOW38" s="612"/>
      <c r="OOX38" s="612"/>
      <c r="OOY38" s="612"/>
      <c r="OOZ38" s="612"/>
      <c r="OPA38" s="612"/>
      <c r="OPB38" s="612"/>
      <c r="OPC38" s="612"/>
      <c r="OPD38" s="612"/>
      <c r="OPE38" s="612"/>
      <c r="OPF38" s="612"/>
      <c r="OPG38" s="612"/>
      <c r="OPH38" s="612"/>
      <c r="OPI38" s="612"/>
      <c r="OPJ38" s="612"/>
      <c r="OPK38" s="612"/>
      <c r="OPL38" s="612"/>
      <c r="OPM38" s="612"/>
      <c r="OPN38" s="612"/>
      <c r="OPO38" s="612"/>
      <c r="OPP38" s="612"/>
      <c r="OPQ38" s="612"/>
      <c r="OPR38" s="612"/>
      <c r="OPS38" s="612"/>
      <c r="OPT38" s="612"/>
      <c r="OPU38" s="612"/>
      <c r="OPV38" s="612"/>
      <c r="OPW38" s="612"/>
      <c r="OPX38" s="612"/>
      <c r="OPY38" s="612"/>
      <c r="OPZ38" s="612"/>
      <c r="OQA38" s="612"/>
      <c r="OQB38" s="612"/>
      <c r="OQC38" s="612"/>
      <c r="OQD38" s="612"/>
      <c r="OQE38" s="612"/>
      <c r="OQF38" s="612"/>
      <c r="OQG38" s="612"/>
      <c r="OQH38" s="612"/>
      <c r="OQI38" s="612"/>
      <c r="OQJ38" s="612"/>
      <c r="OQK38" s="612"/>
      <c r="OQL38" s="612"/>
      <c r="OQM38" s="612"/>
      <c r="OQN38" s="612"/>
      <c r="OQO38" s="612"/>
      <c r="OQP38" s="612"/>
      <c r="OQQ38" s="612"/>
      <c r="OQR38" s="612"/>
      <c r="OQS38" s="612"/>
      <c r="OQT38" s="612"/>
      <c r="OQU38" s="612"/>
      <c r="OQV38" s="612"/>
      <c r="OQW38" s="612"/>
      <c r="OQX38" s="612"/>
      <c r="OQY38" s="612"/>
      <c r="OQZ38" s="612"/>
      <c r="ORA38" s="612"/>
      <c r="ORB38" s="612"/>
      <c r="ORC38" s="612"/>
      <c r="ORD38" s="612"/>
      <c r="ORE38" s="612"/>
      <c r="ORF38" s="612"/>
      <c r="ORG38" s="612"/>
      <c r="ORH38" s="612"/>
      <c r="ORI38" s="612"/>
      <c r="ORJ38" s="612"/>
      <c r="ORK38" s="612"/>
      <c r="ORL38" s="612"/>
      <c r="ORM38" s="612"/>
      <c r="ORN38" s="612"/>
      <c r="ORO38" s="612"/>
      <c r="ORP38" s="612"/>
      <c r="ORQ38" s="612"/>
      <c r="ORR38" s="612"/>
      <c r="ORS38" s="612"/>
      <c r="ORT38" s="612"/>
      <c r="ORU38" s="612"/>
      <c r="ORV38" s="612"/>
      <c r="ORW38" s="612"/>
      <c r="ORX38" s="612"/>
      <c r="ORY38" s="612"/>
      <c r="ORZ38" s="612"/>
      <c r="OSA38" s="612"/>
      <c r="OSB38" s="612"/>
      <c r="OSC38" s="612"/>
      <c r="OSD38" s="612"/>
      <c r="OSE38" s="612"/>
      <c r="OSF38" s="612"/>
      <c r="OSG38" s="612"/>
      <c r="OSH38" s="612"/>
      <c r="OSI38" s="612"/>
      <c r="OSJ38" s="612"/>
      <c r="OSK38" s="612"/>
      <c r="OSL38" s="612"/>
      <c r="OSM38" s="612"/>
      <c r="OSN38" s="612"/>
      <c r="OSO38" s="612"/>
      <c r="OSP38" s="612"/>
      <c r="OSQ38" s="612"/>
      <c r="OSR38" s="612"/>
      <c r="OSS38" s="612"/>
      <c r="OST38" s="612"/>
      <c r="OSU38" s="612"/>
      <c r="OSV38" s="612"/>
      <c r="OSW38" s="612"/>
      <c r="OSX38" s="612"/>
      <c r="OSY38" s="612"/>
      <c r="OSZ38" s="612"/>
      <c r="OTA38" s="612"/>
      <c r="OTB38" s="612"/>
      <c r="OTC38" s="612"/>
      <c r="OTD38" s="612"/>
      <c r="OTE38" s="612"/>
      <c r="OTF38" s="612"/>
      <c r="OTG38" s="612"/>
      <c r="OTH38" s="612"/>
      <c r="OTI38" s="612"/>
      <c r="OTJ38" s="612"/>
      <c r="OTK38" s="612"/>
      <c r="OTL38" s="612"/>
      <c r="OTM38" s="612"/>
      <c r="OTN38" s="612"/>
      <c r="OTO38" s="612"/>
      <c r="OTP38" s="612"/>
      <c r="OTQ38" s="612"/>
      <c r="OTR38" s="612"/>
      <c r="OTS38" s="612"/>
      <c r="OTT38" s="612"/>
      <c r="OTU38" s="612"/>
      <c r="OTV38" s="612"/>
      <c r="OTW38" s="612"/>
      <c r="OTX38" s="612"/>
      <c r="OTY38" s="612"/>
      <c r="OTZ38" s="612"/>
      <c r="OUA38" s="612"/>
      <c r="OUB38" s="612"/>
      <c r="OUC38" s="612"/>
      <c r="OUD38" s="612"/>
      <c r="OUE38" s="612"/>
      <c r="OUF38" s="612"/>
      <c r="OUG38" s="612"/>
      <c r="OUH38" s="612"/>
      <c r="OUI38" s="612"/>
      <c r="OUJ38" s="612"/>
      <c r="OUK38" s="612"/>
      <c r="OUL38" s="612"/>
      <c r="OUM38" s="612"/>
      <c r="OUN38" s="612"/>
      <c r="OUO38" s="612"/>
      <c r="OUP38" s="612"/>
      <c r="OUQ38" s="612"/>
      <c r="OUR38" s="612"/>
      <c r="OUS38" s="612"/>
      <c r="OUT38" s="612"/>
      <c r="OUU38" s="612"/>
      <c r="OUV38" s="612"/>
      <c r="OUW38" s="612"/>
      <c r="OUX38" s="612"/>
      <c r="OUY38" s="612"/>
      <c r="OUZ38" s="612"/>
      <c r="OVA38" s="612"/>
      <c r="OVB38" s="612"/>
      <c r="OVC38" s="612"/>
      <c r="OVD38" s="612"/>
      <c r="OVE38" s="612"/>
      <c r="OVF38" s="612"/>
      <c r="OVG38" s="612"/>
      <c r="OVH38" s="612"/>
      <c r="OVI38" s="612"/>
      <c r="OVJ38" s="612"/>
      <c r="OVK38" s="612"/>
      <c r="OVL38" s="612"/>
      <c r="OVM38" s="612"/>
      <c r="OVN38" s="612"/>
      <c r="OVO38" s="612"/>
      <c r="OVP38" s="612"/>
      <c r="OVQ38" s="612"/>
      <c r="OVR38" s="612"/>
      <c r="OVS38" s="612"/>
      <c r="OVT38" s="612"/>
      <c r="OVU38" s="612"/>
      <c r="OVV38" s="612"/>
      <c r="OVW38" s="612"/>
      <c r="OVX38" s="612"/>
      <c r="OVY38" s="612"/>
      <c r="OVZ38" s="612"/>
      <c r="OWA38" s="612"/>
      <c r="OWB38" s="612"/>
      <c r="OWC38" s="612"/>
      <c r="OWD38" s="612"/>
      <c r="OWE38" s="612"/>
      <c r="OWF38" s="612"/>
      <c r="OWG38" s="612"/>
      <c r="OWH38" s="612"/>
      <c r="OWI38" s="612"/>
      <c r="OWJ38" s="612"/>
      <c r="OWK38" s="612"/>
      <c r="OWL38" s="612"/>
      <c r="OWM38" s="612"/>
      <c r="OWN38" s="612"/>
      <c r="OWO38" s="612"/>
      <c r="OWP38" s="612"/>
      <c r="OWQ38" s="612"/>
      <c r="OWR38" s="612"/>
      <c r="OWS38" s="612"/>
      <c r="OWT38" s="612"/>
      <c r="OWU38" s="612"/>
      <c r="OWV38" s="612"/>
      <c r="OWW38" s="612"/>
      <c r="OWX38" s="612"/>
      <c r="OWY38" s="612"/>
      <c r="OWZ38" s="612"/>
      <c r="OXA38" s="612"/>
      <c r="OXB38" s="612"/>
      <c r="OXC38" s="612"/>
      <c r="OXD38" s="612"/>
      <c r="OXE38" s="612"/>
      <c r="OXF38" s="612"/>
      <c r="OXG38" s="612"/>
      <c r="OXH38" s="612"/>
      <c r="OXI38" s="612"/>
      <c r="OXJ38" s="612"/>
      <c r="OXK38" s="612"/>
      <c r="OXL38" s="612"/>
      <c r="OXM38" s="612"/>
      <c r="OXN38" s="612"/>
      <c r="OXO38" s="612"/>
      <c r="OXP38" s="612"/>
      <c r="OXQ38" s="612"/>
      <c r="OXR38" s="612"/>
      <c r="OXS38" s="612"/>
      <c r="OXT38" s="612"/>
      <c r="OXU38" s="612"/>
      <c r="OXV38" s="612"/>
      <c r="OXW38" s="612"/>
      <c r="OXX38" s="612"/>
      <c r="OXY38" s="612"/>
      <c r="OXZ38" s="612"/>
      <c r="OYA38" s="612"/>
      <c r="OYB38" s="612"/>
      <c r="OYC38" s="612"/>
      <c r="OYD38" s="612"/>
      <c r="OYE38" s="612"/>
      <c r="OYF38" s="612"/>
      <c r="OYG38" s="612"/>
      <c r="OYH38" s="612"/>
      <c r="OYI38" s="612"/>
      <c r="OYJ38" s="612"/>
      <c r="OYK38" s="612"/>
      <c r="OYL38" s="612"/>
      <c r="OYM38" s="612"/>
      <c r="OYN38" s="612"/>
      <c r="OYO38" s="612"/>
      <c r="OYP38" s="612"/>
      <c r="OYQ38" s="612"/>
      <c r="OYR38" s="612"/>
      <c r="OYS38" s="612"/>
      <c r="OYT38" s="612"/>
      <c r="OYU38" s="612"/>
      <c r="OYV38" s="612"/>
      <c r="OYW38" s="612"/>
      <c r="OYX38" s="612"/>
      <c r="OYY38" s="612"/>
      <c r="OYZ38" s="612"/>
      <c r="OZA38" s="612"/>
      <c r="OZB38" s="612"/>
      <c r="OZC38" s="612"/>
      <c r="OZD38" s="612"/>
      <c r="OZE38" s="612"/>
      <c r="OZF38" s="612"/>
      <c r="OZG38" s="612"/>
      <c r="OZH38" s="612"/>
      <c r="OZI38" s="612"/>
      <c r="OZJ38" s="612"/>
      <c r="OZK38" s="612"/>
      <c r="OZL38" s="612"/>
      <c r="OZM38" s="612"/>
      <c r="OZN38" s="612"/>
      <c r="OZO38" s="612"/>
      <c r="OZP38" s="612"/>
      <c r="OZQ38" s="612"/>
      <c r="OZR38" s="612"/>
      <c r="OZS38" s="612"/>
      <c r="OZT38" s="612"/>
      <c r="OZU38" s="612"/>
      <c r="OZV38" s="612"/>
      <c r="OZW38" s="612"/>
      <c r="OZX38" s="612"/>
      <c r="OZY38" s="612"/>
      <c r="OZZ38" s="612"/>
      <c r="PAA38" s="612"/>
      <c r="PAB38" s="612"/>
      <c r="PAC38" s="612"/>
      <c r="PAD38" s="612"/>
      <c r="PAE38" s="612"/>
      <c r="PAF38" s="612"/>
      <c r="PAG38" s="612"/>
      <c r="PAH38" s="612"/>
      <c r="PAI38" s="612"/>
      <c r="PAJ38" s="612"/>
      <c r="PAK38" s="612"/>
      <c r="PAL38" s="612"/>
      <c r="PAM38" s="612"/>
      <c r="PAN38" s="612"/>
      <c r="PAO38" s="612"/>
      <c r="PAP38" s="612"/>
      <c r="PAQ38" s="612"/>
      <c r="PAR38" s="612"/>
      <c r="PAS38" s="612"/>
      <c r="PAT38" s="612"/>
      <c r="PAU38" s="612"/>
      <c r="PAV38" s="612"/>
      <c r="PAW38" s="612"/>
      <c r="PAX38" s="612"/>
      <c r="PAY38" s="612"/>
      <c r="PAZ38" s="612"/>
      <c r="PBA38" s="612"/>
      <c r="PBB38" s="612"/>
      <c r="PBC38" s="612"/>
      <c r="PBD38" s="612"/>
      <c r="PBE38" s="612"/>
      <c r="PBF38" s="612"/>
      <c r="PBG38" s="612"/>
      <c r="PBH38" s="612"/>
      <c r="PBI38" s="612"/>
      <c r="PBJ38" s="612"/>
      <c r="PBK38" s="612"/>
      <c r="PBL38" s="612"/>
      <c r="PBM38" s="612"/>
      <c r="PBN38" s="612"/>
      <c r="PBO38" s="612"/>
      <c r="PBP38" s="612"/>
      <c r="PBQ38" s="612"/>
      <c r="PBR38" s="612"/>
      <c r="PBS38" s="612"/>
      <c r="PBT38" s="612"/>
      <c r="PBU38" s="612"/>
      <c r="PBV38" s="612"/>
      <c r="PBW38" s="612"/>
      <c r="PBX38" s="612"/>
      <c r="PBY38" s="612"/>
      <c r="PBZ38" s="612"/>
      <c r="PCA38" s="612"/>
      <c r="PCB38" s="612"/>
      <c r="PCC38" s="612"/>
      <c r="PCD38" s="612"/>
      <c r="PCE38" s="612"/>
      <c r="PCF38" s="612"/>
      <c r="PCG38" s="612"/>
      <c r="PCH38" s="612"/>
      <c r="PCI38" s="612"/>
      <c r="PCJ38" s="612"/>
      <c r="PCK38" s="612"/>
      <c r="PCL38" s="612"/>
      <c r="PCM38" s="612"/>
      <c r="PCN38" s="612"/>
      <c r="PCO38" s="612"/>
      <c r="PCP38" s="612"/>
      <c r="PCQ38" s="612"/>
      <c r="PCR38" s="612"/>
      <c r="PCS38" s="612"/>
      <c r="PCT38" s="612"/>
      <c r="PCU38" s="612"/>
      <c r="PCV38" s="612"/>
      <c r="PCW38" s="612"/>
      <c r="PCX38" s="612"/>
      <c r="PCY38" s="612"/>
      <c r="PCZ38" s="612"/>
      <c r="PDA38" s="612"/>
      <c r="PDB38" s="612"/>
      <c r="PDC38" s="612"/>
      <c r="PDD38" s="612"/>
      <c r="PDE38" s="612"/>
      <c r="PDF38" s="612"/>
      <c r="PDG38" s="612"/>
      <c r="PDH38" s="612"/>
      <c r="PDI38" s="612"/>
      <c r="PDJ38" s="612"/>
      <c r="PDK38" s="612"/>
      <c r="PDL38" s="612"/>
      <c r="PDM38" s="612"/>
      <c r="PDN38" s="612"/>
      <c r="PDO38" s="612"/>
      <c r="PDP38" s="612"/>
      <c r="PDQ38" s="612"/>
      <c r="PDR38" s="612"/>
      <c r="PDS38" s="612"/>
      <c r="PDT38" s="612"/>
      <c r="PDU38" s="612"/>
      <c r="PDV38" s="612"/>
      <c r="PDW38" s="612"/>
      <c r="PDX38" s="612"/>
      <c r="PDY38" s="612"/>
      <c r="PDZ38" s="612"/>
      <c r="PEA38" s="612"/>
      <c r="PEB38" s="612"/>
      <c r="PEC38" s="612"/>
      <c r="PED38" s="612"/>
      <c r="PEE38" s="612"/>
      <c r="PEF38" s="612"/>
      <c r="PEG38" s="612"/>
      <c r="PEH38" s="612"/>
      <c r="PEI38" s="612"/>
      <c r="PEJ38" s="612"/>
      <c r="PEK38" s="612"/>
      <c r="PEL38" s="612"/>
      <c r="PEM38" s="612"/>
      <c r="PEN38" s="612"/>
      <c r="PEO38" s="612"/>
      <c r="PEP38" s="612"/>
      <c r="PEQ38" s="612"/>
      <c r="PER38" s="612"/>
      <c r="PES38" s="612"/>
      <c r="PET38" s="612"/>
      <c r="PEU38" s="612"/>
      <c r="PEV38" s="612"/>
      <c r="PEW38" s="612"/>
      <c r="PEX38" s="612"/>
      <c r="PEY38" s="612"/>
      <c r="PEZ38" s="612"/>
      <c r="PFA38" s="612"/>
      <c r="PFB38" s="612"/>
      <c r="PFC38" s="612"/>
      <c r="PFD38" s="612"/>
      <c r="PFE38" s="612"/>
      <c r="PFF38" s="612"/>
      <c r="PFG38" s="612"/>
      <c r="PFH38" s="612"/>
      <c r="PFI38" s="612"/>
      <c r="PFJ38" s="612"/>
      <c r="PFK38" s="612"/>
      <c r="PFL38" s="612"/>
      <c r="PFM38" s="612"/>
      <c r="PFN38" s="612"/>
      <c r="PFO38" s="612"/>
      <c r="PFP38" s="612"/>
      <c r="PFQ38" s="612"/>
      <c r="PFR38" s="612"/>
      <c r="PFS38" s="612"/>
      <c r="PFT38" s="612"/>
      <c r="PFU38" s="612"/>
      <c r="PFV38" s="612"/>
      <c r="PFW38" s="612"/>
      <c r="PFX38" s="612"/>
      <c r="PFY38" s="612"/>
      <c r="PFZ38" s="612"/>
      <c r="PGA38" s="612"/>
      <c r="PGB38" s="612"/>
      <c r="PGC38" s="612"/>
      <c r="PGD38" s="612"/>
      <c r="PGE38" s="612"/>
      <c r="PGF38" s="612"/>
      <c r="PGG38" s="612"/>
      <c r="PGH38" s="612"/>
      <c r="PGI38" s="612"/>
      <c r="PGJ38" s="612"/>
      <c r="PGK38" s="612"/>
      <c r="PGL38" s="612"/>
      <c r="PGM38" s="612"/>
      <c r="PGN38" s="612"/>
      <c r="PGO38" s="612"/>
      <c r="PGP38" s="612"/>
      <c r="PGQ38" s="612"/>
      <c r="PGR38" s="612"/>
      <c r="PGS38" s="612"/>
      <c r="PGT38" s="612"/>
      <c r="PGU38" s="612"/>
      <c r="PGV38" s="612"/>
      <c r="PGW38" s="612"/>
      <c r="PGX38" s="612"/>
      <c r="PGY38" s="612"/>
      <c r="PGZ38" s="612"/>
      <c r="PHA38" s="612"/>
      <c r="PHB38" s="612"/>
      <c r="PHC38" s="612"/>
      <c r="PHD38" s="612"/>
      <c r="PHE38" s="612"/>
      <c r="PHF38" s="612"/>
      <c r="PHG38" s="612"/>
      <c r="PHH38" s="612"/>
      <c r="PHI38" s="612"/>
      <c r="PHJ38" s="612"/>
      <c r="PHK38" s="612"/>
      <c r="PHL38" s="612"/>
      <c r="PHM38" s="612"/>
      <c r="PHN38" s="612"/>
      <c r="PHO38" s="612"/>
      <c r="PHP38" s="612"/>
      <c r="PHQ38" s="612"/>
      <c r="PHR38" s="612"/>
      <c r="PHS38" s="612"/>
      <c r="PHT38" s="612"/>
      <c r="PHU38" s="612"/>
      <c r="PHV38" s="612"/>
      <c r="PHW38" s="612"/>
      <c r="PHX38" s="612"/>
      <c r="PHY38" s="612"/>
      <c r="PHZ38" s="612"/>
      <c r="PIA38" s="612"/>
      <c r="PIB38" s="612"/>
      <c r="PIC38" s="612"/>
      <c r="PID38" s="612"/>
      <c r="PIE38" s="612"/>
      <c r="PIF38" s="612"/>
      <c r="PIG38" s="612"/>
      <c r="PIH38" s="612"/>
      <c r="PII38" s="612"/>
      <c r="PIJ38" s="612"/>
      <c r="PIK38" s="612"/>
      <c r="PIL38" s="612"/>
      <c r="PIM38" s="612"/>
      <c r="PIN38" s="612"/>
      <c r="PIO38" s="612"/>
      <c r="PIP38" s="612"/>
      <c r="PIQ38" s="612"/>
      <c r="PIR38" s="612"/>
      <c r="PIS38" s="612"/>
      <c r="PIT38" s="612"/>
      <c r="PIU38" s="612"/>
      <c r="PIV38" s="612"/>
      <c r="PIW38" s="612"/>
      <c r="PIX38" s="612"/>
      <c r="PIY38" s="612"/>
      <c r="PIZ38" s="612"/>
      <c r="PJA38" s="612"/>
      <c r="PJB38" s="612"/>
      <c r="PJC38" s="612"/>
      <c r="PJD38" s="612"/>
      <c r="PJE38" s="612"/>
      <c r="PJF38" s="612"/>
      <c r="PJG38" s="612"/>
      <c r="PJH38" s="612"/>
      <c r="PJI38" s="612"/>
      <c r="PJJ38" s="612"/>
      <c r="PJK38" s="612"/>
      <c r="PJL38" s="612"/>
      <c r="PJM38" s="612"/>
      <c r="PJN38" s="612"/>
      <c r="PJO38" s="612"/>
      <c r="PJP38" s="612"/>
      <c r="PJQ38" s="612"/>
      <c r="PJR38" s="612"/>
      <c r="PJS38" s="612"/>
      <c r="PJT38" s="612"/>
      <c r="PJU38" s="612"/>
      <c r="PJV38" s="612"/>
      <c r="PJW38" s="612"/>
      <c r="PJX38" s="612"/>
      <c r="PJY38" s="612"/>
      <c r="PJZ38" s="612"/>
      <c r="PKA38" s="612"/>
      <c r="PKB38" s="612"/>
      <c r="PKC38" s="612"/>
      <c r="PKD38" s="612"/>
      <c r="PKE38" s="612"/>
      <c r="PKF38" s="612"/>
      <c r="PKG38" s="612"/>
      <c r="PKH38" s="612"/>
      <c r="PKI38" s="612"/>
      <c r="PKJ38" s="612"/>
      <c r="PKK38" s="612"/>
      <c r="PKL38" s="612"/>
      <c r="PKM38" s="612"/>
      <c r="PKN38" s="612"/>
      <c r="PKO38" s="612"/>
      <c r="PKP38" s="612"/>
      <c r="PKQ38" s="612"/>
      <c r="PKR38" s="612"/>
      <c r="PKS38" s="612"/>
      <c r="PKT38" s="612"/>
      <c r="PKU38" s="612"/>
      <c r="PKV38" s="612"/>
      <c r="PKW38" s="612"/>
      <c r="PKX38" s="612"/>
      <c r="PKY38" s="612"/>
      <c r="PKZ38" s="612"/>
      <c r="PLA38" s="612"/>
      <c r="PLB38" s="612"/>
      <c r="PLC38" s="612"/>
      <c r="PLD38" s="612"/>
      <c r="PLE38" s="612"/>
      <c r="PLF38" s="612"/>
      <c r="PLG38" s="612"/>
      <c r="PLH38" s="612"/>
      <c r="PLI38" s="612"/>
      <c r="PLJ38" s="612"/>
      <c r="PLK38" s="612"/>
      <c r="PLL38" s="612"/>
      <c r="PLM38" s="612"/>
      <c r="PLN38" s="612"/>
      <c r="PLO38" s="612"/>
      <c r="PLP38" s="612"/>
      <c r="PLQ38" s="612"/>
      <c r="PLR38" s="612"/>
      <c r="PLS38" s="612"/>
      <c r="PLT38" s="612"/>
      <c r="PLU38" s="612"/>
      <c r="PLV38" s="612"/>
      <c r="PLW38" s="612"/>
      <c r="PLX38" s="612"/>
      <c r="PLY38" s="612"/>
      <c r="PLZ38" s="612"/>
      <c r="PMA38" s="612"/>
      <c r="PMB38" s="612"/>
      <c r="PMC38" s="612"/>
      <c r="PMD38" s="612"/>
      <c r="PME38" s="612"/>
      <c r="PMF38" s="612"/>
      <c r="PMG38" s="612"/>
      <c r="PMH38" s="612"/>
      <c r="PMI38" s="612"/>
      <c r="PMJ38" s="612"/>
      <c r="PMK38" s="612"/>
      <c r="PML38" s="612"/>
      <c r="PMM38" s="612"/>
      <c r="PMN38" s="612"/>
      <c r="PMO38" s="612"/>
      <c r="PMP38" s="612"/>
      <c r="PMQ38" s="612"/>
      <c r="PMR38" s="612"/>
      <c r="PMS38" s="612"/>
      <c r="PMT38" s="612"/>
      <c r="PMU38" s="612"/>
      <c r="PMV38" s="612"/>
      <c r="PMW38" s="612"/>
      <c r="PMX38" s="612"/>
      <c r="PMY38" s="612"/>
      <c r="PMZ38" s="612"/>
      <c r="PNA38" s="612"/>
      <c r="PNB38" s="612"/>
      <c r="PNC38" s="612"/>
      <c r="PND38" s="612"/>
      <c r="PNE38" s="612"/>
      <c r="PNF38" s="612"/>
      <c r="PNG38" s="612"/>
      <c r="PNH38" s="612"/>
      <c r="PNI38" s="612"/>
      <c r="PNJ38" s="612"/>
      <c r="PNK38" s="612"/>
      <c r="PNL38" s="612"/>
      <c r="PNM38" s="612"/>
      <c r="PNN38" s="612"/>
      <c r="PNO38" s="612"/>
      <c r="PNP38" s="612"/>
      <c r="PNQ38" s="612"/>
      <c r="PNR38" s="612"/>
      <c r="PNS38" s="612"/>
      <c r="PNT38" s="612"/>
      <c r="PNU38" s="612"/>
      <c r="PNV38" s="612"/>
      <c r="PNW38" s="612"/>
      <c r="PNX38" s="612"/>
      <c r="PNY38" s="612"/>
      <c r="PNZ38" s="612"/>
      <c r="POA38" s="612"/>
      <c r="POB38" s="612"/>
      <c r="POC38" s="612"/>
      <c r="POD38" s="612"/>
      <c r="POE38" s="612"/>
      <c r="POF38" s="612"/>
      <c r="POG38" s="612"/>
      <c r="POH38" s="612"/>
      <c r="POI38" s="612"/>
      <c r="POJ38" s="612"/>
      <c r="POK38" s="612"/>
      <c r="POL38" s="612"/>
      <c r="POM38" s="612"/>
      <c r="PON38" s="612"/>
      <c r="POO38" s="612"/>
      <c r="POP38" s="612"/>
      <c r="POQ38" s="612"/>
      <c r="POR38" s="612"/>
      <c r="POS38" s="612"/>
      <c r="POT38" s="612"/>
      <c r="POU38" s="612"/>
      <c r="POV38" s="612"/>
      <c r="POW38" s="612"/>
      <c r="POX38" s="612"/>
      <c r="POY38" s="612"/>
      <c r="POZ38" s="612"/>
      <c r="PPA38" s="612"/>
      <c r="PPB38" s="612"/>
      <c r="PPC38" s="612"/>
      <c r="PPD38" s="612"/>
      <c r="PPE38" s="612"/>
      <c r="PPF38" s="612"/>
      <c r="PPG38" s="612"/>
      <c r="PPH38" s="612"/>
      <c r="PPI38" s="612"/>
      <c r="PPJ38" s="612"/>
      <c r="PPK38" s="612"/>
      <c r="PPL38" s="612"/>
      <c r="PPM38" s="612"/>
      <c r="PPN38" s="612"/>
      <c r="PPO38" s="612"/>
      <c r="PPP38" s="612"/>
      <c r="PPQ38" s="612"/>
      <c r="PPR38" s="612"/>
      <c r="PPS38" s="612"/>
      <c r="PPT38" s="612"/>
      <c r="PPU38" s="612"/>
      <c r="PPV38" s="612"/>
      <c r="PPW38" s="612"/>
      <c r="PPX38" s="612"/>
      <c r="PPY38" s="612"/>
      <c r="PPZ38" s="612"/>
      <c r="PQA38" s="612"/>
      <c r="PQB38" s="612"/>
      <c r="PQC38" s="612"/>
      <c r="PQD38" s="612"/>
      <c r="PQE38" s="612"/>
      <c r="PQF38" s="612"/>
      <c r="PQG38" s="612"/>
      <c r="PQH38" s="612"/>
      <c r="PQI38" s="612"/>
      <c r="PQJ38" s="612"/>
      <c r="PQK38" s="612"/>
      <c r="PQL38" s="612"/>
      <c r="PQM38" s="612"/>
      <c r="PQN38" s="612"/>
      <c r="PQO38" s="612"/>
      <c r="PQP38" s="612"/>
      <c r="PQQ38" s="612"/>
      <c r="PQR38" s="612"/>
      <c r="PQS38" s="612"/>
      <c r="PQT38" s="612"/>
      <c r="PQU38" s="612"/>
      <c r="PQV38" s="612"/>
      <c r="PQW38" s="612"/>
      <c r="PQX38" s="612"/>
      <c r="PQY38" s="612"/>
      <c r="PQZ38" s="612"/>
      <c r="PRA38" s="612"/>
      <c r="PRB38" s="612"/>
      <c r="PRC38" s="612"/>
      <c r="PRD38" s="612"/>
      <c r="PRE38" s="612"/>
      <c r="PRF38" s="612"/>
      <c r="PRG38" s="612"/>
      <c r="PRH38" s="612"/>
      <c r="PRI38" s="612"/>
      <c r="PRJ38" s="612"/>
      <c r="PRK38" s="612"/>
      <c r="PRL38" s="612"/>
      <c r="PRM38" s="612"/>
      <c r="PRN38" s="612"/>
      <c r="PRO38" s="612"/>
      <c r="PRP38" s="612"/>
      <c r="PRQ38" s="612"/>
      <c r="PRR38" s="612"/>
      <c r="PRS38" s="612"/>
      <c r="PRT38" s="612"/>
      <c r="PRU38" s="612"/>
      <c r="PRV38" s="612"/>
      <c r="PRW38" s="612"/>
      <c r="PRX38" s="612"/>
      <c r="PRY38" s="612"/>
      <c r="PRZ38" s="612"/>
      <c r="PSA38" s="612"/>
      <c r="PSB38" s="612"/>
      <c r="PSC38" s="612"/>
      <c r="PSD38" s="612"/>
      <c r="PSE38" s="612"/>
      <c r="PSF38" s="612"/>
      <c r="PSG38" s="612"/>
      <c r="PSH38" s="612"/>
      <c r="PSI38" s="612"/>
      <c r="PSJ38" s="612"/>
      <c r="PSK38" s="612"/>
      <c r="PSL38" s="612"/>
      <c r="PSM38" s="612"/>
      <c r="PSN38" s="612"/>
      <c r="PSO38" s="612"/>
      <c r="PSP38" s="612"/>
      <c r="PSQ38" s="612"/>
      <c r="PSR38" s="612"/>
      <c r="PSS38" s="612"/>
      <c r="PST38" s="612"/>
      <c r="PSU38" s="612"/>
      <c r="PSV38" s="612"/>
      <c r="PSW38" s="612"/>
      <c r="PSX38" s="612"/>
      <c r="PSY38" s="612"/>
      <c r="PSZ38" s="612"/>
      <c r="PTA38" s="612"/>
      <c r="PTB38" s="612"/>
      <c r="PTC38" s="612"/>
      <c r="PTD38" s="612"/>
      <c r="PTE38" s="612"/>
      <c r="PTF38" s="612"/>
      <c r="PTG38" s="612"/>
      <c r="PTH38" s="612"/>
      <c r="PTI38" s="612"/>
      <c r="PTJ38" s="612"/>
      <c r="PTK38" s="612"/>
      <c r="PTL38" s="612"/>
      <c r="PTM38" s="612"/>
      <c r="PTN38" s="612"/>
      <c r="PTO38" s="612"/>
      <c r="PTP38" s="612"/>
      <c r="PTQ38" s="612"/>
      <c r="PTR38" s="612"/>
      <c r="PTS38" s="612"/>
      <c r="PTT38" s="612"/>
      <c r="PTU38" s="612"/>
      <c r="PTV38" s="612"/>
      <c r="PTW38" s="612"/>
      <c r="PTX38" s="612"/>
      <c r="PTY38" s="612"/>
      <c r="PTZ38" s="612"/>
      <c r="PUA38" s="612"/>
      <c r="PUB38" s="612"/>
      <c r="PUC38" s="612"/>
      <c r="PUD38" s="612"/>
      <c r="PUE38" s="612"/>
      <c r="PUF38" s="612"/>
      <c r="PUG38" s="612"/>
      <c r="PUH38" s="612"/>
      <c r="PUI38" s="612"/>
      <c r="PUJ38" s="612"/>
      <c r="PUK38" s="612"/>
      <c r="PUL38" s="612"/>
      <c r="PUM38" s="612"/>
      <c r="PUN38" s="612"/>
      <c r="PUO38" s="612"/>
      <c r="PUP38" s="612"/>
      <c r="PUQ38" s="612"/>
      <c r="PUR38" s="612"/>
      <c r="PUS38" s="612"/>
      <c r="PUT38" s="612"/>
      <c r="PUU38" s="612"/>
      <c r="PUV38" s="612"/>
      <c r="PUW38" s="612"/>
      <c r="PUX38" s="612"/>
      <c r="PUY38" s="612"/>
      <c r="PUZ38" s="612"/>
      <c r="PVA38" s="612"/>
      <c r="PVB38" s="612"/>
      <c r="PVC38" s="612"/>
      <c r="PVD38" s="612"/>
      <c r="PVE38" s="612"/>
      <c r="PVF38" s="612"/>
      <c r="PVG38" s="612"/>
      <c r="PVH38" s="612"/>
      <c r="PVI38" s="612"/>
      <c r="PVJ38" s="612"/>
      <c r="PVK38" s="612"/>
      <c r="PVL38" s="612"/>
      <c r="PVM38" s="612"/>
      <c r="PVN38" s="612"/>
      <c r="PVO38" s="612"/>
      <c r="PVP38" s="612"/>
      <c r="PVQ38" s="612"/>
      <c r="PVR38" s="612"/>
      <c r="PVS38" s="612"/>
      <c r="PVT38" s="612"/>
      <c r="PVU38" s="612"/>
      <c r="PVV38" s="612"/>
      <c r="PVW38" s="612"/>
      <c r="PVX38" s="612"/>
      <c r="PVY38" s="612"/>
      <c r="PVZ38" s="612"/>
      <c r="PWA38" s="612"/>
      <c r="PWB38" s="612"/>
      <c r="PWC38" s="612"/>
      <c r="PWD38" s="612"/>
      <c r="PWE38" s="612"/>
      <c r="PWF38" s="612"/>
      <c r="PWG38" s="612"/>
      <c r="PWH38" s="612"/>
      <c r="PWI38" s="612"/>
      <c r="PWJ38" s="612"/>
      <c r="PWK38" s="612"/>
      <c r="PWL38" s="612"/>
      <c r="PWM38" s="612"/>
      <c r="PWN38" s="612"/>
      <c r="PWO38" s="612"/>
      <c r="PWP38" s="612"/>
      <c r="PWQ38" s="612"/>
      <c r="PWR38" s="612"/>
      <c r="PWS38" s="612"/>
      <c r="PWT38" s="612"/>
      <c r="PWU38" s="612"/>
      <c r="PWV38" s="612"/>
      <c r="PWW38" s="612"/>
      <c r="PWX38" s="612"/>
      <c r="PWY38" s="612"/>
      <c r="PWZ38" s="612"/>
      <c r="PXA38" s="612"/>
      <c r="PXB38" s="612"/>
      <c r="PXC38" s="612"/>
      <c r="PXD38" s="612"/>
      <c r="PXE38" s="612"/>
      <c r="PXF38" s="612"/>
      <c r="PXG38" s="612"/>
      <c r="PXH38" s="612"/>
      <c r="PXI38" s="612"/>
      <c r="PXJ38" s="612"/>
      <c r="PXK38" s="612"/>
      <c r="PXL38" s="612"/>
      <c r="PXM38" s="612"/>
      <c r="PXN38" s="612"/>
      <c r="PXO38" s="612"/>
      <c r="PXP38" s="612"/>
      <c r="PXQ38" s="612"/>
      <c r="PXR38" s="612"/>
      <c r="PXS38" s="612"/>
      <c r="PXT38" s="612"/>
      <c r="PXU38" s="612"/>
      <c r="PXV38" s="612"/>
      <c r="PXW38" s="612"/>
      <c r="PXX38" s="612"/>
      <c r="PXY38" s="612"/>
      <c r="PXZ38" s="612"/>
      <c r="PYA38" s="612"/>
      <c r="PYB38" s="612"/>
      <c r="PYC38" s="612"/>
      <c r="PYD38" s="612"/>
      <c r="PYE38" s="612"/>
      <c r="PYF38" s="612"/>
      <c r="PYG38" s="612"/>
      <c r="PYH38" s="612"/>
      <c r="PYI38" s="612"/>
      <c r="PYJ38" s="612"/>
      <c r="PYK38" s="612"/>
      <c r="PYL38" s="612"/>
      <c r="PYM38" s="612"/>
      <c r="PYN38" s="612"/>
      <c r="PYO38" s="612"/>
      <c r="PYP38" s="612"/>
      <c r="PYQ38" s="612"/>
      <c r="PYR38" s="612"/>
      <c r="PYS38" s="612"/>
      <c r="PYT38" s="612"/>
      <c r="PYU38" s="612"/>
      <c r="PYV38" s="612"/>
      <c r="PYW38" s="612"/>
      <c r="PYX38" s="612"/>
      <c r="PYY38" s="612"/>
      <c r="PYZ38" s="612"/>
      <c r="PZA38" s="612"/>
      <c r="PZB38" s="612"/>
      <c r="PZC38" s="612"/>
      <c r="PZD38" s="612"/>
      <c r="PZE38" s="612"/>
      <c r="PZF38" s="612"/>
      <c r="PZG38" s="612"/>
      <c r="PZH38" s="612"/>
      <c r="PZI38" s="612"/>
      <c r="PZJ38" s="612"/>
      <c r="PZK38" s="612"/>
      <c r="PZL38" s="612"/>
      <c r="PZM38" s="612"/>
      <c r="PZN38" s="612"/>
      <c r="PZO38" s="612"/>
      <c r="PZP38" s="612"/>
      <c r="PZQ38" s="612"/>
      <c r="PZR38" s="612"/>
      <c r="PZS38" s="612"/>
      <c r="PZT38" s="612"/>
      <c r="PZU38" s="612"/>
      <c r="PZV38" s="612"/>
      <c r="PZW38" s="612"/>
      <c r="PZX38" s="612"/>
      <c r="PZY38" s="612"/>
      <c r="PZZ38" s="612"/>
      <c r="QAA38" s="612"/>
      <c r="QAB38" s="612"/>
      <c r="QAC38" s="612"/>
      <c r="QAD38" s="612"/>
      <c r="QAE38" s="612"/>
      <c r="QAF38" s="612"/>
      <c r="QAG38" s="612"/>
      <c r="QAH38" s="612"/>
      <c r="QAI38" s="612"/>
      <c r="QAJ38" s="612"/>
      <c r="QAK38" s="612"/>
      <c r="QAL38" s="612"/>
      <c r="QAM38" s="612"/>
      <c r="QAN38" s="612"/>
      <c r="QAO38" s="612"/>
      <c r="QAP38" s="612"/>
      <c r="QAQ38" s="612"/>
      <c r="QAR38" s="612"/>
      <c r="QAS38" s="612"/>
      <c r="QAT38" s="612"/>
      <c r="QAU38" s="612"/>
      <c r="QAV38" s="612"/>
      <c r="QAW38" s="612"/>
      <c r="QAX38" s="612"/>
      <c r="QAY38" s="612"/>
      <c r="QAZ38" s="612"/>
      <c r="QBA38" s="612"/>
      <c r="QBB38" s="612"/>
      <c r="QBC38" s="612"/>
      <c r="QBD38" s="612"/>
      <c r="QBE38" s="612"/>
      <c r="QBF38" s="612"/>
      <c r="QBG38" s="612"/>
      <c r="QBH38" s="612"/>
      <c r="QBI38" s="612"/>
      <c r="QBJ38" s="612"/>
      <c r="QBK38" s="612"/>
      <c r="QBL38" s="612"/>
      <c r="QBM38" s="612"/>
      <c r="QBN38" s="612"/>
      <c r="QBO38" s="612"/>
      <c r="QBP38" s="612"/>
      <c r="QBQ38" s="612"/>
      <c r="QBR38" s="612"/>
      <c r="QBS38" s="612"/>
      <c r="QBT38" s="612"/>
      <c r="QBU38" s="612"/>
      <c r="QBV38" s="612"/>
      <c r="QBW38" s="612"/>
      <c r="QBX38" s="612"/>
      <c r="QBY38" s="612"/>
      <c r="QBZ38" s="612"/>
      <c r="QCA38" s="612"/>
      <c r="QCB38" s="612"/>
      <c r="QCC38" s="612"/>
      <c r="QCD38" s="612"/>
      <c r="QCE38" s="612"/>
      <c r="QCF38" s="612"/>
      <c r="QCG38" s="612"/>
      <c r="QCH38" s="612"/>
      <c r="QCI38" s="612"/>
      <c r="QCJ38" s="612"/>
      <c r="QCK38" s="612"/>
      <c r="QCL38" s="612"/>
      <c r="QCM38" s="612"/>
      <c r="QCN38" s="612"/>
      <c r="QCO38" s="612"/>
      <c r="QCP38" s="612"/>
      <c r="QCQ38" s="612"/>
      <c r="QCR38" s="612"/>
      <c r="QCS38" s="612"/>
      <c r="QCT38" s="612"/>
      <c r="QCU38" s="612"/>
      <c r="QCV38" s="612"/>
      <c r="QCW38" s="612"/>
      <c r="QCX38" s="612"/>
      <c r="QCY38" s="612"/>
      <c r="QCZ38" s="612"/>
      <c r="QDA38" s="612"/>
      <c r="QDB38" s="612"/>
      <c r="QDC38" s="612"/>
      <c r="QDD38" s="612"/>
      <c r="QDE38" s="612"/>
      <c r="QDF38" s="612"/>
      <c r="QDG38" s="612"/>
      <c r="QDH38" s="612"/>
      <c r="QDI38" s="612"/>
      <c r="QDJ38" s="612"/>
      <c r="QDK38" s="612"/>
      <c r="QDL38" s="612"/>
      <c r="QDM38" s="612"/>
      <c r="QDN38" s="612"/>
      <c r="QDO38" s="612"/>
      <c r="QDP38" s="612"/>
      <c r="QDQ38" s="612"/>
      <c r="QDR38" s="612"/>
      <c r="QDS38" s="612"/>
      <c r="QDT38" s="612"/>
      <c r="QDU38" s="612"/>
      <c r="QDV38" s="612"/>
      <c r="QDW38" s="612"/>
      <c r="QDX38" s="612"/>
      <c r="QDY38" s="612"/>
      <c r="QDZ38" s="612"/>
      <c r="QEA38" s="612"/>
      <c r="QEB38" s="612"/>
      <c r="QEC38" s="612"/>
      <c r="QED38" s="612"/>
      <c r="QEE38" s="612"/>
      <c r="QEF38" s="612"/>
      <c r="QEG38" s="612"/>
      <c r="QEH38" s="612"/>
      <c r="QEI38" s="612"/>
      <c r="QEJ38" s="612"/>
      <c r="QEK38" s="612"/>
      <c r="QEL38" s="612"/>
      <c r="QEM38" s="612"/>
      <c r="QEN38" s="612"/>
      <c r="QEO38" s="612"/>
      <c r="QEP38" s="612"/>
      <c r="QEQ38" s="612"/>
      <c r="QER38" s="612"/>
      <c r="QES38" s="612"/>
      <c r="QET38" s="612"/>
      <c r="QEU38" s="612"/>
      <c r="QEV38" s="612"/>
      <c r="QEW38" s="612"/>
      <c r="QEX38" s="612"/>
      <c r="QEY38" s="612"/>
      <c r="QEZ38" s="612"/>
      <c r="QFA38" s="612"/>
      <c r="QFB38" s="612"/>
      <c r="QFC38" s="612"/>
      <c r="QFD38" s="612"/>
      <c r="QFE38" s="612"/>
      <c r="QFF38" s="612"/>
      <c r="QFG38" s="612"/>
      <c r="QFH38" s="612"/>
      <c r="QFI38" s="612"/>
      <c r="QFJ38" s="612"/>
      <c r="QFK38" s="612"/>
      <c r="QFL38" s="612"/>
      <c r="QFM38" s="612"/>
      <c r="QFN38" s="612"/>
      <c r="QFO38" s="612"/>
      <c r="QFP38" s="612"/>
      <c r="QFQ38" s="612"/>
      <c r="QFR38" s="612"/>
      <c r="QFS38" s="612"/>
      <c r="QFT38" s="612"/>
      <c r="QFU38" s="612"/>
      <c r="QFV38" s="612"/>
      <c r="QFW38" s="612"/>
      <c r="QFX38" s="612"/>
      <c r="QFY38" s="612"/>
      <c r="QFZ38" s="612"/>
      <c r="QGA38" s="612"/>
      <c r="QGB38" s="612"/>
      <c r="QGC38" s="612"/>
      <c r="QGD38" s="612"/>
      <c r="QGE38" s="612"/>
      <c r="QGF38" s="612"/>
      <c r="QGG38" s="612"/>
      <c r="QGH38" s="612"/>
      <c r="QGI38" s="612"/>
      <c r="QGJ38" s="612"/>
      <c r="QGK38" s="612"/>
      <c r="QGL38" s="612"/>
      <c r="QGM38" s="612"/>
      <c r="QGN38" s="612"/>
      <c r="QGO38" s="612"/>
      <c r="QGP38" s="612"/>
      <c r="QGQ38" s="612"/>
      <c r="QGR38" s="612"/>
      <c r="QGS38" s="612"/>
      <c r="QGT38" s="612"/>
      <c r="QGU38" s="612"/>
      <c r="QGV38" s="612"/>
      <c r="QGW38" s="612"/>
      <c r="QGX38" s="612"/>
      <c r="QGY38" s="612"/>
      <c r="QGZ38" s="612"/>
      <c r="QHA38" s="612"/>
      <c r="QHB38" s="612"/>
      <c r="QHC38" s="612"/>
      <c r="QHD38" s="612"/>
      <c r="QHE38" s="612"/>
      <c r="QHF38" s="612"/>
      <c r="QHG38" s="612"/>
      <c r="QHH38" s="612"/>
      <c r="QHI38" s="612"/>
      <c r="QHJ38" s="612"/>
      <c r="QHK38" s="612"/>
      <c r="QHL38" s="612"/>
      <c r="QHM38" s="612"/>
      <c r="QHN38" s="612"/>
      <c r="QHO38" s="612"/>
      <c r="QHP38" s="612"/>
      <c r="QHQ38" s="612"/>
      <c r="QHR38" s="612"/>
      <c r="QHS38" s="612"/>
      <c r="QHT38" s="612"/>
      <c r="QHU38" s="612"/>
      <c r="QHV38" s="612"/>
      <c r="QHW38" s="612"/>
      <c r="QHX38" s="612"/>
      <c r="QHY38" s="612"/>
      <c r="QHZ38" s="612"/>
      <c r="QIA38" s="612"/>
      <c r="QIB38" s="612"/>
      <c r="QIC38" s="612"/>
      <c r="QID38" s="612"/>
      <c r="QIE38" s="612"/>
      <c r="QIF38" s="612"/>
      <c r="QIG38" s="612"/>
      <c r="QIH38" s="612"/>
      <c r="QII38" s="612"/>
      <c r="QIJ38" s="612"/>
      <c r="QIK38" s="612"/>
      <c r="QIL38" s="612"/>
      <c r="QIM38" s="612"/>
      <c r="QIN38" s="612"/>
      <c r="QIO38" s="612"/>
      <c r="QIP38" s="612"/>
      <c r="QIQ38" s="612"/>
      <c r="QIR38" s="612"/>
      <c r="QIS38" s="612"/>
      <c r="QIT38" s="612"/>
      <c r="QIU38" s="612"/>
      <c r="QIV38" s="612"/>
      <c r="QIW38" s="612"/>
      <c r="QIX38" s="612"/>
      <c r="QIY38" s="612"/>
      <c r="QIZ38" s="612"/>
      <c r="QJA38" s="612"/>
      <c r="QJB38" s="612"/>
      <c r="QJC38" s="612"/>
      <c r="QJD38" s="612"/>
      <c r="QJE38" s="612"/>
      <c r="QJF38" s="612"/>
      <c r="QJG38" s="612"/>
      <c r="QJH38" s="612"/>
      <c r="QJI38" s="612"/>
      <c r="QJJ38" s="612"/>
      <c r="QJK38" s="612"/>
      <c r="QJL38" s="612"/>
      <c r="QJM38" s="612"/>
      <c r="QJN38" s="612"/>
      <c r="QJO38" s="612"/>
      <c r="QJP38" s="612"/>
      <c r="QJQ38" s="612"/>
      <c r="QJR38" s="612"/>
      <c r="QJS38" s="612"/>
      <c r="QJT38" s="612"/>
      <c r="QJU38" s="612"/>
      <c r="QJV38" s="612"/>
      <c r="QJW38" s="612"/>
      <c r="QJX38" s="612"/>
      <c r="QJY38" s="612"/>
      <c r="QJZ38" s="612"/>
      <c r="QKA38" s="612"/>
      <c r="QKB38" s="612"/>
      <c r="QKC38" s="612"/>
      <c r="QKD38" s="612"/>
      <c r="QKE38" s="612"/>
      <c r="QKF38" s="612"/>
      <c r="QKG38" s="612"/>
      <c r="QKH38" s="612"/>
      <c r="QKI38" s="612"/>
      <c r="QKJ38" s="612"/>
      <c r="QKK38" s="612"/>
      <c r="QKL38" s="612"/>
      <c r="QKM38" s="612"/>
      <c r="QKN38" s="612"/>
      <c r="QKO38" s="612"/>
      <c r="QKP38" s="612"/>
      <c r="QKQ38" s="612"/>
      <c r="QKR38" s="612"/>
      <c r="QKS38" s="612"/>
      <c r="QKT38" s="612"/>
      <c r="QKU38" s="612"/>
      <c r="QKV38" s="612"/>
      <c r="QKW38" s="612"/>
      <c r="QKX38" s="612"/>
      <c r="QKY38" s="612"/>
      <c r="QKZ38" s="612"/>
      <c r="QLA38" s="612"/>
      <c r="QLB38" s="612"/>
      <c r="QLC38" s="612"/>
      <c r="QLD38" s="612"/>
      <c r="QLE38" s="612"/>
      <c r="QLF38" s="612"/>
      <c r="QLG38" s="612"/>
      <c r="QLH38" s="612"/>
      <c r="QLI38" s="612"/>
      <c r="QLJ38" s="612"/>
      <c r="QLK38" s="612"/>
      <c r="QLL38" s="612"/>
      <c r="QLM38" s="612"/>
      <c r="QLN38" s="612"/>
      <c r="QLO38" s="612"/>
      <c r="QLP38" s="612"/>
      <c r="QLQ38" s="612"/>
      <c r="QLR38" s="612"/>
      <c r="QLS38" s="612"/>
      <c r="QLT38" s="612"/>
      <c r="QLU38" s="612"/>
      <c r="QLV38" s="612"/>
      <c r="QLW38" s="612"/>
      <c r="QLX38" s="612"/>
      <c r="QLY38" s="612"/>
      <c r="QLZ38" s="612"/>
      <c r="QMA38" s="612"/>
      <c r="QMB38" s="612"/>
      <c r="QMC38" s="612"/>
      <c r="QMD38" s="612"/>
      <c r="QME38" s="612"/>
      <c r="QMF38" s="612"/>
      <c r="QMG38" s="612"/>
      <c r="QMH38" s="612"/>
      <c r="QMI38" s="612"/>
      <c r="QMJ38" s="612"/>
      <c r="QMK38" s="612"/>
      <c r="QML38" s="612"/>
      <c r="QMM38" s="612"/>
      <c r="QMN38" s="612"/>
      <c r="QMO38" s="612"/>
      <c r="QMP38" s="612"/>
      <c r="QMQ38" s="612"/>
      <c r="QMR38" s="612"/>
      <c r="QMS38" s="612"/>
      <c r="QMT38" s="612"/>
      <c r="QMU38" s="612"/>
      <c r="QMV38" s="612"/>
      <c r="QMW38" s="612"/>
      <c r="QMX38" s="612"/>
      <c r="QMY38" s="612"/>
      <c r="QMZ38" s="612"/>
      <c r="QNA38" s="612"/>
      <c r="QNB38" s="612"/>
      <c r="QNC38" s="612"/>
      <c r="QND38" s="612"/>
      <c r="QNE38" s="612"/>
      <c r="QNF38" s="612"/>
      <c r="QNG38" s="612"/>
      <c r="QNH38" s="612"/>
      <c r="QNI38" s="612"/>
      <c r="QNJ38" s="612"/>
      <c r="QNK38" s="612"/>
      <c r="QNL38" s="612"/>
      <c r="QNM38" s="612"/>
      <c r="QNN38" s="612"/>
      <c r="QNO38" s="612"/>
      <c r="QNP38" s="612"/>
      <c r="QNQ38" s="612"/>
      <c r="QNR38" s="612"/>
      <c r="QNS38" s="612"/>
      <c r="QNT38" s="612"/>
      <c r="QNU38" s="612"/>
      <c r="QNV38" s="612"/>
      <c r="QNW38" s="612"/>
      <c r="QNX38" s="612"/>
      <c r="QNY38" s="612"/>
      <c r="QNZ38" s="612"/>
      <c r="QOA38" s="612"/>
      <c r="QOB38" s="612"/>
      <c r="QOC38" s="612"/>
      <c r="QOD38" s="612"/>
      <c r="QOE38" s="612"/>
      <c r="QOF38" s="612"/>
      <c r="QOG38" s="612"/>
      <c r="QOH38" s="612"/>
      <c r="QOI38" s="612"/>
      <c r="QOJ38" s="612"/>
      <c r="QOK38" s="612"/>
      <c r="QOL38" s="612"/>
      <c r="QOM38" s="612"/>
      <c r="QON38" s="612"/>
      <c r="QOO38" s="612"/>
      <c r="QOP38" s="612"/>
      <c r="QOQ38" s="612"/>
      <c r="QOR38" s="612"/>
      <c r="QOS38" s="612"/>
      <c r="QOT38" s="612"/>
      <c r="QOU38" s="612"/>
      <c r="QOV38" s="612"/>
      <c r="QOW38" s="612"/>
      <c r="QOX38" s="612"/>
      <c r="QOY38" s="612"/>
      <c r="QOZ38" s="612"/>
      <c r="QPA38" s="612"/>
      <c r="QPB38" s="612"/>
      <c r="QPC38" s="612"/>
      <c r="QPD38" s="612"/>
      <c r="QPE38" s="612"/>
      <c r="QPF38" s="612"/>
      <c r="QPG38" s="612"/>
      <c r="QPH38" s="612"/>
      <c r="QPI38" s="612"/>
      <c r="QPJ38" s="612"/>
      <c r="QPK38" s="612"/>
      <c r="QPL38" s="612"/>
      <c r="QPM38" s="612"/>
      <c r="QPN38" s="612"/>
      <c r="QPO38" s="612"/>
      <c r="QPP38" s="612"/>
      <c r="QPQ38" s="612"/>
      <c r="QPR38" s="612"/>
      <c r="QPS38" s="612"/>
      <c r="QPT38" s="612"/>
      <c r="QPU38" s="612"/>
      <c r="QPV38" s="612"/>
      <c r="QPW38" s="612"/>
      <c r="QPX38" s="612"/>
      <c r="QPY38" s="612"/>
      <c r="QPZ38" s="612"/>
      <c r="QQA38" s="612"/>
      <c r="QQB38" s="612"/>
      <c r="QQC38" s="612"/>
      <c r="QQD38" s="612"/>
      <c r="QQE38" s="612"/>
      <c r="QQF38" s="612"/>
      <c r="QQG38" s="612"/>
      <c r="QQH38" s="612"/>
      <c r="QQI38" s="612"/>
      <c r="QQJ38" s="612"/>
      <c r="QQK38" s="612"/>
      <c r="QQL38" s="612"/>
      <c r="QQM38" s="612"/>
      <c r="QQN38" s="612"/>
      <c r="QQO38" s="612"/>
      <c r="QQP38" s="612"/>
      <c r="QQQ38" s="612"/>
      <c r="QQR38" s="612"/>
      <c r="QQS38" s="612"/>
      <c r="QQT38" s="612"/>
      <c r="QQU38" s="612"/>
      <c r="QQV38" s="612"/>
      <c r="QQW38" s="612"/>
      <c r="QQX38" s="612"/>
      <c r="QQY38" s="612"/>
      <c r="QQZ38" s="612"/>
      <c r="QRA38" s="612"/>
      <c r="QRB38" s="612"/>
      <c r="QRC38" s="612"/>
      <c r="QRD38" s="612"/>
      <c r="QRE38" s="612"/>
      <c r="QRF38" s="612"/>
      <c r="QRG38" s="612"/>
      <c r="QRH38" s="612"/>
      <c r="QRI38" s="612"/>
      <c r="QRJ38" s="612"/>
      <c r="QRK38" s="612"/>
      <c r="QRL38" s="612"/>
      <c r="QRM38" s="612"/>
      <c r="QRN38" s="612"/>
      <c r="QRO38" s="612"/>
      <c r="QRP38" s="612"/>
      <c r="QRQ38" s="612"/>
      <c r="QRR38" s="612"/>
      <c r="QRS38" s="612"/>
      <c r="QRT38" s="612"/>
      <c r="QRU38" s="612"/>
      <c r="QRV38" s="612"/>
      <c r="QRW38" s="612"/>
      <c r="QRX38" s="612"/>
      <c r="QRY38" s="612"/>
      <c r="QRZ38" s="612"/>
      <c r="QSA38" s="612"/>
      <c r="QSB38" s="612"/>
      <c r="QSC38" s="612"/>
      <c r="QSD38" s="612"/>
      <c r="QSE38" s="612"/>
      <c r="QSF38" s="612"/>
      <c r="QSG38" s="612"/>
      <c r="QSH38" s="612"/>
      <c r="QSI38" s="612"/>
      <c r="QSJ38" s="612"/>
      <c r="QSK38" s="612"/>
      <c r="QSL38" s="612"/>
      <c r="QSM38" s="612"/>
      <c r="QSN38" s="612"/>
      <c r="QSO38" s="612"/>
      <c r="QSP38" s="612"/>
      <c r="QSQ38" s="612"/>
      <c r="QSR38" s="612"/>
      <c r="QSS38" s="612"/>
      <c r="QST38" s="612"/>
      <c r="QSU38" s="612"/>
      <c r="QSV38" s="612"/>
      <c r="QSW38" s="612"/>
      <c r="QSX38" s="612"/>
      <c r="QSY38" s="612"/>
      <c r="QSZ38" s="612"/>
      <c r="QTA38" s="612"/>
      <c r="QTB38" s="612"/>
      <c r="QTC38" s="612"/>
      <c r="QTD38" s="612"/>
      <c r="QTE38" s="612"/>
      <c r="QTF38" s="612"/>
      <c r="QTG38" s="612"/>
      <c r="QTH38" s="612"/>
      <c r="QTI38" s="612"/>
      <c r="QTJ38" s="612"/>
      <c r="QTK38" s="612"/>
      <c r="QTL38" s="612"/>
      <c r="QTM38" s="612"/>
      <c r="QTN38" s="612"/>
      <c r="QTO38" s="612"/>
      <c r="QTP38" s="612"/>
      <c r="QTQ38" s="612"/>
      <c r="QTR38" s="612"/>
      <c r="QTS38" s="612"/>
      <c r="QTT38" s="612"/>
      <c r="QTU38" s="612"/>
      <c r="QTV38" s="612"/>
      <c r="QTW38" s="612"/>
      <c r="QTX38" s="612"/>
      <c r="QTY38" s="612"/>
      <c r="QTZ38" s="612"/>
      <c r="QUA38" s="612"/>
      <c r="QUB38" s="612"/>
      <c r="QUC38" s="612"/>
      <c r="QUD38" s="612"/>
      <c r="QUE38" s="612"/>
      <c r="QUF38" s="612"/>
      <c r="QUG38" s="612"/>
      <c r="QUH38" s="612"/>
      <c r="QUI38" s="612"/>
      <c r="QUJ38" s="612"/>
      <c r="QUK38" s="612"/>
      <c r="QUL38" s="612"/>
      <c r="QUM38" s="612"/>
      <c r="QUN38" s="612"/>
      <c r="QUO38" s="612"/>
      <c r="QUP38" s="612"/>
      <c r="QUQ38" s="612"/>
      <c r="QUR38" s="612"/>
      <c r="QUS38" s="612"/>
      <c r="QUT38" s="612"/>
      <c r="QUU38" s="612"/>
      <c r="QUV38" s="612"/>
      <c r="QUW38" s="612"/>
      <c r="QUX38" s="612"/>
      <c r="QUY38" s="612"/>
      <c r="QUZ38" s="612"/>
      <c r="QVA38" s="612"/>
      <c r="QVB38" s="612"/>
      <c r="QVC38" s="612"/>
      <c r="QVD38" s="612"/>
      <c r="QVE38" s="612"/>
      <c r="QVF38" s="612"/>
      <c r="QVG38" s="612"/>
      <c r="QVH38" s="612"/>
      <c r="QVI38" s="612"/>
      <c r="QVJ38" s="612"/>
      <c r="QVK38" s="612"/>
      <c r="QVL38" s="612"/>
      <c r="QVM38" s="612"/>
      <c r="QVN38" s="612"/>
      <c r="QVO38" s="612"/>
      <c r="QVP38" s="612"/>
      <c r="QVQ38" s="612"/>
      <c r="QVR38" s="612"/>
      <c r="QVS38" s="612"/>
      <c r="QVT38" s="612"/>
      <c r="QVU38" s="612"/>
      <c r="QVV38" s="612"/>
      <c r="QVW38" s="612"/>
      <c r="QVX38" s="612"/>
      <c r="QVY38" s="612"/>
      <c r="QVZ38" s="612"/>
      <c r="QWA38" s="612"/>
      <c r="QWB38" s="612"/>
      <c r="QWC38" s="612"/>
      <c r="QWD38" s="612"/>
      <c r="QWE38" s="612"/>
      <c r="QWF38" s="612"/>
      <c r="QWG38" s="612"/>
      <c r="QWH38" s="612"/>
      <c r="QWI38" s="612"/>
      <c r="QWJ38" s="612"/>
      <c r="QWK38" s="612"/>
      <c r="QWL38" s="612"/>
      <c r="QWM38" s="612"/>
      <c r="QWN38" s="612"/>
      <c r="QWO38" s="612"/>
      <c r="QWP38" s="612"/>
      <c r="QWQ38" s="612"/>
      <c r="QWR38" s="612"/>
      <c r="QWS38" s="612"/>
      <c r="QWT38" s="612"/>
      <c r="QWU38" s="612"/>
      <c r="QWV38" s="612"/>
      <c r="QWW38" s="612"/>
      <c r="QWX38" s="612"/>
      <c r="QWY38" s="612"/>
      <c r="QWZ38" s="612"/>
      <c r="QXA38" s="612"/>
      <c r="QXB38" s="612"/>
      <c r="QXC38" s="612"/>
      <c r="QXD38" s="612"/>
      <c r="QXE38" s="612"/>
      <c r="QXF38" s="612"/>
      <c r="QXG38" s="612"/>
      <c r="QXH38" s="612"/>
      <c r="QXI38" s="612"/>
      <c r="QXJ38" s="612"/>
      <c r="QXK38" s="612"/>
      <c r="QXL38" s="612"/>
      <c r="QXM38" s="612"/>
      <c r="QXN38" s="612"/>
      <c r="QXO38" s="612"/>
      <c r="QXP38" s="612"/>
      <c r="QXQ38" s="612"/>
      <c r="QXR38" s="612"/>
      <c r="QXS38" s="612"/>
      <c r="QXT38" s="612"/>
      <c r="QXU38" s="612"/>
      <c r="QXV38" s="612"/>
      <c r="QXW38" s="612"/>
      <c r="QXX38" s="612"/>
      <c r="QXY38" s="612"/>
      <c r="QXZ38" s="612"/>
      <c r="QYA38" s="612"/>
      <c r="QYB38" s="612"/>
      <c r="QYC38" s="612"/>
      <c r="QYD38" s="612"/>
      <c r="QYE38" s="612"/>
      <c r="QYF38" s="612"/>
      <c r="QYG38" s="612"/>
      <c r="QYH38" s="612"/>
      <c r="QYI38" s="612"/>
      <c r="QYJ38" s="612"/>
      <c r="QYK38" s="612"/>
      <c r="QYL38" s="612"/>
      <c r="QYM38" s="612"/>
      <c r="QYN38" s="612"/>
      <c r="QYO38" s="612"/>
      <c r="QYP38" s="612"/>
      <c r="QYQ38" s="612"/>
      <c r="QYR38" s="612"/>
      <c r="QYS38" s="612"/>
      <c r="QYT38" s="612"/>
      <c r="QYU38" s="612"/>
      <c r="QYV38" s="612"/>
      <c r="QYW38" s="612"/>
      <c r="QYX38" s="612"/>
      <c r="QYY38" s="612"/>
      <c r="QYZ38" s="612"/>
      <c r="QZA38" s="612"/>
      <c r="QZB38" s="612"/>
      <c r="QZC38" s="612"/>
      <c r="QZD38" s="612"/>
      <c r="QZE38" s="612"/>
      <c r="QZF38" s="612"/>
      <c r="QZG38" s="612"/>
      <c r="QZH38" s="612"/>
      <c r="QZI38" s="612"/>
      <c r="QZJ38" s="612"/>
      <c r="QZK38" s="612"/>
      <c r="QZL38" s="612"/>
      <c r="QZM38" s="612"/>
      <c r="QZN38" s="612"/>
      <c r="QZO38" s="612"/>
      <c r="QZP38" s="612"/>
      <c r="QZQ38" s="612"/>
      <c r="QZR38" s="612"/>
      <c r="QZS38" s="612"/>
      <c r="QZT38" s="612"/>
      <c r="QZU38" s="612"/>
      <c r="QZV38" s="612"/>
      <c r="QZW38" s="612"/>
      <c r="QZX38" s="612"/>
      <c r="QZY38" s="612"/>
      <c r="QZZ38" s="612"/>
      <c r="RAA38" s="612"/>
      <c r="RAB38" s="612"/>
      <c r="RAC38" s="612"/>
      <c r="RAD38" s="612"/>
      <c r="RAE38" s="612"/>
      <c r="RAF38" s="612"/>
      <c r="RAG38" s="612"/>
      <c r="RAH38" s="612"/>
      <c r="RAI38" s="612"/>
      <c r="RAJ38" s="612"/>
      <c r="RAK38" s="612"/>
      <c r="RAL38" s="612"/>
      <c r="RAM38" s="612"/>
      <c r="RAN38" s="612"/>
      <c r="RAO38" s="612"/>
      <c r="RAP38" s="612"/>
      <c r="RAQ38" s="612"/>
      <c r="RAR38" s="612"/>
      <c r="RAS38" s="612"/>
      <c r="RAT38" s="612"/>
      <c r="RAU38" s="612"/>
      <c r="RAV38" s="612"/>
      <c r="RAW38" s="612"/>
      <c r="RAX38" s="612"/>
      <c r="RAY38" s="612"/>
      <c r="RAZ38" s="612"/>
      <c r="RBA38" s="612"/>
      <c r="RBB38" s="612"/>
      <c r="RBC38" s="612"/>
      <c r="RBD38" s="612"/>
      <c r="RBE38" s="612"/>
      <c r="RBF38" s="612"/>
      <c r="RBG38" s="612"/>
      <c r="RBH38" s="612"/>
      <c r="RBI38" s="612"/>
      <c r="RBJ38" s="612"/>
      <c r="RBK38" s="612"/>
      <c r="RBL38" s="612"/>
      <c r="RBM38" s="612"/>
      <c r="RBN38" s="612"/>
      <c r="RBO38" s="612"/>
      <c r="RBP38" s="612"/>
      <c r="RBQ38" s="612"/>
      <c r="RBR38" s="612"/>
      <c r="RBS38" s="612"/>
      <c r="RBT38" s="612"/>
      <c r="RBU38" s="612"/>
      <c r="RBV38" s="612"/>
      <c r="RBW38" s="612"/>
      <c r="RBX38" s="612"/>
      <c r="RBY38" s="612"/>
      <c r="RBZ38" s="612"/>
      <c r="RCA38" s="612"/>
      <c r="RCB38" s="612"/>
      <c r="RCC38" s="612"/>
      <c r="RCD38" s="612"/>
      <c r="RCE38" s="612"/>
      <c r="RCF38" s="612"/>
      <c r="RCG38" s="612"/>
      <c r="RCH38" s="612"/>
      <c r="RCI38" s="612"/>
      <c r="RCJ38" s="612"/>
      <c r="RCK38" s="612"/>
      <c r="RCL38" s="612"/>
      <c r="RCM38" s="612"/>
      <c r="RCN38" s="612"/>
      <c r="RCO38" s="612"/>
      <c r="RCP38" s="612"/>
      <c r="RCQ38" s="612"/>
      <c r="RCR38" s="612"/>
      <c r="RCS38" s="612"/>
      <c r="RCT38" s="612"/>
      <c r="RCU38" s="612"/>
      <c r="RCV38" s="612"/>
      <c r="RCW38" s="612"/>
      <c r="RCX38" s="612"/>
      <c r="RCY38" s="612"/>
      <c r="RCZ38" s="612"/>
      <c r="RDA38" s="612"/>
      <c r="RDB38" s="612"/>
      <c r="RDC38" s="612"/>
      <c r="RDD38" s="612"/>
      <c r="RDE38" s="612"/>
      <c r="RDF38" s="612"/>
      <c r="RDG38" s="612"/>
      <c r="RDH38" s="612"/>
      <c r="RDI38" s="612"/>
      <c r="RDJ38" s="612"/>
      <c r="RDK38" s="612"/>
      <c r="RDL38" s="612"/>
      <c r="RDM38" s="612"/>
      <c r="RDN38" s="612"/>
      <c r="RDO38" s="612"/>
      <c r="RDP38" s="612"/>
      <c r="RDQ38" s="612"/>
      <c r="RDR38" s="612"/>
      <c r="RDS38" s="612"/>
      <c r="RDT38" s="612"/>
      <c r="RDU38" s="612"/>
      <c r="RDV38" s="612"/>
      <c r="RDW38" s="612"/>
      <c r="RDX38" s="612"/>
      <c r="RDY38" s="612"/>
      <c r="RDZ38" s="612"/>
      <c r="REA38" s="612"/>
      <c r="REB38" s="612"/>
      <c r="REC38" s="612"/>
      <c r="RED38" s="612"/>
      <c r="REE38" s="612"/>
      <c r="REF38" s="612"/>
      <c r="REG38" s="612"/>
      <c r="REH38" s="612"/>
      <c r="REI38" s="612"/>
      <c r="REJ38" s="612"/>
      <c r="REK38" s="612"/>
      <c r="REL38" s="612"/>
      <c r="REM38" s="612"/>
      <c r="REN38" s="612"/>
      <c r="REO38" s="612"/>
      <c r="REP38" s="612"/>
      <c r="REQ38" s="612"/>
      <c r="RER38" s="612"/>
      <c r="RES38" s="612"/>
      <c r="RET38" s="612"/>
      <c r="REU38" s="612"/>
      <c r="REV38" s="612"/>
      <c r="REW38" s="612"/>
      <c r="REX38" s="612"/>
      <c r="REY38" s="612"/>
      <c r="REZ38" s="612"/>
      <c r="RFA38" s="612"/>
      <c r="RFB38" s="612"/>
      <c r="RFC38" s="612"/>
      <c r="RFD38" s="612"/>
      <c r="RFE38" s="612"/>
      <c r="RFF38" s="612"/>
      <c r="RFG38" s="612"/>
      <c r="RFH38" s="612"/>
      <c r="RFI38" s="612"/>
      <c r="RFJ38" s="612"/>
      <c r="RFK38" s="612"/>
      <c r="RFL38" s="612"/>
      <c r="RFM38" s="612"/>
      <c r="RFN38" s="612"/>
      <c r="RFO38" s="612"/>
      <c r="RFP38" s="612"/>
      <c r="RFQ38" s="612"/>
      <c r="RFR38" s="612"/>
      <c r="RFS38" s="612"/>
      <c r="RFT38" s="612"/>
      <c r="RFU38" s="612"/>
      <c r="RFV38" s="612"/>
      <c r="RFW38" s="612"/>
      <c r="RFX38" s="612"/>
      <c r="RFY38" s="612"/>
      <c r="RFZ38" s="612"/>
      <c r="RGA38" s="612"/>
      <c r="RGB38" s="612"/>
      <c r="RGC38" s="612"/>
      <c r="RGD38" s="612"/>
      <c r="RGE38" s="612"/>
      <c r="RGF38" s="612"/>
      <c r="RGG38" s="612"/>
      <c r="RGH38" s="612"/>
      <c r="RGI38" s="612"/>
      <c r="RGJ38" s="612"/>
      <c r="RGK38" s="612"/>
      <c r="RGL38" s="612"/>
      <c r="RGM38" s="612"/>
      <c r="RGN38" s="612"/>
      <c r="RGO38" s="612"/>
      <c r="RGP38" s="612"/>
      <c r="RGQ38" s="612"/>
      <c r="RGR38" s="612"/>
      <c r="RGS38" s="612"/>
      <c r="RGT38" s="612"/>
      <c r="RGU38" s="612"/>
      <c r="RGV38" s="612"/>
      <c r="RGW38" s="612"/>
      <c r="RGX38" s="612"/>
      <c r="RGY38" s="612"/>
      <c r="RGZ38" s="612"/>
      <c r="RHA38" s="612"/>
      <c r="RHB38" s="612"/>
      <c r="RHC38" s="612"/>
      <c r="RHD38" s="612"/>
      <c r="RHE38" s="612"/>
      <c r="RHF38" s="612"/>
      <c r="RHG38" s="612"/>
      <c r="RHH38" s="612"/>
      <c r="RHI38" s="612"/>
      <c r="RHJ38" s="612"/>
      <c r="RHK38" s="612"/>
      <c r="RHL38" s="612"/>
      <c r="RHM38" s="612"/>
      <c r="RHN38" s="612"/>
      <c r="RHO38" s="612"/>
      <c r="RHP38" s="612"/>
      <c r="RHQ38" s="612"/>
      <c r="RHR38" s="612"/>
      <c r="RHS38" s="612"/>
      <c r="RHT38" s="612"/>
      <c r="RHU38" s="612"/>
      <c r="RHV38" s="612"/>
      <c r="RHW38" s="612"/>
      <c r="RHX38" s="612"/>
      <c r="RHY38" s="612"/>
      <c r="RHZ38" s="612"/>
      <c r="RIA38" s="612"/>
      <c r="RIB38" s="612"/>
      <c r="RIC38" s="612"/>
      <c r="RID38" s="612"/>
      <c r="RIE38" s="612"/>
      <c r="RIF38" s="612"/>
      <c r="RIG38" s="612"/>
      <c r="RIH38" s="612"/>
      <c r="RII38" s="612"/>
      <c r="RIJ38" s="612"/>
      <c r="RIK38" s="612"/>
      <c r="RIL38" s="612"/>
      <c r="RIM38" s="612"/>
      <c r="RIN38" s="612"/>
      <c r="RIO38" s="612"/>
      <c r="RIP38" s="612"/>
      <c r="RIQ38" s="612"/>
      <c r="RIR38" s="612"/>
      <c r="RIS38" s="612"/>
      <c r="RIT38" s="612"/>
      <c r="RIU38" s="612"/>
      <c r="RIV38" s="612"/>
      <c r="RIW38" s="612"/>
      <c r="RIX38" s="612"/>
      <c r="RIY38" s="612"/>
      <c r="RIZ38" s="612"/>
      <c r="RJA38" s="612"/>
      <c r="RJB38" s="612"/>
      <c r="RJC38" s="612"/>
      <c r="RJD38" s="612"/>
      <c r="RJE38" s="612"/>
      <c r="RJF38" s="612"/>
      <c r="RJG38" s="612"/>
      <c r="RJH38" s="612"/>
      <c r="RJI38" s="612"/>
      <c r="RJJ38" s="612"/>
      <c r="RJK38" s="612"/>
      <c r="RJL38" s="612"/>
      <c r="RJM38" s="612"/>
      <c r="RJN38" s="612"/>
      <c r="RJO38" s="612"/>
      <c r="RJP38" s="612"/>
      <c r="RJQ38" s="612"/>
      <c r="RJR38" s="612"/>
      <c r="RJS38" s="612"/>
      <c r="RJT38" s="612"/>
      <c r="RJU38" s="612"/>
      <c r="RJV38" s="612"/>
      <c r="RJW38" s="612"/>
      <c r="RJX38" s="612"/>
      <c r="RJY38" s="612"/>
      <c r="RJZ38" s="612"/>
      <c r="RKA38" s="612"/>
      <c r="RKB38" s="612"/>
      <c r="RKC38" s="612"/>
      <c r="RKD38" s="612"/>
      <c r="RKE38" s="612"/>
      <c r="RKF38" s="612"/>
      <c r="RKG38" s="612"/>
      <c r="RKH38" s="612"/>
      <c r="RKI38" s="612"/>
      <c r="RKJ38" s="612"/>
      <c r="RKK38" s="612"/>
      <c r="RKL38" s="612"/>
      <c r="RKM38" s="612"/>
      <c r="RKN38" s="612"/>
      <c r="RKO38" s="612"/>
      <c r="RKP38" s="612"/>
      <c r="RKQ38" s="612"/>
      <c r="RKR38" s="612"/>
      <c r="RKS38" s="612"/>
      <c r="RKT38" s="612"/>
      <c r="RKU38" s="612"/>
      <c r="RKV38" s="612"/>
      <c r="RKW38" s="612"/>
      <c r="RKX38" s="612"/>
      <c r="RKY38" s="612"/>
      <c r="RKZ38" s="612"/>
      <c r="RLA38" s="612"/>
      <c r="RLB38" s="612"/>
      <c r="RLC38" s="612"/>
      <c r="RLD38" s="612"/>
      <c r="RLE38" s="612"/>
      <c r="RLF38" s="612"/>
      <c r="RLG38" s="612"/>
      <c r="RLH38" s="612"/>
      <c r="RLI38" s="612"/>
      <c r="RLJ38" s="612"/>
      <c r="RLK38" s="612"/>
      <c r="RLL38" s="612"/>
      <c r="RLM38" s="612"/>
      <c r="RLN38" s="612"/>
      <c r="RLO38" s="612"/>
      <c r="RLP38" s="612"/>
      <c r="RLQ38" s="612"/>
      <c r="RLR38" s="612"/>
      <c r="RLS38" s="612"/>
      <c r="RLT38" s="612"/>
      <c r="RLU38" s="612"/>
      <c r="RLV38" s="612"/>
      <c r="RLW38" s="612"/>
      <c r="RLX38" s="612"/>
      <c r="RLY38" s="612"/>
      <c r="RLZ38" s="612"/>
      <c r="RMA38" s="612"/>
      <c r="RMB38" s="612"/>
      <c r="RMC38" s="612"/>
      <c r="RMD38" s="612"/>
      <c r="RME38" s="612"/>
      <c r="RMF38" s="612"/>
      <c r="RMG38" s="612"/>
      <c r="RMH38" s="612"/>
      <c r="RMI38" s="612"/>
      <c r="RMJ38" s="612"/>
      <c r="RMK38" s="612"/>
      <c r="RML38" s="612"/>
      <c r="RMM38" s="612"/>
      <c r="RMN38" s="612"/>
      <c r="RMO38" s="612"/>
      <c r="RMP38" s="612"/>
      <c r="RMQ38" s="612"/>
      <c r="RMR38" s="612"/>
      <c r="RMS38" s="612"/>
      <c r="RMT38" s="612"/>
      <c r="RMU38" s="612"/>
      <c r="RMV38" s="612"/>
      <c r="RMW38" s="612"/>
      <c r="RMX38" s="612"/>
      <c r="RMY38" s="612"/>
      <c r="RMZ38" s="612"/>
      <c r="RNA38" s="612"/>
      <c r="RNB38" s="612"/>
      <c r="RNC38" s="612"/>
      <c r="RND38" s="612"/>
      <c r="RNE38" s="612"/>
      <c r="RNF38" s="612"/>
      <c r="RNG38" s="612"/>
      <c r="RNH38" s="612"/>
      <c r="RNI38" s="612"/>
      <c r="RNJ38" s="612"/>
      <c r="RNK38" s="612"/>
      <c r="RNL38" s="612"/>
      <c r="RNM38" s="612"/>
      <c r="RNN38" s="612"/>
      <c r="RNO38" s="612"/>
      <c r="RNP38" s="612"/>
      <c r="RNQ38" s="612"/>
      <c r="RNR38" s="612"/>
      <c r="RNS38" s="612"/>
      <c r="RNT38" s="612"/>
      <c r="RNU38" s="612"/>
      <c r="RNV38" s="612"/>
      <c r="RNW38" s="612"/>
      <c r="RNX38" s="612"/>
      <c r="RNY38" s="612"/>
      <c r="RNZ38" s="612"/>
      <c r="ROA38" s="612"/>
      <c r="ROB38" s="612"/>
      <c r="ROC38" s="612"/>
      <c r="ROD38" s="612"/>
      <c r="ROE38" s="612"/>
      <c r="ROF38" s="612"/>
      <c r="ROG38" s="612"/>
      <c r="ROH38" s="612"/>
      <c r="ROI38" s="612"/>
      <c r="ROJ38" s="612"/>
      <c r="ROK38" s="612"/>
      <c r="ROL38" s="612"/>
      <c r="ROM38" s="612"/>
      <c r="RON38" s="612"/>
      <c r="ROO38" s="612"/>
      <c r="ROP38" s="612"/>
      <c r="ROQ38" s="612"/>
      <c r="ROR38" s="612"/>
      <c r="ROS38" s="612"/>
      <c r="ROT38" s="612"/>
      <c r="ROU38" s="612"/>
      <c r="ROV38" s="612"/>
      <c r="ROW38" s="612"/>
      <c r="ROX38" s="612"/>
      <c r="ROY38" s="612"/>
      <c r="ROZ38" s="612"/>
      <c r="RPA38" s="612"/>
      <c r="RPB38" s="612"/>
      <c r="RPC38" s="612"/>
      <c r="RPD38" s="612"/>
      <c r="RPE38" s="612"/>
      <c r="RPF38" s="612"/>
      <c r="RPG38" s="612"/>
      <c r="RPH38" s="612"/>
      <c r="RPI38" s="612"/>
      <c r="RPJ38" s="612"/>
      <c r="RPK38" s="612"/>
      <c r="RPL38" s="612"/>
      <c r="RPM38" s="612"/>
      <c r="RPN38" s="612"/>
      <c r="RPO38" s="612"/>
      <c r="RPP38" s="612"/>
      <c r="RPQ38" s="612"/>
      <c r="RPR38" s="612"/>
      <c r="RPS38" s="612"/>
      <c r="RPT38" s="612"/>
      <c r="RPU38" s="612"/>
      <c r="RPV38" s="612"/>
      <c r="RPW38" s="612"/>
      <c r="RPX38" s="612"/>
      <c r="RPY38" s="612"/>
      <c r="RPZ38" s="612"/>
      <c r="RQA38" s="612"/>
      <c r="RQB38" s="612"/>
      <c r="RQC38" s="612"/>
      <c r="RQD38" s="612"/>
      <c r="RQE38" s="612"/>
      <c r="RQF38" s="612"/>
      <c r="RQG38" s="612"/>
      <c r="RQH38" s="612"/>
      <c r="RQI38" s="612"/>
      <c r="RQJ38" s="612"/>
      <c r="RQK38" s="612"/>
      <c r="RQL38" s="612"/>
      <c r="RQM38" s="612"/>
      <c r="RQN38" s="612"/>
      <c r="RQO38" s="612"/>
      <c r="RQP38" s="612"/>
      <c r="RQQ38" s="612"/>
      <c r="RQR38" s="612"/>
      <c r="RQS38" s="612"/>
      <c r="RQT38" s="612"/>
      <c r="RQU38" s="612"/>
      <c r="RQV38" s="612"/>
      <c r="RQW38" s="612"/>
      <c r="RQX38" s="612"/>
      <c r="RQY38" s="612"/>
      <c r="RQZ38" s="612"/>
      <c r="RRA38" s="612"/>
      <c r="RRB38" s="612"/>
      <c r="RRC38" s="612"/>
      <c r="RRD38" s="612"/>
      <c r="RRE38" s="612"/>
      <c r="RRF38" s="612"/>
      <c r="RRG38" s="612"/>
      <c r="RRH38" s="612"/>
      <c r="RRI38" s="612"/>
      <c r="RRJ38" s="612"/>
      <c r="RRK38" s="612"/>
      <c r="RRL38" s="612"/>
      <c r="RRM38" s="612"/>
      <c r="RRN38" s="612"/>
      <c r="RRO38" s="612"/>
      <c r="RRP38" s="612"/>
      <c r="RRQ38" s="612"/>
      <c r="RRR38" s="612"/>
      <c r="RRS38" s="612"/>
      <c r="RRT38" s="612"/>
      <c r="RRU38" s="612"/>
      <c r="RRV38" s="612"/>
      <c r="RRW38" s="612"/>
      <c r="RRX38" s="612"/>
      <c r="RRY38" s="612"/>
      <c r="RRZ38" s="612"/>
      <c r="RSA38" s="612"/>
      <c r="RSB38" s="612"/>
      <c r="RSC38" s="612"/>
      <c r="RSD38" s="612"/>
      <c r="RSE38" s="612"/>
      <c r="RSF38" s="612"/>
      <c r="RSG38" s="612"/>
      <c r="RSH38" s="612"/>
      <c r="RSI38" s="612"/>
      <c r="RSJ38" s="612"/>
      <c r="RSK38" s="612"/>
      <c r="RSL38" s="612"/>
      <c r="RSM38" s="612"/>
      <c r="RSN38" s="612"/>
      <c r="RSO38" s="612"/>
      <c r="RSP38" s="612"/>
      <c r="RSQ38" s="612"/>
      <c r="RSR38" s="612"/>
      <c r="RSS38" s="612"/>
      <c r="RST38" s="612"/>
      <c r="RSU38" s="612"/>
      <c r="RSV38" s="612"/>
      <c r="RSW38" s="612"/>
      <c r="RSX38" s="612"/>
      <c r="RSY38" s="612"/>
      <c r="RSZ38" s="612"/>
      <c r="RTA38" s="612"/>
      <c r="RTB38" s="612"/>
      <c r="RTC38" s="612"/>
      <c r="RTD38" s="612"/>
      <c r="RTE38" s="612"/>
      <c r="RTF38" s="612"/>
      <c r="RTG38" s="612"/>
      <c r="RTH38" s="612"/>
      <c r="RTI38" s="612"/>
      <c r="RTJ38" s="612"/>
      <c r="RTK38" s="612"/>
      <c r="RTL38" s="612"/>
      <c r="RTM38" s="612"/>
      <c r="RTN38" s="612"/>
      <c r="RTO38" s="612"/>
      <c r="RTP38" s="612"/>
      <c r="RTQ38" s="612"/>
      <c r="RTR38" s="612"/>
      <c r="RTS38" s="612"/>
      <c r="RTT38" s="612"/>
      <c r="RTU38" s="612"/>
      <c r="RTV38" s="612"/>
      <c r="RTW38" s="612"/>
      <c r="RTX38" s="612"/>
      <c r="RTY38" s="612"/>
      <c r="RTZ38" s="612"/>
      <c r="RUA38" s="612"/>
      <c r="RUB38" s="612"/>
      <c r="RUC38" s="612"/>
      <c r="RUD38" s="612"/>
      <c r="RUE38" s="612"/>
      <c r="RUF38" s="612"/>
      <c r="RUG38" s="612"/>
      <c r="RUH38" s="612"/>
      <c r="RUI38" s="612"/>
      <c r="RUJ38" s="612"/>
      <c r="RUK38" s="612"/>
      <c r="RUL38" s="612"/>
      <c r="RUM38" s="612"/>
      <c r="RUN38" s="612"/>
      <c r="RUO38" s="612"/>
      <c r="RUP38" s="612"/>
      <c r="RUQ38" s="612"/>
      <c r="RUR38" s="612"/>
      <c r="RUS38" s="612"/>
      <c r="RUT38" s="612"/>
      <c r="RUU38" s="612"/>
      <c r="RUV38" s="612"/>
      <c r="RUW38" s="612"/>
      <c r="RUX38" s="612"/>
      <c r="RUY38" s="612"/>
      <c r="RUZ38" s="612"/>
      <c r="RVA38" s="612"/>
      <c r="RVB38" s="612"/>
      <c r="RVC38" s="612"/>
      <c r="RVD38" s="612"/>
      <c r="RVE38" s="612"/>
      <c r="RVF38" s="612"/>
      <c r="RVG38" s="612"/>
      <c r="RVH38" s="612"/>
      <c r="RVI38" s="612"/>
      <c r="RVJ38" s="612"/>
      <c r="RVK38" s="612"/>
      <c r="RVL38" s="612"/>
      <c r="RVM38" s="612"/>
      <c r="RVN38" s="612"/>
      <c r="RVO38" s="612"/>
      <c r="RVP38" s="612"/>
      <c r="RVQ38" s="612"/>
      <c r="RVR38" s="612"/>
      <c r="RVS38" s="612"/>
      <c r="RVT38" s="612"/>
      <c r="RVU38" s="612"/>
      <c r="RVV38" s="612"/>
      <c r="RVW38" s="612"/>
      <c r="RVX38" s="612"/>
      <c r="RVY38" s="612"/>
      <c r="RVZ38" s="612"/>
      <c r="RWA38" s="612"/>
      <c r="RWB38" s="612"/>
      <c r="RWC38" s="612"/>
      <c r="RWD38" s="612"/>
      <c r="RWE38" s="612"/>
      <c r="RWF38" s="612"/>
      <c r="RWG38" s="612"/>
      <c r="RWH38" s="612"/>
      <c r="RWI38" s="612"/>
      <c r="RWJ38" s="612"/>
      <c r="RWK38" s="612"/>
      <c r="RWL38" s="612"/>
      <c r="RWM38" s="612"/>
      <c r="RWN38" s="612"/>
      <c r="RWO38" s="612"/>
      <c r="RWP38" s="612"/>
      <c r="RWQ38" s="612"/>
      <c r="RWR38" s="612"/>
      <c r="RWS38" s="612"/>
      <c r="RWT38" s="612"/>
      <c r="RWU38" s="612"/>
      <c r="RWV38" s="612"/>
      <c r="RWW38" s="612"/>
      <c r="RWX38" s="612"/>
      <c r="RWY38" s="612"/>
      <c r="RWZ38" s="612"/>
      <c r="RXA38" s="612"/>
      <c r="RXB38" s="612"/>
      <c r="RXC38" s="612"/>
      <c r="RXD38" s="612"/>
      <c r="RXE38" s="612"/>
      <c r="RXF38" s="612"/>
      <c r="RXG38" s="612"/>
      <c r="RXH38" s="612"/>
      <c r="RXI38" s="612"/>
      <c r="RXJ38" s="612"/>
      <c r="RXK38" s="612"/>
      <c r="RXL38" s="612"/>
      <c r="RXM38" s="612"/>
      <c r="RXN38" s="612"/>
      <c r="RXO38" s="612"/>
      <c r="RXP38" s="612"/>
      <c r="RXQ38" s="612"/>
      <c r="RXR38" s="612"/>
      <c r="RXS38" s="612"/>
      <c r="RXT38" s="612"/>
      <c r="RXU38" s="612"/>
      <c r="RXV38" s="612"/>
      <c r="RXW38" s="612"/>
      <c r="RXX38" s="612"/>
      <c r="RXY38" s="612"/>
      <c r="RXZ38" s="612"/>
      <c r="RYA38" s="612"/>
      <c r="RYB38" s="612"/>
      <c r="RYC38" s="612"/>
      <c r="RYD38" s="612"/>
      <c r="RYE38" s="612"/>
      <c r="RYF38" s="612"/>
      <c r="RYG38" s="612"/>
      <c r="RYH38" s="612"/>
      <c r="RYI38" s="612"/>
      <c r="RYJ38" s="612"/>
      <c r="RYK38" s="612"/>
      <c r="RYL38" s="612"/>
      <c r="RYM38" s="612"/>
      <c r="RYN38" s="612"/>
      <c r="RYO38" s="612"/>
      <c r="RYP38" s="612"/>
      <c r="RYQ38" s="612"/>
      <c r="RYR38" s="612"/>
      <c r="RYS38" s="612"/>
      <c r="RYT38" s="612"/>
      <c r="RYU38" s="612"/>
      <c r="RYV38" s="612"/>
      <c r="RYW38" s="612"/>
      <c r="RYX38" s="612"/>
      <c r="RYY38" s="612"/>
      <c r="RYZ38" s="612"/>
      <c r="RZA38" s="612"/>
      <c r="RZB38" s="612"/>
      <c r="RZC38" s="612"/>
      <c r="RZD38" s="612"/>
      <c r="RZE38" s="612"/>
      <c r="RZF38" s="612"/>
      <c r="RZG38" s="612"/>
      <c r="RZH38" s="612"/>
      <c r="RZI38" s="612"/>
      <c r="RZJ38" s="612"/>
      <c r="RZK38" s="612"/>
      <c r="RZL38" s="612"/>
      <c r="RZM38" s="612"/>
      <c r="RZN38" s="612"/>
      <c r="RZO38" s="612"/>
      <c r="RZP38" s="612"/>
      <c r="RZQ38" s="612"/>
      <c r="RZR38" s="612"/>
      <c r="RZS38" s="612"/>
      <c r="RZT38" s="612"/>
      <c r="RZU38" s="612"/>
      <c r="RZV38" s="612"/>
      <c r="RZW38" s="612"/>
      <c r="RZX38" s="612"/>
      <c r="RZY38" s="612"/>
      <c r="RZZ38" s="612"/>
      <c r="SAA38" s="612"/>
      <c r="SAB38" s="612"/>
      <c r="SAC38" s="612"/>
      <c r="SAD38" s="612"/>
      <c r="SAE38" s="612"/>
      <c r="SAF38" s="612"/>
      <c r="SAG38" s="612"/>
      <c r="SAH38" s="612"/>
      <c r="SAI38" s="612"/>
      <c r="SAJ38" s="612"/>
      <c r="SAK38" s="612"/>
      <c r="SAL38" s="612"/>
      <c r="SAM38" s="612"/>
      <c r="SAN38" s="612"/>
      <c r="SAO38" s="612"/>
      <c r="SAP38" s="612"/>
      <c r="SAQ38" s="612"/>
      <c r="SAR38" s="612"/>
      <c r="SAS38" s="612"/>
      <c r="SAT38" s="612"/>
      <c r="SAU38" s="612"/>
      <c r="SAV38" s="612"/>
      <c r="SAW38" s="612"/>
      <c r="SAX38" s="612"/>
      <c r="SAY38" s="612"/>
      <c r="SAZ38" s="612"/>
      <c r="SBA38" s="612"/>
      <c r="SBB38" s="612"/>
      <c r="SBC38" s="612"/>
      <c r="SBD38" s="612"/>
      <c r="SBE38" s="612"/>
      <c r="SBF38" s="612"/>
      <c r="SBG38" s="612"/>
      <c r="SBH38" s="612"/>
      <c r="SBI38" s="612"/>
      <c r="SBJ38" s="612"/>
      <c r="SBK38" s="612"/>
      <c r="SBL38" s="612"/>
      <c r="SBM38" s="612"/>
      <c r="SBN38" s="612"/>
      <c r="SBO38" s="612"/>
      <c r="SBP38" s="612"/>
      <c r="SBQ38" s="612"/>
      <c r="SBR38" s="612"/>
      <c r="SBS38" s="612"/>
      <c r="SBT38" s="612"/>
      <c r="SBU38" s="612"/>
      <c r="SBV38" s="612"/>
      <c r="SBW38" s="612"/>
      <c r="SBX38" s="612"/>
      <c r="SBY38" s="612"/>
      <c r="SBZ38" s="612"/>
      <c r="SCA38" s="612"/>
      <c r="SCB38" s="612"/>
      <c r="SCC38" s="612"/>
      <c r="SCD38" s="612"/>
      <c r="SCE38" s="612"/>
      <c r="SCF38" s="612"/>
      <c r="SCG38" s="612"/>
      <c r="SCH38" s="612"/>
      <c r="SCI38" s="612"/>
      <c r="SCJ38" s="612"/>
      <c r="SCK38" s="612"/>
      <c r="SCL38" s="612"/>
      <c r="SCM38" s="612"/>
      <c r="SCN38" s="612"/>
      <c r="SCO38" s="612"/>
      <c r="SCP38" s="612"/>
      <c r="SCQ38" s="612"/>
      <c r="SCR38" s="612"/>
      <c r="SCS38" s="612"/>
      <c r="SCT38" s="612"/>
      <c r="SCU38" s="612"/>
      <c r="SCV38" s="612"/>
      <c r="SCW38" s="612"/>
      <c r="SCX38" s="612"/>
      <c r="SCY38" s="612"/>
      <c r="SCZ38" s="612"/>
      <c r="SDA38" s="612"/>
      <c r="SDB38" s="612"/>
      <c r="SDC38" s="612"/>
      <c r="SDD38" s="612"/>
      <c r="SDE38" s="612"/>
      <c r="SDF38" s="612"/>
      <c r="SDG38" s="612"/>
      <c r="SDH38" s="612"/>
      <c r="SDI38" s="612"/>
      <c r="SDJ38" s="612"/>
      <c r="SDK38" s="612"/>
      <c r="SDL38" s="612"/>
      <c r="SDM38" s="612"/>
      <c r="SDN38" s="612"/>
      <c r="SDO38" s="612"/>
      <c r="SDP38" s="612"/>
      <c r="SDQ38" s="612"/>
      <c r="SDR38" s="612"/>
      <c r="SDS38" s="612"/>
      <c r="SDT38" s="612"/>
      <c r="SDU38" s="612"/>
      <c r="SDV38" s="612"/>
      <c r="SDW38" s="612"/>
      <c r="SDX38" s="612"/>
      <c r="SDY38" s="612"/>
      <c r="SDZ38" s="612"/>
      <c r="SEA38" s="612"/>
      <c r="SEB38" s="612"/>
      <c r="SEC38" s="612"/>
      <c r="SED38" s="612"/>
      <c r="SEE38" s="612"/>
      <c r="SEF38" s="612"/>
      <c r="SEG38" s="612"/>
      <c r="SEH38" s="612"/>
      <c r="SEI38" s="612"/>
      <c r="SEJ38" s="612"/>
      <c r="SEK38" s="612"/>
      <c r="SEL38" s="612"/>
      <c r="SEM38" s="612"/>
      <c r="SEN38" s="612"/>
      <c r="SEO38" s="612"/>
      <c r="SEP38" s="612"/>
      <c r="SEQ38" s="612"/>
      <c r="SER38" s="612"/>
      <c r="SES38" s="612"/>
      <c r="SET38" s="612"/>
      <c r="SEU38" s="612"/>
      <c r="SEV38" s="612"/>
      <c r="SEW38" s="612"/>
      <c r="SEX38" s="612"/>
      <c r="SEY38" s="612"/>
      <c r="SEZ38" s="612"/>
      <c r="SFA38" s="612"/>
      <c r="SFB38" s="612"/>
      <c r="SFC38" s="612"/>
      <c r="SFD38" s="612"/>
      <c r="SFE38" s="612"/>
      <c r="SFF38" s="612"/>
      <c r="SFG38" s="612"/>
      <c r="SFH38" s="612"/>
      <c r="SFI38" s="612"/>
      <c r="SFJ38" s="612"/>
      <c r="SFK38" s="612"/>
      <c r="SFL38" s="612"/>
      <c r="SFM38" s="612"/>
      <c r="SFN38" s="612"/>
      <c r="SFO38" s="612"/>
      <c r="SFP38" s="612"/>
      <c r="SFQ38" s="612"/>
      <c r="SFR38" s="612"/>
      <c r="SFS38" s="612"/>
      <c r="SFT38" s="612"/>
      <c r="SFU38" s="612"/>
      <c r="SFV38" s="612"/>
      <c r="SFW38" s="612"/>
      <c r="SFX38" s="612"/>
      <c r="SFY38" s="612"/>
      <c r="SFZ38" s="612"/>
      <c r="SGA38" s="612"/>
      <c r="SGB38" s="612"/>
      <c r="SGC38" s="612"/>
      <c r="SGD38" s="612"/>
      <c r="SGE38" s="612"/>
      <c r="SGF38" s="612"/>
      <c r="SGG38" s="612"/>
      <c r="SGH38" s="612"/>
      <c r="SGI38" s="612"/>
      <c r="SGJ38" s="612"/>
      <c r="SGK38" s="612"/>
      <c r="SGL38" s="612"/>
      <c r="SGM38" s="612"/>
      <c r="SGN38" s="612"/>
      <c r="SGO38" s="612"/>
      <c r="SGP38" s="612"/>
      <c r="SGQ38" s="612"/>
      <c r="SGR38" s="612"/>
      <c r="SGS38" s="612"/>
      <c r="SGT38" s="612"/>
      <c r="SGU38" s="612"/>
      <c r="SGV38" s="612"/>
      <c r="SGW38" s="612"/>
      <c r="SGX38" s="612"/>
      <c r="SGY38" s="612"/>
      <c r="SGZ38" s="612"/>
      <c r="SHA38" s="612"/>
      <c r="SHB38" s="612"/>
      <c r="SHC38" s="612"/>
      <c r="SHD38" s="612"/>
      <c r="SHE38" s="612"/>
      <c r="SHF38" s="612"/>
      <c r="SHG38" s="612"/>
      <c r="SHH38" s="612"/>
      <c r="SHI38" s="612"/>
      <c r="SHJ38" s="612"/>
      <c r="SHK38" s="612"/>
      <c r="SHL38" s="612"/>
      <c r="SHM38" s="612"/>
      <c r="SHN38" s="612"/>
      <c r="SHO38" s="612"/>
      <c r="SHP38" s="612"/>
      <c r="SHQ38" s="612"/>
      <c r="SHR38" s="612"/>
      <c r="SHS38" s="612"/>
      <c r="SHT38" s="612"/>
      <c r="SHU38" s="612"/>
      <c r="SHV38" s="612"/>
      <c r="SHW38" s="612"/>
      <c r="SHX38" s="612"/>
      <c r="SHY38" s="612"/>
      <c r="SHZ38" s="612"/>
      <c r="SIA38" s="612"/>
      <c r="SIB38" s="612"/>
      <c r="SIC38" s="612"/>
      <c r="SID38" s="612"/>
      <c r="SIE38" s="612"/>
      <c r="SIF38" s="612"/>
      <c r="SIG38" s="612"/>
      <c r="SIH38" s="612"/>
      <c r="SII38" s="612"/>
      <c r="SIJ38" s="612"/>
      <c r="SIK38" s="612"/>
      <c r="SIL38" s="612"/>
      <c r="SIM38" s="612"/>
      <c r="SIN38" s="612"/>
      <c r="SIO38" s="612"/>
      <c r="SIP38" s="612"/>
      <c r="SIQ38" s="612"/>
      <c r="SIR38" s="612"/>
      <c r="SIS38" s="612"/>
      <c r="SIT38" s="612"/>
      <c r="SIU38" s="612"/>
      <c r="SIV38" s="612"/>
      <c r="SIW38" s="612"/>
      <c r="SIX38" s="612"/>
      <c r="SIY38" s="612"/>
      <c r="SIZ38" s="612"/>
      <c r="SJA38" s="612"/>
      <c r="SJB38" s="612"/>
      <c r="SJC38" s="612"/>
      <c r="SJD38" s="612"/>
      <c r="SJE38" s="612"/>
      <c r="SJF38" s="612"/>
      <c r="SJG38" s="612"/>
      <c r="SJH38" s="612"/>
      <c r="SJI38" s="612"/>
      <c r="SJJ38" s="612"/>
      <c r="SJK38" s="612"/>
      <c r="SJL38" s="612"/>
      <c r="SJM38" s="612"/>
      <c r="SJN38" s="612"/>
      <c r="SJO38" s="612"/>
      <c r="SJP38" s="612"/>
      <c r="SJQ38" s="612"/>
      <c r="SJR38" s="612"/>
      <c r="SJS38" s="612"/>
      <c r="SJT38" s="612"/>
      <c r="SJU38" s="612"/>
      <c r="SJV38" s="612"/>
      <c r="SJW38" s="612"/>
      <c r="SJX38" s="612"/>
      <c r="SJY38" s="612"/>
      <c r="SJZ38" s="612"/>
      <c r="SKA38" s="612"/>
      <c r="SKB38" s="612"/>
      <c r="SKC38" s="612"/>
      <c r="SKD38" s="612"/>
      <c r="SKE38" s="612"/>
      <c r="SKF38" s="612"/>
      <c r="SKG38" s="612"/>
      <c r="SKH38" s="612"/>
      <c r="SKI38" s="612"/>
      <c r="SKJ38" s="612"/>
      <c r="SKK38" s="612"/>
      <c r="SKL38" s="612"/>
      <c r="SKM38" s="612"/>
      <c r="SKN38" s="612"/>
      <c r="SKO38" s="612"/>
      <c r="SKP38" s="612"/>
      <c r="SKQ38" s="612"/>
      <c r="SKR38" s="612"/>
      <c r="SKS38" s="612"/>
      <c r="SKT38" s="612"/>
      <c r="SKU38" s="612"/>
      <c r="SKV38" s="612"/>
      <c r="SKW38" s="612"/>
      <c r="SKX38" s="612"/>
      <c r="SKY38" s="612"/>
      <c r="SKZ38" s="612"/>
      <c r="SLA38" s="612"/>
      <c r="SLB38" s="612"/>
      <c r="SLC38" s="612"/>
      <c r="SLD38" s="612"/>
      <c r="SLE38" s="612"/>
      <c r="SLF38" s="612"/>
      <c r="SLG38" s="612"/>
      <c r="SLH38" s="612"/>
      <c r="SLI38" s="612"/>
      <c r="SLJ38" s="612"/>
      <c r="SLK38" s="612"/>
      <c r="SLL38" s="612"/>
      <c r="SLM38" s="612"/>
      <c r="SLN38" s="612"/>
      <c r="SLO38" s="612"/>
      <c r="SLP38" s="612"/>
      <c r="SLQ38" s="612"/>
      <c r="SLR38" s="612"/>
      <c r="SLS38" s="612"/>
      <c r="SLT38" s="612"/>
      <c r="SLU38" s="612"/>
      <c r="SLV38" s="612"/>
      <c r="SLW38" s="612"/>
      <c r="SLX38" s="612"/>
      <c r="SLY38" s="612"/>
      <c r="SLZ38" s="612"/>
      <c r="SMA38" s="612"/>
      <c r="SMB38" s="612"/>
      <c r="SMC38" s="612"/>
      <c r="SMD38" s="612"/>
      <c r="SME38" s="612"/>
      <c r="SMF38" s="612"/>
      <c r="SMG38" s="612"/>
      <c r="SMH38" s="612"/>
      <c r="SMI38" s="612"/>
      <c r="SMJ38" s="612"/>
      <c r="SMK38" s="612"/>
      <c r="SML38" s="612"/>
      <c r="SMM38" s="612"/>
      <c r="SMN38" s="612"/>
      <c r="SMO38" s="612"/>
      <c r="SMP38" s="612"/>
      <c r="SMQ38" s="612"/>
      <c r="SMR38" s="612"/>
      <c r="SMS38" s="612"/>
      <c r="SMT38" s="612"/>
      <c r="SMU38" s="612"/>
      <c r="SMV38" s="612"/>
      <c r="SMW38" s="612"/>
      <c r="SMX38" s="612"/>
      <c r="SMY38" s="612"/>
      <c r="SMZ38" s="612"/>
      <c r="SNA38" s="612"/>
      <c r="SNB38" s="612"/>
      <c r="SNC38" s="612"/>
      <c r="SND38" s="612"/>
      <c r="SNE38" s="612"/>
      <c r="SNF38" s="612"/>
      <c r="SNG38" s="612"/>
      <c r="SNH38" s="612"/>
      <c r="SNI38" s="612"/>
      <c r="SNJ38" s="612"/>
      <c r="SNK38" s="612"/>
      <c r="SNL38" s="612"/>
      <c r="SNM38" s="612"/>
      <c r="SNN38" s="612"/>
      <c r="SNO38" s="612"/>
      <c r="SNP38" s="612"/>
      <c r="SNQ38" s="612"/>
      <c r="SNR38" s="612"/>
      <c r="SNS38" s="612"/>
      <c r="SNT38" s="612"/>
      <c r="SNU38" s="612"/>
      <c r="SNV38" s="612"/>
      <c r="SNW38" s="612"/>
      <c r="SNX38" s="612"/>
      <c r="SNY38" s="612"/>
      <c r="SNZ38" s="612"/>
      <c r="SOA38" s="612"/>
      <c r="SOB38" s="612"/>
      <c r="SOC38" s="612"/>
      <c r="SOD38" s="612"/>
      <c r="SOE38" s="612"/>
      <c r="SOF38" s="612"/>
      <c r="SOG38" s="612"/>
      <c r="SOH38" s="612"/>
      <c r="SOI38" s="612"/>
      <c r="SOJ38" s="612"/>
      <c r="SOK38" s="612"/>
      <c r="SOL38" s="612"/>
      <c r="SOM38" s="612"/>
      <c r="SON38" s="612"/>
      <c r="SOO38" s="612"/>
      <c r="SOP38" s="612"/>
      <c r="SOQ38" s="612"/>
      <c r="SOR38" s="612"/>
      <c r="SOS38" s="612"/>
      <c r="SOT38" s="612"/>
      <c r="SOU38" s="612"/>
      <c r="SOV38" s="612"/>
      <c r="SOW38" s="612"/>
      <c r="SOX38" s="612"/>
      <c r="SOY38" s="612"/>
      <c r="SOZ38" s="612"/>
      <c r="SPA38" s="612"/>
      <c r="SPB38" s="612"/>
      <c r="SPC38" s="612"/>
      <c r="SPD38" s="612"/>
      <c r="SPE38" s="612"/>
      <c r="SPF38" s="612"/>
      <c r="SPG38" s="612"/>
      <c r="SPH38" s="612"/>
      <c r="SPI38" s="612"/>
      <c r="SPJ38" s="612"/>
      <c r="SPK38" s="612"/>
      <c r="SPL38" s="612"/>
      <c r="SPM38" s="612"/>
      <c r="SPN38" s="612"/>
      <c r="SPO38" s="612"/>
      <c r="SPP38" s="612"/>
      <c r="SPQ38" s="612"/>
      <c r="SPR38" s="612"/>
      <c r="SPS38" s="612"/>
      <c r="SPT38" s="612"/>
      <c r="SPU38" s="612"/>
      <c r="SPV38" s="612"/>
      <c r="SPW38" s="612"/>
      <c r="SPX38" s="612"/>
      <c r="SPY38" s="612"/>
      <c r="SPZ38" s="612"/>
      <c r="SQA38" s="612"/>
      <c r="SQB38" s="612"/>
      <c r="SQC38" s="612"/>
      <c r="SQD38" s="612"/>
      <c r="SQE38" s="612"/>
      <c r="SQF38" s="612"/>
      <c r="SQG38" s="612"/>
      <c r="SQH38" s="612"/>
      <c r="SQI38" s="612"/>
      <c r="SQJ38" s="612"/>
      <c r="SQK38" s="612"/>
      <c r="SQL38" s="612"/>
      <c r="SQM38" s="612"/>
      <c r="SQN38" s="612"/>
      <c r="SQO38" s="612"/>
      <c r="SQP38" s="612"/>
      <c r="SQQ38" s="612"/>
      <c r="SQR38" s="612"/>
      <c r="SQS38" s="612"/>
      <c r="SQT38" s="612"/>
      <c r="SQU38" s="612"/>
      <c r="SQV38" s="612"/>
      <c r="SQW38" s="612"/>
      <c r="SQX38" s="612"/>
      <c r="SQY38" s="612"/>
      <c r="SQZ38" s="612"/>
      <c r="SRA38" s="612"/>
      <c r="SRB38" s="612"/>
      <c r="SRC38" s="612"/>
      <c r="SRD38" s="612"/>
      <c r="SRE38" s="612"/>
      <c r="SRF38" s="612"/>
      <c r="SRG38" s="612"/>
      <c r="SRH38" s="612"/>
      <c r="SRI38" s="612"/>
      <c r="SRJ38" s="612"/>
      <c r="SRK38" s="612"/>
      <c r="SRL38" s="612"/>
      <c r="SRM38" s="612"/>
      <c r="SRN38" s="612"/>
      <c r="SRO38" s="612"/>
      <c r="SRP38" s="612"/>
      <c r="SRQ38" s="612"/>
      <c r="SRR38" s="612"/>
      <c r="SRS38" s="612"/>
      <c r="SRT38" s="612"/>
      <c r="SRU38" s="612"/>
      <c r="SRV38" s="612"/>
      <c r="SRW38" s="612"/>
      <c r="SRX38" s="612"/>
      <c r="SRY38" s="612"/>
      <c r="SRZ38" s="612"/>
      <c r="SSA38" s="612"/>
      <c r="SSB38" s="612"/>
      <c r="SSC38" s="612"/>
      <c r="SSD38" s="612"/>
      <c r="SSE38" s="612"/>
      <c r="SSF38" s="612"/>
      <c r="SSG38" s="612"/>
      <c r="SSH38" s="612"/>
      <c r="SSI38" s="612"/>
      <c r="SSJ38" s="612"/>
      <c r="SSK38" s="612"/>
      <c r="SSL38" s="612"/>
      <c r="SSM38" s="612"/>
      <c r="SSN38" s="612"/>
      <c r="SSO38" s="612"/>
      <c r="SSP38" s="612"/>
      <c r="SSQ38" s="612"/>
      <c r="SSR38" s="612"/>
      <c r="SSS38" s="612"/>
      <c r="SST38" s="612"/>
      <c r="SSU38" s="612"/>
      <c r="SSV38" s="612"/>
      <c r="SSW38" s="612"/>
      <c r="SSX38" s="612"/>
      <c r="SSY38" s="612"/>
      <c r="SSZ38" s="612"/>
      <c r="STA38" s="612"/>
      <c r="STB38" s="612"/>
      <c r="STC38" s="612"/>
      <c r="STD38" s="612"/>
      <c r="STE38" s="612"/>
      <c r="STF38" s="612"/>
      <c r="STG38" s="612"/>
      <c r="STH38" s="612"/>
      <c r="STI38" s="612"/>
      <c r="STJ38" s="612"/>
      <c r="STK38" s="612"/>
      <c r="STL38" s="612"/>
      <c r="STM38" s="612"/>
      <c r="STN38" s="612"/>
      <c r="STO38" s="612"/>
      <c r="STP38" s="612"/>
      <c r="STQ38" s="612"/>
      <c r="STR38" s="612"/>
      <c r="STS38" s="612"/>
      <c r="STT38" s="612"/>
      <c r="STU38" s="612"/>
      <c r="STV38" s="612"/>
      <c r="STW38" s="612"/>
      <c r="STX38" s="612"/>
      <c r="STY38" s="612"/>
      <c r="STZ38" s="612"/>
      <c r="SUA38" s="612"/>
      <c r="SUB38" s="612"/>
      <c r="SUC38" s="612"/>
      <c r="SUD38" s="612"/>
      <c r="SUE38" s="612"/>
      <c r="SUF38" s="612"/>
      <c r="SUG38" s="612"/>
      <c r="SUH38" s="612"/>
      <c r="SUI38" s="612"/>
      <c r="SUJ38" s="612"/>
      <c r="SUK38" s="612"/>
      <c r="SUL38" s="612"/>
      <c r="SUM38" s="612"/>
      <c r="SUN38" s="612"/>
      <c r="SUO38" s="612"/>
      <c r="SUP38" s="612"/>
      <c r="SUQ38" s="612"/>
      <c r="SUR38" s="612"/>
      <c r="SUS38" s="612"/>
      <c r="SUT38" s="612"/>
      <c r="SUU38" s="612"/>
      <c r="SUV38" s="612"/>
      <c r="SUW38" s="612"/>
      <c r="SUX38" s="612"/>
      <c r="SUY38" s="612"/>
      <c r="SUZ38" s="612"/>
      <c r="SVA38" s="612"/>
      <c r="SVB38" s="612"/>
      <c r="SVC38" s="612"/>
      <c r="SVD38" s="612"/>
      <c r="SVE38" s="612"/>
      <c r="SVF38" s="612"/>
      <c r="SVG38" s="612"/>
      <c r="SVH38" s="612"/>
      <c r="SVI38" s="612"/>
      <c r="SVJ38" s="612"/>
      <c r="SVK38" s="612"/>
      <c r="SVL38" s="612"/>
      <c r="SVM38" s="612"/>
      <c r="SVN38" s="612"/>
      <c r="SVO38" s="612"/>
      <c r="SVP38" s="612"/>
      <c r="SVQ38" s="612"/>
      <c r="SVR38" s="612"/>
      <c r="SVS38" s="612"/>
      <c r="SVT38" s="612"/>
      <c r="SVU38" s="612"/>
      <c r="SVV38" s="612"/>
      <c r="SVW38" s="612"/>
      <c r="SVX38" s="612"/>
      <c r="SVY38" s="612"/>
      <c r="SVZ38" s="612"/>
      <c r="SWA38" s="612"/>
      <c r="SWB38" s="612"/>
      <c r="SWC38" s="612"/>
      <c r="SWD38" s="612"/>
      <c r="SWE38" s="612"/>
      <c r="SWF38" s="612"/>
      <c r="SWG38" s="612"/>
      <c r="SWH38" s="612"/>
      <c r="SWI38" s="612"/>
      <c r="SWJ38" s="612"/>
      <c r="SWK38" s="612"/>
      <c r="SWL38" s="612"/>
      <c r="SWM38" s="612"/>
      <c r="SWN38" s="612"/>
      <c r="SWO38" s="612"/>
      <c r="SWP38" s="612"/>
      <c r="SWQ38" s="612"/>
      <c r="SWR38" s="612"/>
      <c r="SWS38" s="612"/>
      <c r="SWT38" s="612"/>
      <c r="SWU38" s="612"/>
      <c r="SWV38" s="612"/>
      <c r="SWW38" s="612"/>
      <c r="SWX38" s="612"/>
      <c r="SWY38" s="612"/>
      <c r="SWZ38" s="612"/>
      <c r="SXA38" s="612"/>
      <c r="SXB38" s="612"/>
      <c r="SXC38" s="612"/>
      <c r="SXD38" s="612"/>
      <c r="SXE38" s="612"/>
      <c r="SXF38" s="612"/>
      <c r="SXG38" s="612"/>
      <c r="SXH38" s="612"/>
      <c r="SXI38" s="612"/>
      <c r="SXJ38" s="612"/>
      <c r="SXK38" s="612"/>
      <c r="SXL38" s="612"/>
      <c r="SXM38" s="612"/>
      <c r="SXN38" s="612"/>
      <c r="SXO38" s="612"/>
      <c r="SXP38" s="612"/>
      <c r="SXQ38" s="612"/>
      <c r="SXR38" s="612"/>
      <c r="SXS38" s="612"/>
      <c r="SXT38" s="612"/>
      <c r="SXU38" s="612"/>
      <c r="SXV38" s="612"/>
      <c r="SXW38" s="612"/>
      <c r="SXX38" s="612"/>
      <c r="SXY38" s="612"/>
      <c r="SXZ38" s="612"/>
      <c r="SYA38" s="612"/>
      <c r="SYB38" s="612"/>
      <c r="SYC38" s="612"/>
      <c r="SYD38" s="612"/>
      <c r="SYE38" s="612"/>
      <c r="SYF38" s="612"/>
      <c r="SYG38" s="612"/>
      <c r="SYH38" s="612"/>
      <c r="SYI38" s="612"/>
      <c r="SYJ38" s="612"/>
      <c r="SYK38" s="612"/>
      <c r="SYL38" s="612"/>
      <c r="SYM38" s="612"/>
      <c r="SYN38" s="612"/>
      <c r="SYO38" s="612"/>
      <c r="SYP38" s="612"/>
      <c r="SYQ38" s="612"/>
      <c r="SYR38" s="612"/>
      <c r="SYS38" s="612"/>
      <c r="SYT38" s="612"/>
      <c r="SYU38" s="612"/>
      <c r="SYV38" s="612"/>
      <c r="SYW38" s="612"/>
      <c r="SYX38" s="612"/>
      <c r="SYY38" s="612"/>
      <c r="SYZ38" s="612"/>
      <c r="SZA38" s="612"/>
      <c r="SZB38" s="612"/>
      <c r="SZC38" s="612"/>
      <c r="SZD38" s="612"/>
      <c r="SZE38" s="612"/>
      <c r="SZF38" s="612"/>
      <c r="SZG38" s="612"/>
      <c r="SZH38" s="612"/>
      <c r="SZI38" s="612"/>
      <c r="SZJ38" s="612"/>
      <c r="SZK38" s="612"/>
      <c r="SZL38" s="612"/>
      <c r="SZM38" s="612"/>
      <c r="SZN38" s="612"/>
      <c r="SZO38" s="612"/>
      <c r="SZP38" s="612"/>
      <c r="SZQ38" s="612"/>
      <c r="SZR38" s="612"/>
      <c r="SZS38" s="612"/>
      <c r="SZT38" s="612"/>
      <c r="SZU38" s="612"/>
      <c r="SZV38" s="612"/>
      <c r="SZW38" s="612"/>
      <c r="SZX38" s="612"/>
      <c r="SZY38" s="612"/>
      <c r="SZZ38" s="612"/>
      <c r="TAA38" s="612"/>
      <c r="TAB38" s="612"/>
      <c r="TAC38" s="612"/>
      <c r="TAD38" s="612"/>
      <c r="TAE38" s="612"/>
      <c r="TAF38" s="612"/>
      <c r="TAG38" s="612"/>
      <c r="TAH38" s="612"/>
      <c r="TAI38" s="612"/>
      <c r="TAJ38" s="612"/>
      <c r="TAK38" s="612"/>
      <c r="TAL38" s="612"/>
      <c r="TAM38" s="612"/>
      <c r="TAN38" s="612"/>
      <c r="TAO38" s="612"/>
      <c r="TAP38" s="612"/>
      <c r="TAQ38" s="612"/>
      <c r="TAR38" s="612"/>
      <c r="TAS38" s="612"/>
      <c r="TAT38" s="612"/>
      <c r="TAU38" s="612"/>
      <c r="TAV38" s="612"/>
      <c r="TAW38" s="612"/>
      <c r="TAX38" s="612"/>
      <c r="TAY38" s="612"/>
      <c r="TAZ38" s="612"/>
      <c r="TBA38" s="612"/>
      <c r="TBB38" s="612"/>
      <c r="TBC38" s="612"/>
      <c r="TBD38" s="612"/>
      <c r="TBE38" s="612"/>
      <c r="TBF38" s="612"/>
      <c r="TBG38" s="612"/>
      <c r="TBH38" s="612"/>
      <c r="TBI38" s="612"/>
      <c r="TBJ38" s="612"/>
      <c r="TBK38" s="612"/>
      <c r="TBL38" s="612"/>
      <c r="TBM38" s="612"/>
      <c r="TBN38" s="612"/>
      <c r="TBO38" s="612"/>
      <c r="TBP38" s="612"/>
      <c r="TBQ38" s="612"/>
      <c r="TBR38" s="612"/>
      <c r="TBS38" s="612"/>
      <c r="TBT38" s="612"/>
      <c r="TBU38" s="612"/>
      <c r="TBV38" s="612"/>
      <c r="TBW38" s="612"/>
      <c r="TBX38" s="612"/>
      <c r="TBY38" s="612"/>
      <c r="TBZ38" s="612"/>
      <c r="TCA38" s="612"/>
      <c r="TCB38" s="612"/>
      <c r="TCC38" s="612"/>
      <c r="TCD38" s="612"/>
      <c r="TCE38" s="612"/>
      <c r="TCF38" s="612"/>
      <c r="TCG38" s="612"/>
      <c r="TCH38" s="612"/>
      <c r="TCI38" s="612"/>
      <c r="TCJ38" s="612"/>
      <c r="TCK38" s="612"/>
      <c r="TCL38" s="612"/>
      <c r="TCM38" s="612"/>
      <c r="TCN38" s="612"/>
      <c r="TCO38" s="612"/>
      <c r="TCP38" s="612"/>
      <c r="TCQ38" s="612"/>
      <c r="TCR38" s="612"/>
      <c r="TCS38" s="612"/>
      <c r="TCT38" s="612"/>
      <c r="TCU38" s="612"/>
      <c r="TCV38" s="612"/>
      <c r="TCW38" s="612"/>
      <c r="TCX38" s="612"/>
      <c r="TCY38" s="612"/>
      <c r="TCZ38" s="612"/>
      <c r="TDA38" s="612"/>
      <c r="TDB38" s="612"/>
      <c r="TDC38" s="612"/>
      <c r="TDD38" s="612"/>
      <c r="TDE38" s="612"/>
      <c r="TDF38" s="612"/>
      <c r="TDG38" s="612"/>
      <c r="TDH38" s="612"/>
      <c r="TDI38" s="612"/>
      <c r="TDJ38" s="612"/>
      <c r="TDK38" s="612"/>
      <c r="TDL38" s="612"/>
      <c r="TDM38" s="612"/>
      <c r="TDN38" s="612"/>
      <c r="TDO38" s="612"/>
      <c r="TDP38" s="612"/>
      <c r="TDQ38" s="612"/>
      <c r="TDR38" s="612"/>
      <c r="TDS38" s="612"/>
      <c r="TDT38" s="612"/>
      <c r="TDU38" s="612"/>
      <c r="TDV38" s="612"/>
      <c r="TDW38" s="612"/>
      <c r="TDX38" s="612"/>
      <c r="TDY38" s="612"/>
      <c r="TDZ38" s="612"/>
      <c r="TEA38" s="612"/>
      <c r="TEB38" s="612"/>
      <c r="TEC38" s="612"/>
      <c r="TED38" s="612"/>
      <c r="TEE38" s="612"/>
      <c r="TEF38" s="612"/>
      <c r="TEG38" s="612"/>
      <c r="TEH38" s="612"/>
      <c r="TEI38" s="612"/>
      <c r="TEJ38" s="612"/>
      <c r="TEK38" s="612"/>
      <c r="TEL38" s="612"/>
      <c r="TEM38" s="612"/>
      <c r="TEN38" s="612"/>
      <c r="TEO38" s="612"/>
      <c r="TEP38" s="612"/>
      <c r="TEQ38" s="612"/>
      <c r="TER38" s="612"/>
      <c r="TES38" s="612"/>
      <c r="TET38" s="612"/>
      <c r="TEU38" s="612"/>
      <c r="TEV38" s="612"/>
      <c r="TEW38" s="612"/>
      <c r="TEX38" s="612"/>
      <c r="TEY38" s="612"/>
      <c r="TEZ38" s="612"/>
      <c r="TFA38" s="612"/>
      <c r="TFB38" s="612"/>
      <c r="TFC38" s="612"/>
      <c r="TFD38" s="612"/>
      <c r="TFE38" s="612"/>
      <c r="TFF38" s="612"/>
      <c r="TFG38" s="612"/>
      <c r="TFH38" s="612"/>
      <c r="TFI38" s="612"/>
      <c r="TFJ38" s="612"/>
      <c r="TFK38" s="612"/>
      <c r="TFL38" s="612"/>
      <c r="TFM38" s="612"/>
      <c r="TFN38" s="612"/>
      <c r="TFO38" s="612"/>
      <c r="TFP38" s="612"/>
      <c r="TFQ38" s="612"/>
      <c r="TFR38" s="612"/>
      <c r="TFS38" s="612"/>
      <c r="TFT38" s="612"/>
      <c r="TFU38" s="612"/>
      <c r="TFV38" s="612"/>
      <c r="TFW38" s="612"/>
      <c r="TFX38" s="612"/>
      <c r="TFY38" s="612"/>
      <c r="TFZ38" s="612"/>
      <c r="TGA38" s="612"/>
      <c r="TGB38" s="612"/>
      <c r="TGC38" s="612"/>
      <c r="TGD38" s="612"/>
      <c r="TGE38" s="612"/>
      <c r="TGF38" s="612"/>
      <c r="TGG38" s="612"/>
      <c r="TGH38" s="612"/>
      <c r="TGI38" s="612"/>
      <c r="TGJ38" s="612"/>
      <c r="TGK38" s="612"/>
      <c r="TGL38" s="612"/>
      <c r="TGM38" s="612"/>
      <c r="TGN38" s="612"/>
      <c r="TGO38" s="612"/>
      <c r="TGP38" s="612"/>
      <c r="TGQ38" s="612"/>
      <c r="TGR38" s="612"/>
      <c r="TGS38" s="612"/>
      <c r="TGT38" s="612"/>
      <c r="TGU38" s="612"/>
      <c r="TGV38" s="612"/>
      <c r="TGW38" s="612"/>
      <c r="TGX38" s="612"/>
      <c r="TGY38" s="612"/>
      <c r="TGZ38" s="612"/>
      <c r="THA38" s="612"/>
      <c r="THB38" s="612"/>
      <c r="THC38" s="612"/>
      <c r="THD38" s="612"/>
      <c r="THE38" s="612"/>
      <c r="THF38" s="612"/>
      <c r="THG38" s="612"/>
      <c r="THH38" s="612"/>
      <c r="THI38" s="612"/>
      <c r="THJ38" s="612"/>
      <c r="THK38" s="612"/>
      <c r="THL38" s="612"/>
      <c r="THM38" s="612"/>
      <c r="THN38" s="612"/>
      <c r="THO38" s="612"/>
      <c r="THP38" s="612"/>
      <c r="THQ38" s="612"/>
      <c r="THR38" s="612"/>
      <c r="THS38" s="612"/>
      <c r="THT38" s="612"/>
      <c r="THU38" s="612"/>
      <c r="THV38" s="612"/>
      <c r="THW38" s="612"/>
      <c r="THX38" s="612"/>
      <c r="THY38" s="612"/>
      <c r="THZ38" s="612"/>
      <c r="TIA38" s="612"/>
      <c r="TIB38" s="612"/>
      <c r="TIC38" s="612"/>
      <c r="TID38" s="612"/>
      <c r="TIE38" s="612"/>
      <c r="TIF38" s="612"/>
      <c r="TIG38" s="612"/>
      <c r="TIH38" s="612"/>
      <c r="TII38" s="612"/>
      <c r="TIJ38" s="612"/>
      <c r="TIK38" s="612"/>
      <c r="TIL38" s="612"/>
      <c r="TIM38" s="612"/>
      <c r="TIN38" s="612"/>
      <c r="TIO38" s="612"/>
      <c r="TIP38" s="612"/>
      <c r="TIQ38" s="612"/>
      <c r="TIR38" s="612"/>
      <c r="TIS38" s="612"/>
      <c r="TIT38" s="612"/>
      <c r="TIU38" s="612"/>
      <c r="TIV38" s="612"/>
      <c r="TIW38" s="612"/>
      <c r="TIX38" s="612"/>
      <c r="TIY38" s="612"/>
      <c r="TIZ38" s="612"/>
      <c r="TJA38" s="612"/>
      <c r="TJB38" s="612"/>
      <c r="TJC38" s="612"/>
      <c r="TJD38" s="612"/>
      <c r="TJE38" s="612"/>
      <c r="TJF38" s="612"/>
      <c r="TJG38" s="612"/>
      <c r="TJH38" s="612"/>
      <c r="TJI38" s="612"/>
      <c r="TJJ38" s="612"/>
      <c r="TJK38" s="612"/>
      <c r="TJL38" s="612"/>
      <c r="TJM38" s="612"/>
      <c r="TJN38" s="612"/>
      <c r="TJO38" s="612"/>
      <c r="TJP38" s="612"/>
      <c r="TJQ38" s="612"/>
      <c r="TJR38" s="612"/>
      <c r="TJS38" s="612"/>
      <c r="TJT38" s="612"/>
      <c r="TJU38" s="612"/>
      <c r="TJV38" s="612"/>
      <c r="TJW38" s="612"/>
      <c r="TJX38" s="612"/>
      <c r="TJY38" s="612"/>
      <c r="TJZ38" s="612"/>
      <c r="TKA38" s="612"/>
      <c r="TKB38" s="612"/>
      <c r="TKC38" s="612"/>
      <c r="TKD38" s="612"/>
      <c r="TKE38" s="612"/>
      <c r="TKF38" s="612"/>
      <c r="TKG38" s="612"/>
      <c r="TKH38" s="612"/>
      <c r="TKI38" s="612"/>
      <c r="TKJ38" s="612"/>
      <c r="TKK38" s="612"/>
      <c r="TKL38" s="612"/>
      <c r="TKM38" s="612"/>
      <c r="TKN38" s="612"/>
      <c r="TKO38" s="612"/>
      <c r="TKP38" s="612"/>
      <c r="TKQ38" s="612"/>
      <c r="TKR38" s="612"/>
      <c r="TKS38" s="612"/>
      <c r="TKT38" s="612"/>
      <c r="TKU38" s="612"/>
      <c r="TKV38" s="612"/>
      <c r="TKW38" s="612"/>
      <c r="TKX38" s="612"/>
      <c r="TKY38" s="612"/>
      <c r="TKZ38" s="612"/>
      <c r="TLA38" s="612"/>
      <c r="TLB38" s="612"/>
      <c r="TLC38" s="612"/>
      <c r="TLD38" s="612"/>
      <c r="TLE38" s="612"/>
      <c r="TLF38" s="612"/>
      <c r="TLG38" s="612"/>
      <c r="TLH38" s="612"/>
      <c r="TLI38" s="612"/>
      <c r="TLJ38" s="612"/>
      <c r="TLK38" s="612"/>
      <c r="TLL38" s="612"/>
      <c r="TLM38" s="612"/>
      <c r="TLN38" s="612"/>
      <c r="TLO38" s="612"/>
      <c r="TLP38" s="612"/>
      <c r="TLQ38" s="612"/>
      <c r="TLR38" s="612"/>
      <c r="TLS38" s="612"/>
      <c r="TLT38" s="612"/>
      <c r="TLU38" s="612"/>
      <c r="TLV38" s="612"/>
      <c r="TLW38" s="612"/>
      <c r="TLX38" s="612"/>
      <c r="TLY38" s="612"/>
      <c r="TLZ38" s="612"/>
      <c r="TMA38" s="612"/>
      <c r="TMB38" s="612"/>
      <c r="TMC38" s="612"/>
      <c r="TMD38" s="612"/>
      <c r="TME38" s="612"/>
      <c r="TMF38" s="612"/>
      <c r="TMG38" s="612"/>
      <c r="TMH38" s="612"/>
      <c r="TMI38" s="612"/>
      <c r="TMJ38" s="612"/>
      <c r="TMK38" s="612"/>
      <c r="TML38" s="612"/>
      <c r="TMM38" s="612"/>
      <c r="TMN38" s="612"/>
      <c r="TMO38" s="612"/>
      <c r="TMP38" s="612"/>
      <c r="TMQ38" s="612"/>
      <c r="TMR38" s="612"/>
      <c r="TMS38" s="612"/>
      <c r="TMT38" s="612"/>
      <c r="TMU38" s="612"/>
      <c r="TMV38" s="612"/>
      <c r="TMW38" s="612"/>
      <c r="TMX38" s="612"/>
      <c r="TMY38" s="612"/>
      <c r="TMZ38" s="612"/>
      <c r="TNA38" s="612"/>
      <c r="TNB38" s="612"/>
      <c r="TNC38" s="612"/>
      <c r="TND38" s="612"/>
      <c r="TNE38" s="612"/>
      <c r="TNF38" s="612"/>
      <c r="TNG38" s="612"/>
      <c r="TNH38" s="612"/>
      <c r="TNI38" s="612"/>
      <c r="TNJ38" s="612"/>
      <c r="TNK38" s="612"/>
      <c r="TNL38" s="612"/>
      <c r="TNM38" s="612"/>
      <c r="TNN38" s="612"/>
      <c r="TNO38" s="612"/>
      <c r="TNP38" s="612"/>
      <c r="TNQ38" s="612"/>
      <c r="TNR38" s="612"/>
      <c r="TNS38" s="612"/>
      <c r="TNT38" s="612"/>
      <c r="TNU38" s="612"/>
      <c r="TNV38" s="612"/>
      <c r="TNW38" s="612"/>
      <c r="TNX38" s="612"/>
      <c r="TNY38" s="612"/>
      <c r="TNZ38" s="612"/>
      <c r="TOA38" s="612"/>
      <c r="TOB38" s="612"/>
      <c r="TOC38" s="612"/>
      <c r="TOD38" s="612"/>
      <c r="TOE38" s="612"/>
      <c r="TOF38" s="612"/>
      <c r="TOG38" s="612"/>
      <c r="TOH38" s="612"/>
      <c r="TOI38" s="612"/>
      <c r="TOJ38" s="612"/>
      <c r="TOK38" s="612"/>
      <c r="TOL38" s="612"/>
      <c r="TOM38" s="612"/>
      <c r="TON38" s="612"/>
      <c r="TOO38" s="612"/>
      <c r="TOP38" s="612"/>
      <c r="TOQ38" s="612"/>
      <c r="TOR38" s="612"/>
      <c r="TOS38" s="612"/>
      <c r="TOT38" s="612"/>
      <c r="TOU38" s="612"/>
      <c r="TOV38" s="612"/>
      <c r="TOW38" s="612"/>
      <c r="TOX38" s="612"/>
      <c r="TOY38" s="612"/>
      <c r="TOZ38" s="612"/>
      <c r="TPA38" s="612"/>
      <c r="TPB38" s="612"/>
      <c r="TPC38" s="612"/>
      <c r="TPD38" s="612"/>
      <c r="TPE38" s="612"/>
      <c r="TPF38" s="612"/>
      <c r="TPG38" s="612"/>
      <c r="TPH38" s="612"/>
      <c r="TPI38" s="612"/>
      <c r="TPJ38" s="612"/>
      <c r="TPK38" s="612"/>
      <c r="TPL38" s="612"/>
      <c r="TPM38" s="612"/>
      <c r="TPN38" s="612"/>
      <c r="TPO38" s="612"/>
      <c r="TPP38" s="612"/>
      <c r="TPQ38" s="612"/>
      <c r="TPR38" s="612"/>
      <c r="TPS38" s="612"/>
      <c r="TPT38" s="612"/>
      <c r="TPU38" s="612"/>
      <c r="TPV38" s="612"/>
      <c r="TPW38" s="612"/>
      <c r="TPX38" s="612"/>
      <c r="TPY38" s="612"/>
      <c r="TPZ38" s="612"/>
      <c r="TQA38" s="612"/>
      <c r="TQB38" s="612"/>
      <c r="TQC38" s="612"/>
      <c r="TQD38" s="612"/>
      <c r="TQE38" s="612"/>
      <c r="TQF38" s="612"/>
      <c r="TQG38" s="612"/>
      <c r="TQH38" s="612"/>
      <c r="TQI38" s="612"/>
      <c r="TQJ38" s="612"/>
      <c r="TQK38" s="612"/>
      <c r="TQL38" s="612"/>
      <c r="TQM38" s="612"/>
      <c r="TQN38" s="612"/>
      <c r="TQO38" s="612"/>
      <c r="TQP38" s="612"/>
      <c r="TQQ38" s="612"/>
      <c r="TQR38" s="612"/>
      <c r="TQS38" s="612"/>
      <c r="TQT38" s="612"/>
      <c r="TQU38" s="612"/>
      <c r="TQV38" s="612"/>
      <c r="TQW38" s="612"/>
      <c r="TQX38" s="612"/>
      <c r="TQY38" s="612"/>
      <c r="TQZ38" s="612"/>
      <c r="TRA38" s="612"/>
      <c r="TRB38" s="612"/>
      <c r="TRC38" s="612"/>
      <c r="TRD38" s="612"/>
      <c r="TRE38" s="612"/>
      <c r="TRF38" s="612"/>
      <c r="TRG38" s="612"/>
      <c r="TRH38" s="612"/>
      <c r="TRI38" s="612"/>
      <c r="TRJ38" s="612"/>
      <c r="TRK38" s="612"/>
      <c r="TRL38" s="612"/>
      <c r="TRM38" s="612"/>
      <c r="TRN38" s="612"/>
      <c r="TRO38" s="612"/>
      <c r="TRP38" s="612"/>
      <c r="TRQ38" s="612"/>
      <c r="TRR38" s="612"/>
      <c r="TRS38" s="612"/>
      <c r="TRT38" s="612"/>
      <c r="TRU38" s="612"/>
      <c r="TRV38" s="612"/>
      <c r="TRW38" s="612"/>
      <c r="TRX38" s="612"/>
      <c r="TRY38" s="612"/>
      <c r="TRZ38" s="612"/>
      <c r="TSA38" s="612"/>
      <c r="TSB38" s="612"/>
      <c r="TSC38" s="612"/>
      <c r="TSD38" s="612"/>
      <c r="TSE38" s="612"/>
      <c r="TSF38" s="612"/>
      <c r="TSG38" s="612"/>
      <c r="TSH38" s="612"/>
      <c r="TSI38" s="612"/>
      <c r="TSJ38" s="612"/>
      <c r="TSK38" s="612"/>
      <c r="TSL38" s="612"/>
      <c r="TSM38" s="612"/>
      <c r="TSN38" s="612"/>
      <c r="TSO38" s="612"/>
      <c r="TSP38" s="612"/>
      <c r="TSQ38" s="612"/>
      <c r="TSR38" s="612"/>
      <c r="TSS38" s="612"/>
      <c r="TST38" s="612"/>
      <c r="TSU38" s="612"/>
      <c r="TSV38" s="612"/>
      <c r="TSW38" s="612"/>
      <c r="TSX38" s="612"/>
      <c r="TSY38" s="612"/>
      <c r="TSZ38" s="612"/>
      <c r="TTA38" s="612"/>
      <c r="TTB38" s="612"/>
      <c r="TTC38" s="612"/>
      <c r="TTD38" s="612"/>
      <c r="TTE38" s="612"/>
      <c r="TTF38" s="612"/>
      <c r="TTG38" s="612"/>
      <c r="TTH38" s="612"/>
      <c r="TTI38" s="612"/>
      <c r="TTJ38" s="612"/>
      <c r="TTK38" s="612"/>
      <c r="TTL38" s="612"/>
      <c r="TTM38" s="612"/>
      <c r="TTN38" s="612"/>
      <c r="TTO38" s="612"/>
      <c r="TTP38" s="612"/>
      <c r="TTQ38" s="612"/>
      <c r="TTR38" s="612"/>
      <c r="TTS38" s="612"/>
      <c r="TTT38" s="612"/>
      <c r="TTU38" s="612"/>
      <c r="TTV38" s="612"/>
      <c r="TTW38" s="612"/>
      <c r="TTX38" s="612"/>
      <c r="TTY38" s="612"/>
      <c r="TTZ38" s="612"/>
      <c r="TUA38" s="612"/>
      <c r="TUB38" s="612"/>
      <c r="TUC38" s="612"/>
      <c r="TUD38" s="612"/>
      <c r="TUE38" s="612"/>
      <c r="TUF38" s="612"/>
      <c r="TUG38" s="612"/>
      <c r="TUH38" s="612"/>
      <c r="TUI38" s="612"/>
      <c r="TUJ38" s="612"/>
      <c r="TUK38" s="612"/>
      <c r="TUL38" s="612"/>
      <c r="TUM38" s="612"/>
      <c r="TUN38" s="612"/>
      <c r="TUO38" s="612"/>
      <c r="TUP38" s="612"/>
      <c r="TUQ38" s="612"/>
      <c r="TUR38" s="612"/>
      <c r="TUS38" s="612"/>
      <c r="TUT38" s="612"/>
      <c r="TUU38" s="612"/>
      <c r="TUV38" s="612"/>
      <c r="TUW38" s="612"/>
      <c r="TUX38" s="612"/>
      <c r="TUY38" s="612"/>
      <c r="TUZ38" s="612"/>
      <c r="TVA38" s="612"/>
      <c r="TVB38" s="612"/>
      <c r="TVC38" s="612"/>
      <c r="TVD38" s="612"/>
      <c r="TVE38" s="612"/>
      <c r="TVF38" s="612"/>
      <c r="TVG38" s="612"/>
      <c r="TVH38" s="612"/>
      <c r="TVI38" s="612"/>
      <c r="TVJ38" s="612"/>
      <c r="TVK38" s="612"/>
      <c r="TVL38" s="612"/>
      <c r="TVM38" s="612"/>
      <c r="TVN38" s="612"/>
      <c r="TVO38" s="612"/>
      <c r="TVP38" s="612"/>
      <c r="TVQ38" s="612"/>
      <c r="TVR38" s="612"/>
      <c r="TVS38" s="612"/>
      <c r="TVT38" s="612"/>
      <c r="TVU38" s="612"/>
      <c r="TVV38" s="612"/>
      <c r="TVW38" s="612"/>
      <c r="TVX38" s="612"/>
      <c r="TVY38" s="612"/>
      <c r="TVZ38" s="612"/>
      <c r="TWA38" s="612"/>
      <c r="TWB38" s="612"/>
      <c r="TWC38" s="612"/>
      <c r="TWD38" s="612"/>
      <c r="TWE38" s="612"/>
      <c r="TWF38" s="612"/>
      <c r="TWG38" s="612"/>
      <c r="TWH38" s="612"/>
      <c r="TWI38" s="612"/>
      <c r="TWJ38" s="612"/>
      <c r="TWK38" s="612"/>
      <c r="TWL38" s="612"/>
      <c r="TWM38" s="612"/>
      <c r="TWN38" s="612"/>
      <c r="TWO38" s="612"/>
      <c r="TWP38" s="612"/>
      <c r="TWQ38" s="612"/>
      <c r="TWR38" s="612"/>
      <c r="TWS38" s="612"/>
      <c r="TWT38" s="612"/>
      <c r="TWU38" s="612"/>
      <c r="TWV38" s="612"/>
      <c r="TWW38" s="612"/>
      <c r="TWX38" s="612"/>
      <c r="TWY38" s="612"/>
      <c r="TWZ38" s="612"/>
      <c r="TXA38" s="612"/>
      <c r="TXB38" s="612"/>
      <c r="TXC38" s="612"/>
      <c r="TXD38" s="612"/>
      <c r="TXE38" s="612"/>
      <c r="TXF38" s="612"/>
      <c r="TXG38" s="612"/>
      <c r="TXH38" s="612"/>
      <c r="TXI38" s="612"/>
      <c r="TXJ38" s="612"/>
      <c r="TXK38" s="612"/>
      <c r="TXL38" s="612"/>
      <c r="TXM38" s="612"/>
      <c r="TXN38" s="612"/>
      <c r="TXO38" s="612"/>
      <c r="TXP38" s="612"/>
      <c r="TXQ38" s="612"/>
      <c r="TXR38" s="612"/>
      <c r="TXS38" s="612"/>
      <c r="TXT38" s="612"/>
      <c r="TXU38" s="612"/>
      <c r="TXV38" s="612"/>
      <c r="TXW38" s="612"/>
      <c r="TXX38" s="612"/>
      <c r="TXY38" s="612"/>
      <c r="TXZ38" s="612"/>
      <c r="TYA38" s="612"/>
      <c r="TYB38" s="612"/>
      <c r="TYC38" s="612"/>
      <c r="TYD38" s="612"/>
      <c r="TYE38" s="612"/>
      <c r="TYF38" s="612"/>
      <c r="TYG38" s="612"/>
      <c r="TYH38" s="612"/>
      <c r="TYI38" s="612"/>
      <c r="TYJ38" s="612"/>
      <c r="TYK38" s="612"/>
      <c r="TYL38" s="612"/>
      <c r="TYM38" s="612"/>
      <c r="TYN38" s="612"/>
      <c r="TYO38" s="612"/>
      <c r="TYP38" s="612"/>
      <c r="TYQ38" s="612"/>
      <c r="TYR38" s="612"/>
      <c r="TYS38" s="612"/>
      <c r="TYT38" s="612"/>
      <c r="TYU38" s="612"/>
      <c r="TYV38" s="612"/>
      <c r="TYW38" s="612"/>
      <c r="TYX38" s="612"/>
      <c r="TYY38" s="612"/>
      <c r="TYZ38" s="612"/>
      <c r="TZA38" s="612"/>
      <c r="TZB38" s="612"/>
      <c r="TZC38" s="612"/>
      <c r="TZD38" s="612"/>
      <c r="TZE38" s="612"/>
      <c r="TZF38" s="612"/>
      <c r="TZG38" s="612"/>
      <c r="TZH38" s="612"/>
      <c r="TZI38" s="612"/>
      <c r="TZJ38" s="612"/>
      <c r="TZK38" s="612"/>
      <c r="TZL38" s="612"/>
      <c r="TZM38" s="612"/>
      <c r="TZN38" s="612"/>
      <c r="TZO38" s="612"/>
      <c r="TZP38" s="612"/>
      <c r="TZQ38" s="612"/>
      <c r="TZR38" s="612"/>
      <c r="TZS38" s="612"/>
      <c r="TZT38" s="612"/>
      <c r="TZU38" s="612"/>
      <c r="TZV38" s="612"/>
      <c r="TZW38" s="612"/>
      <c r="TZX38" s="612"/>
      <c r="TZY38" s="612"/>
      <c r="TZZ38" s="612"/>
      <c r="UAA38" s="612"/>
      <c r="UAB38" s="612"/>
      <c r="UAC38" s="612"/>
      <c r="UAD38" s="612"/>
      <c r="UAE38" s="612"/>
      <c r="UAF38" s="612"/>
      <c r="UAG38" s="612"/>
      <c r="UAH38" s="612"/>
      <c r="UAI38" s="612"/>
      <c r="UAJ38" s="612"/>
      <c r="UAK38" s="612"/>
      <c r="UAL38" s="612"/>
      <c r="UAM38" s="612"/>
      <c r="UAN38" s="612"/>
      <c r="UAO38" s="612"/>
      <c r="UAP38" s="612"/>
      <c r="UAQ38" s="612"/>
      <c r="UAR38" s="612"/>
      <c r="UAS38" s="612"/>
      <c r="UAT38" s="612"/>
      <c r="UAU38" s="612"/>
      <c r="UAV38" s="612"/>
      <c r="UAW38" s="612"/>
      <c r="UAX38" s="612"/>
      <c r="UAY38" s="612"/>
      <c r="UAZ38" s="612"/>
      <c r="UBA38" s="612"/>
      <c r="UBB38" s="612"/>
      <c r="UBC38" s="612"/>
      <c r="UBD38" s="612"/>
      <c r="UBE38" s="612"/>
      <c r="UBF38" s="612"/>
      <c r="UBG38" s="612"/>
      <c r="UBH38" s="612"/>
      <c r="UBI38" s="612"/>
      <c r="UBJ38" s="612"/>
      <c r="UBK38" s="612"/>
      <c r="UBL38" s="612"/>
      <c r="UBM38" s="612"/>
      <c r="UBN38" s="612"/>
      <c r="UBO38" s="612"/>
      <c r="UBP38" s="612"/>
      <c r="UBQ38" s="612"/>
      <c r="UBR38" s="612"/>
      <c r="UBS38" s="612"/>
      <c r="UBT38" s="612"/>
      <c r="UBU38" s="612"/>
      <c r="UBV38" s="612"/>
      <c r="UBW38" s="612"/>
      <c r="UBX38" s="612"/>
      <c r="UBY38" s="612"/>
      <c r="UBZ38" s="612"/>
      <c r="UCA38" s="612"/>
      <c r="UCB38" s="612"/>
      <c r="UCC38" s="612"/>
      <c r="UCD38" s="612"/>
      <c r="UCE38" s="612"/>
      <c r="UCF38" s="612"/>
      <c r="UCG38" s="612"/>
      <c r="UCH38" s="612"/>
      <c r="UCI38" s="612"/>
      <c r="UCJ38" s="612"/>
      <c r="UCK38" s="612"/>
      <c r="UCL38" s="612"/>
      <c r="UCM38" s="612"/>
      <c r="UCN38" s="612"/>
      <c r="UCO38" s="612"/>
      <c r="UCP38" s="612"/>
      <c r="UCQ38" s="612"/>
      <c r="UCR38" s="612"/>
      <c r="UCS38" s="612"/>
      <c r="UCT38" s="612"/>
      <c r="UCU38" s="612"/>
      <c r="UCV38" s="612"/>
      <c r="UCW38" s="612"/>
      <c r="UCX38" s="612"/>
      <c r="UCY38" s="612"/>
      <c r="UCZ38" s="612"/>
      <c r="UDA38" s="612"/>
      <c r="UDB38" s="612"/>
      <c r="UDC38" s="612"/>
      <c r="UDD38" s="612"/>
      <c r="UDE38" s="612"/>
      <c r="UDF38" s="612"/>
      <c r="UDG38" s="612"/>
      <c r="UDH38" s="612"/>
      <c r="UDI38" s="612"/>
      <c r="UDJ38" s="612"/>
      <c r="UDK38" s="612"/>
      <c r="UDL38" s="612"/>
      <c r="UDM38" s="612"/>
      <c r="UDN38" s="612"/>
      <c r="UDO38" s="612"/>
      <c r="UDP38" s="612"/>
      <c r="UDQ38" s="612"/>
      <c r="UDR38" s="612"/>
      <c r="UDS38" s="612"/>
      <c r="UDT38" s="612"/>
      <c r="UDU38" s="612"/>
      <c r="UDV38" s="612"/>
      <c r="UDW38" s="612"/>
      <c r="UDX38" s="612"/>
      <c r="UDY38" s="612"/>
      <c r="UDZ38" s="612"/>
      <c r="UEA38" s="612"/>
      <c r="UEB38" s="612"/>
      <c r="UEC38" s="612"/>
      <c r="UED38" s="612"/>
      <c r="UEE38" s="612"/>
      <c r="UEF38" s="612"/>
      <c r="UEG38" s="612"/>
      <c r="UEH38" s="612"/>
      <c r="UEI38" s="612"/>
      <c r="UEJ38" s="612"/>
      <c r="UEK38" s="612"/>
      <c r="UEL38" s="612"/>
      <c r="UEM38" s="612"/>
      <c r="UEN38" s="612"/>
      <c r="UEO38" s="612"/>
      <c r="UEP38" s="612"/>
      <c r="UEQ38" s="612"/>
      <c r="UER38" s="612"/>
      <c r="UES38" s="612"/>
      <c r="UET38" s="612"/>
      <c r="UEU38" s="612"/>
      <c r="UEV38" s="612"/>
      <c r="UEW38" s="612"/>
      <c r="UEX38" s="612"/>
      <c r="UEY38" s="612"/>
      <c r="UEZ38" s="612"/>
      <c r="UFA38" s="612"/>
      <c r="UFB38" s="612"/>
      <c r="UFC38" s="612"/>
      <c r="UFD38" s="612"/>
      <c r="UFE38" s="612"/>
      <c r="UFF38" s="612"/>
      <c r="UFG38" s="612"/>
      <c r="UFH38" s="612"/>
      <c r="UFI38" s="612"/>
      <c r="UFJ38" s="612"/>
      <c r="UFK38" s="612"/>
      <c r="UFL38" s="612"/>
      <c r="UFM38" s="612"/>
      <c r="UFN38" s="612"/>
      <c r="UFO38" s="612"/>
      <c r="UFP38" s="612"/>
      <c r="UFQ38" s="612"/>
      <c r="UFR38" s="612"/>
      <c r="UFS38" s="612"/>
      <c r="UFT38" s="612"/>
      <c r="UFU38" s="612"/>
      <c r="UFV38" s="612"/>
      <c r="UFW38" s="612"/>
      <c r="UFX38" s="612"/>
      <c r="UFY38" s="612"/>
      <c r="UFZ38" s="612"/>
      <c r="UGA38" s="612"/>
      <c r="UGB38" s="612"/>
      <c r="UGC38" s="612"/>
      <c r="UGD38" s="612"/>
      <c r="UGE38" s="612"/>
      <c r="UGF38" s="612"/>
      <c r="UGG38" s="612"/>
      <c r="UGH38" s="612"/>
      <c r="UGI38" s="612"/>
      <c r="UGJ38" s="612"/>
      <c r="UGK38" s="612"/>
      <c r="UGL38" s="612"/>
      <c r="UGM38" s="612"/>
      <c r="UGN38" s="612"/>
      <c r="UGO38" s="612"/>
      <c r="UGP38" s="612"/>
      <c r="UGQ38" s="612"/>
      <c r="UGR38" s="612"/>
      <c r="UGS38" s="612"/>
      <c r="UGT38" s="612"/>
      <c r="UGU38" s="612"/>
      <c r="UGV38" s="612"/>
      <c r="UGW38" s="612"/>
      <c r="UGX38" s="612"/>
      <c r="UGY38" s="612"/>
      <c r="UGZ38" s="612"/>
      <c r="UHA38" s="612"/>
      <c r="UHB38" s="612"/>
      <c r="UHC38" s="612"/>
      <c r="UHD38" s="612"/>
      <c r="UHE38" s="612"/>
      <c r="UHF38" s="612"/>
      <c r="UHG38" s="612"/>
      <c r="UHH38" s="612"/>
      <c r="UHI38" s="612"/>
      <c r="UHJ38" s="612"/>
      <c r="UHK38" s="612"/>
      <c r="UHL38" s="612"/>
      <c r="UHM38" s="612"/>
      <c r="UHN38" s="612"/>
      <c r="UHO38" s="612"/>
      <c r="UHP38" s="612"/>
      <c r="UHQ38" s="612"/>
      <c r="UHR38" s="612"/>
      <c r="UHS38" s="612"/>
      <c r="UHT38" s="612"/>
      <c r="UHU38" s="612"/>
      <c r="UHV38" s="612"/>
      <c r="UHW38" s="612"/>
      <c r="UHX38" s="612"/>
      <c r="UHY38" s="612"/>
      <c r="UHZ38" s="612"/>
      <c r="UIA38" s="612"/>
      <c r="UIB38" s="612"/>
      <c r="UIC38" s="612"/>
      <c r="UID38" s="612"/>
      <c r="UIE38" s="612"/>
      <c r="UIF38" s="612"/>
      <c r="UIG38" s="612"/>
      <c r="UIH38" s="612"/>
      <c r="UII38" s="612"/>
      <c r="UIJ38" s="612"/>
      <c r="UIK38" s="612"/>
      <c r="UIL38" s="612"/>
      <c r="UIM38" s="612"/>
      <c r="UIN38" s="612"/>
      <c r="UIO38" s="612"/>
      <c r="UIP38" s="612"/>
      <c r="UIQ38" s="612"/>
      <c r="UIR38" s="612"/>
      <c r="UIS38" s="612"/>
      <c r="UIT38" s="612"/>
      <c r="UIU38" s="612"/>
      <c r="UIV38" s="612"/>
      <c r="UIW38" s="612"/>
      <c r="UIX38" s="612"/>
      <c r="UIY38" s="612"/>
      <c r="UIZ38" s="612"/>
      <c r="UJA38" s="612"/>
      <c r="UJB38" s="612"/>
      <c r="UJC38" s="612"/>
      <c r="UJD38" s="612"/>
      <c r="UJE38" s="612"/>
      <c r="UJF38" s="612"/>
      <c r="UJG38" s="612"/>
      <c r="UJH38" s="612"/>
      <c r="UJI38" s="612"/>
      <c r="UJJ38" s="612"/>
      <c r="UJK38" s="612"/>
      <c r="UJL38" s="612"/>
      <c r="UJM38" s="612"/>
      <c r="UJN38" s="612"/>
      <c r="UJO38" s="612"/>
      <c r="UJP38" s="612"/>
      <c r="UJQ38" s="612"/>
      <c r="UJR38" s="612"/>
      <c r="UJS38" s="612"/>
      <c r="UJT38" s="612"/>
      <c r="UJU38" s="612"/>
      <c r="UJV38" s="612"/>
      <c r="UJW38" s="612"/>
      <c r="UJX38" s="612"/>
      <c r="UJY38" s="612"/>
      <c r="UJZ38" s="612"/>
      <c r="UKA38" s="612"/>
      <c r="UKB38" s="612"/>
      <c r="UKC38" s="612"/>
      <c r="UKD38" s="612"/>
      <c r="UKE38" s="612"/>
      <c r="UKF38" s="612"/>
      <c r="UKG38" s="612"/>
      <c r="UKH38" s="612"/>
      <c r="UKI38" s="612"/>
      <c r="UKJ38" s="612"/>
      <c r="UKK38" s="612"/>
      <c r="UKL38" s="612"/>
      <c r="UKM38" s="612"/>
      <c r="UKN38" s="612"/>
      <c r="UKO38" s="612"/>
      <c r="UKP38" s="612"/>
      <c r="UKQ38" s="612"/>
      <c r="UKR38" s="612"/>
      <c r="UKS38" s="612"/>
      <c r="UKT38" s="612"/>
      <c r="UKU38" s="612"/>
      <c r="UKV38" s="612"/>
      <c r="UKW38" s="612"/>
      <c r="UKX38" s="612"/>
      <c r="UKY38" s="612"/>
      <c r="UKZ38" s="612"/>
      <c r="ULA38" s="612"/>
      <c r="ULB38" s="612"/>
      <c r="ULC38" s="612"/>
      <c r="ULD38" s="612"/>
      <c r="ULE38" s="612"/>
      <c r="ULF38" s="612"/>
      <c r="ULG38" s="612"/>
      <c r="ULH38" s="612"/>
      <c r="ULI38" s="612"/>
      <c r="ULJ38" s="612"/>
      <c r="ULK38" s="612"/>
      <c r="ULL38" s="612"/>
      <c r="ULM38" s="612"/>
      <c r="ULN38" s="612"/>
      <c r="ULO38" s="612"/>
      <c r="ULP38" s="612"/>
      <c r="ULQ38" s="612"/>
      <c r="ULR38" s="612"/>
      <c r="ULS38" s="612"/>
      <c r="ULT38" s="612"/>
      <c r="ULU38" s="612"/>
      <c r="ULV38" s="612"/>
      <c r="ULW38" s="612"/>
      <c r="ULX38" s="612"/>
      <c r="ULY38" s="612"/>
      <c r="ULZ38" s="612"/>
      <c r="UMA38" s="612"/>
      <c r="UMB38" s="612"/>
      <c r="UMC38" s="612"/>
      <c r="UMD38" s="612"/>
      <c r="UME38" s="612"/>
      <c r="UMF38" s="612"/>
      <c r="UMG38" s="612"/>
      <c r="UMH38" s="612"/>
      <c r="UMI38" s="612"/>
      <c r="UMJ38" s="612"/>
      <c r="UMK38" s="612"/>
      <c r="UML38" s="612"/>
      <c r="UMM38" s="612"/>
      <c r="UMN38" s="612"/>
      <c r="UMO38" s="612"/>
      <c r="UMP38" s="612"/>
      <c r="UMQ38" s="612"/>
      <c r="UMR38" s="612"/>
      <c r="UMS38" s="612"/>
      <c r="UMT38" s="612"/>
      <c r="UMU38" s="612"/>
      <c r="UMV38" s="612"/>
      <c r="UMW38" s="612"/>
      <c r="UMX38" s="612"/>
      <c r="UMY38" s="612"/>
      <c r="UMZ38" s="612"/>
      <c r="UNA38" s="612"/>
      <c r="UNB38" s="612"/>
      <c r="UNC38" s="612"/>
      <c r="UND38" s="612"/>
      <c r="UNE38" s="612"/>
      <c r="UNF38" s="612"/>
      <c r="UNG38" s="612"/>
      <c r="UNH38" s="612"/>
      <c r="UNI38" s="612"/>
      <c r="UNJ38" s="612"/>
      <c r="UNK38" s="612"/>
      <c r="UNL38" s="612"/>
      <c r="UNM38" s="612"/>
      <c r="UNN38" s="612"/>
      <c r="UNO38" s="612"/>
      <c r="UNP38" s="612"/>
      <c r="UNQ38" s="612"/>
      <c r="UNR38" s="612"/>
      <c r="UNS38" s="612"/>
      <c r="UNT38" s="612"/>
      <c r="UNU38" s="612"/>
      <c r="UNV38" s="612"/>
      <c r="UNW38" s="612"/>
      <c r="UNX38" s="612"/>
      <c r="UNY38" s="612"/>
      <c r="UNZ38" s="612"/>
      <c r="UOA38" s="612"/>
      <c r="UOB38" s="612"/>
      <c r="UOC38" s="612"/>
      <c r="UOD38" s="612"/>
      <c r="UOE38" s="612"/>
      <c r="UOF38" s="612"/>
      <c r="UOG38" s="612"/>
      <c r="UOH38" s="612"/>
      <c r="UOI38" s="612"/>
      <c r="UOJ38" s="612"/>
      <c r="UOK38" s="612"/>
      <c r="UOL38" s="612"/>
      <c r="UOM38" s="612"/>
      <c r="UON38" s="612"/>
      <c r="UOO38" s="612"/>
      <c r="UOP38" s="612"/>
      <c r="UOQ38" s="612"/>
      <c r="UOR38" s="612"/>
      <c r="UOS38" s="612"/>
      <c r="UOT38" s="612"/>
      <c r="UOU38" s="612"/>
      <c r="UOV38" s="612"/>
      <c r="UOW38" s="612"/>
      <c r="UOX38" s="612"/>
      <c r="UOY38" s="612"/>
      <c r="UOZ38" s="612"/>
      <c r="UPA38" s="612"/>
      <c r="UPB38" s="612"/>
      <c r="UPC38" s="612"/>
      <c r="UPD38" s="612"/>
      <c r="UPE38" s="612"/>
      <c r="UPF38" s="612"/>
      <c r="UPG38" s="612"/>
      <c r="UPH38" s="612"/>
      <c r="UPI38" s="612"/>
      <c r="UPJ38" s="612"/>
      <c r="UPK38" s="612"/>
      <c r="UPL38" s="612"/>
      <c r="UPM38" s="612"/>
      <c r="UPN38" s="612"/>
      <c r="UPO38" s="612"/>
      <c r="UPP38" s="612"/>
      <c r="UPQ38" s="612"/>
      <c r="UPR38" s="612"/>
      <c r="UPS38" s="612"/>
      <c r="UPT38" s="612"/>
      <c r="UPU38" s="612"/>
      <c r="UPV38" s="612"/>
      <c r="UPW38" s="612"/>
      <c r="UPX38" s="612"/>
      <c r="UPY38" s="612"/>
      <c r="UPZ38" s="612"/>
      <c r="UQA38" s="612"/>
      <c r="UQB38" s="612"/>
      <c r="UQC38" s="612"/>
      <c r="UQD38" s="612"/>
      <c r="UQE38" s="612"/>
      <c r="UQF38" s="612"/>
      <c r="UQG38" s="612"/>
      <c r="UQH38" s="612"/>
      <c r="UQI38" s="612"/>
      <c r="UQJ38" s="612"/>
      <c r="UQK38" s="612"/>
      <c r="UQL38" s="612"/>
      <c r="UQM38" s="612"/>
      <c r="UQN38" s="612"/>
      <c r="UQO38" s="612"/>
      <c r="UQP38" s="612"/>
      <c r="UQQ38" s="612"/>
      <c r="UQR38" s="612"/>
      <c r="UQS38" s="612"/>
      <c r="UQT38" s="612"/>
      <c r="UQU38" s="612"/>
      <c r="UQV38" s="612"/>
      <c r="UQW38" s="612"/>
      <c r="UQX38" s="612"/>
      <c r="UQY38" s="612"/>
      <c r="UQZ38" s="612"/>
      <c r="URA38" s="612"/>
      <c r="URB38" s="612"/>
      <c r="URC38" s="612"/>
      <c r="URD38" s="612"/>
      <c r="URE38" s="612"/>
      <c r="URF38" s="612"/>
      <c r="URG38" s="612"/>
      <c r="URH38" s="612"/>
      <c r="URI38" s="612"/>
      <c r="URJ38" s="612"/>
      <c r="URK38" s="612"/>
      <c r="URL38" s="612"/>
      <c r="URM38" s="612"/>
      <c r="URN38" s="612"/>
      <c r="URO38" s="612"/>
      <c r="URP38" s="612"/>
      <c r="URQ38" s="612"/>
      <c r="URR38" s="612"/>
      <c r="URS38" s="612"/>
      <c r="URT38" s="612"/>
      <c r="URU38" s="612"/>
      <c r="URV38" s="612"/>
      <c r="URW38" s="612"/>
      <c r="URX38" s="612"/>
      <c r="URY38" s="612"/>
      <c r="URZ38" s="612"/>
      <c r="USA38" s="612"/>
      <c r="USB38" s="612"/>
      <c r="USC38" s="612"/>
      <c r="USD38" s="612"/>
      <c r="USE38" s="612"/>
      <c r="USF38" s="612"/>
      <c r="USG38" s="612"/>
      <c r="USH38" s="612"/>
      <c r="USI38" s="612"/>
      <c r="USJ38" s="612"/>
      <c r="USK38" s="612"/>
      <c r="USL38" s="612"/>
      <c r="USM38" s="612"/>
      <c r="USN38" s="612"/>
      <c r="USO38" s="612"/>
      <c r="USP38" s="612"/>
      <c r="USQ38" s="612"/>
      <c r="USR38" s="612"/>
      <c r="USS38" s="612"/>
      <c r="UST38" s="612"/>
      <c r="USU38" s="612"/>
      <c r="USV38" s="612"/>
      <c r="USW38" s="612"/>
      <c r="USX38" s="612"/>
      <c r="USY38" s="612"/>
      <c r="USZ38" s="612"/>
      <c r="UTA38" s="612"/>
      <c r="UTB38" s="612"/>
      <c r="UTC38" s="612"/>
      <c r="UTD38" s="612"/>
      <c r="UTE38" s="612"/>
      <c r="UTF38" s="612"/>
      <c r="UTG38" s="612"/>
      <c r="UTH38" s="612"/>
      <c r="UTI38" s="612"/>
      <c r="UTJ38" s="612"/>
      <c r="UTK38" s="612"/>
      <c r="UTL38" s="612"/>
      <c r="UTM38" s="612"/>
      <c r="UTN38" s="612"/>
      <c r="UTO38" s="612"/>
      <c r="UTP38" s="612"/>
      <c r="UTQ38" s="612"/>
      <c r="UTR38" s="612"/>
      <c r="UTS38" s="612"/>
      <c r="UTT38" s="612"/>
      <c r="UTU38" s="612"/>
      <c r="UTV38" s="612"/>
      <c r="UTW38" s="612"/>
      <c r="UTX38" s="612"/>
      <c r="UTY38" s="612"/>
      <c r="UTZ38" s="612"/>
      <c r="UUA38" s="612"/>
      <c r="UUB38" s="612"/>
      <c r="UUC38" s="612"/>
      <c r="UUD38" s="612"/>
      <c r="UUE38" s="612"/>
      <c r="UUF38" s="612"/>
      <c r="UUG38" s="612"/>
      <c r="UUH38" s="612"/>
      <c r="UUI38" s="612"/>
      <c r="UUJ38" s="612"/>
      <c r="UUK38" s="612"/>
      <c r="UUL38" s="612"/>
      <c r="UUM38" s="612"/>
      <c r="UUN38" s="612"/>
      <c r="UUO38" s="612"/>
      <c r="UUP38" s="612"/>
      <c r="UUQ38" s="612"/>
      <c r="UUR38" s="612"/>
      <c r="UUS38" s="612"/>
      <c r="UUT38" s="612"/>
      <c r="UUU38" s="612"/>
      <c r="UUV38" s="612"/>
      <c r="UUW38" s="612"/>
      <c r="UUX38" s="612"/>
      <c r="UUY38" s="612"/>
      <c r="UUZ38" s="612"/>
      <c r="UVA38" s="612"/>
      <c r="UVB38" s="612"/>
      <c r="UVC38" s="612"/>
      <c r="UVD38" s="612"/>
      <c r="UVE38" s="612"/>
      <c r="UVF38" s="612"/>
      <c r="UVG38" s="612"/>
      <c r="UVH38" s="612"/>
      <c r="UVI38" s="612"/>
      <c r="UVJ38" s="612"/>
      <c r="UVK38" s="612"/>
      <c r="UVL38" s="612"/>
      <c r="UVM38" s="612"/>
      <c r="UVN38" s="612"/>
      <c r="UVO38" s="612"/>
      <c r="UVP38" s="612"/>
      <c r="UVQ38" s="612"/>
      <c r="UVR38" s="612"/>
      <c r="UVS38" s="612"/>
      <c r="UVT38" s="612"/>
      <c r="UVU38" s="612"/>
      <c r="UVV38" s="612"/>
      <c r="UVW38" s="612"/>
      <c r="UVX38" s="612"/>
      <c r="UVY38" s="612"/>
      <c r="UVZ38" s="612"/>
      <c r="UWA38" s="612"/>
      <c r="UWB38" s="612"/>
      <c r="UWC38" s="612"/>
      <c r="UWD38" s="612"/>
      <c r="UWE38" s="612"/>
      <c r="UWF38" s="612"/>
      <c r="UWG38" s="612"/>
      <c r="UWH38" s="612"/>
      <c r="UWI38" s="612"/>
      <c r="UWJ38" s="612"/>
      <c r="UWK38" s="612"/>
      <c r="UWL38" s="612"/>
      <c r="UWM38" s="612"/>
      <c r="UWN38" s="612"/>
      <c r="UWO38" s="612"/>
      <c r="UWP38" s="612"/>
      <c r="UWQ38" s="612"/>
      <c r="UWR38" s="612"/>
      <c r="UWS38" s="612"/>
      <c r="UWT38" s="612"/>
      <c r="UWU38" s="612"/>
      <c r="UWV38" s="612"/>
      <c r="UWW38" s="612"/>
      <c r="UWX38" s="612"/>
      <c r="UWY38" s="612"/>
      <c r="UWZ38" s="612"/>
      <c r="UXA38" s="612"/>
      <c r="UXB38" s="612"/>
      <c r="UXC38" s="612"/>
      <c r="UXD38" s="612"/>
      <c r="UXE38" s="612"/>
      <c r="UXF38" s="612"/>
      <c r="UXG38" s="612"/>
      <c r="UXH38" s="612"/>
      <c r="UXI38" s="612"/>
      <c r="UXJ38" s="612"/>
      <c r="UXK38" s="612"/>
      <c r="UXL38" s="612"/>
      <c r="UXM38" s="612"/>
      <c r="UXN38" s="612"/>
      <c r="UXO38" s="612"/>
      <c r="UXP38" s="612"/>
      <c r="UXQ38" s="612"/>
      <c r="UXR38" s="612"/>
      <c r="UXS38" s="612"/>
      <c r="UXT38" s="612"/>
      <c r="UXU38" s="612"/>
      <c r="UXV38" s="612"/>
      <c r="UXW38" s="612"/>
      <c r="UXX38" s="612"/>
      <c r="UXY38" s="612"/>
      <c r="UXZ38" s="612"/>
      <c r="UYA38" s="612"/>
      <c r="UYB38" s="612"/>
      <c r="UYC38" s="612"/>
      <c r="UYD38" s="612"/>
      <c r="UYE38" s="612"/>
      <c r="UYF38" s="612"/>
      <c r="UYG38" s="612"/>
      <c r="UYH38" s="612"/>
      <c r="UYI38" s="612"/>
      <c r="UYJ38" s="612"/>
      <c r="UYK38" s="612"/>
      <c r="UYL38" s="612"/>
      <c r="UYM38" s="612"/>
      <c r="UYN38" s="612"/>
      <c r="UYO38" s="612"/>
      <c r="UYP38" s="612"/>
      <c r="UYQ38" s="612"/>
      <c r="UYR38" s="612"/>
      <c r="UYS38" s="612"/>
      <c r="UYT38" s="612"/>
      <c r="UYU38" s="612"/>
      <c r="UYV38" s="612"/>
      <c r="UYW38" s="612"/>
      <c r="UYX38" s="612"/>
      <c r="UYY38" s="612"/>
      <c r="UYZ38" s="612"/>
      <c r="UZA38" s="612"/>
      <c r="UZB38" s="612"/>
      <c r="UZC38" s="612"/>
      <c r="UZD38" s="612"/>
      <c r="UZE38" s="612"/>
      <c r="UZF38" s="612"/>
      <c r="UZG38" s="612"/>
      <c r="UZH38" s="612"/>
      <c r="UZI38" s="612"/>
      <c r="UZJ38" s="612"/>
      <c r="UZK38" s="612"/>
      <c r="UZL38" s="612"/>
      <c r="UZM38" s="612"/>
      <c r="UZN38" s="612"/>
      <c r="UZO38" s="612"/>
      <c r="UZP38" s="612"/>
      <c r="UZQ38" s="612"/>
      <c r="UZR38" s="612"/>
      <c r="UZS38" s="612"/>
      <c r="UZT38" s="612"/>
      <c r="UZU38" s="612"/>
      <c r="UZV38" s="612"/>
      <c r="UZW38" s="612"/>
      <c r="UZX38" s="612"/>
      <c r="UZY38" s="612"/>
      <c r="UZZ38" s="612"/>
      <c r="VAA38" s="612"/>
      <c r="VAB38" s="612"/>
      <c r="VAC38" s="612"/>
      <c r="VAD38" s="612"/>
      <c r="VAE38" s="612"/>
      <c r="VAF38" s="612"/>
      <c r="VAG38" s="612"/>
      <c r="VAH38" s="612"/>
      <c r="VAI38" s="612"/>
      <c r="VAJ38" s="612"/>
      <c r="VAK38" s="612"/>
      <c r="VAL38" s="612"/>
      <c r="VAM38" s="612"/>
      <c r="VAN38" s="612"/>
      <c r="VAO38" s="612"/>
      <c r="VAP38" s="612"/>
      <c r="VAQ38" s="612"/>
      <c r="VAR38" s="612"/>
      <c r="VAS38" s="612"/>
      <c r="VAT38" s="612"/>
      <c r="VAU38" s="612"/>
      <c r="VAV38" s="612"/>
      <c r="VAW38" s="612"/>
      <c r="VAX38" s="612"/>
      <c r="VAY38" s="612"/>
      <c r="VAZ38" s="612"/>
      <c r="VBA38" s="612"/>
      <c r="VBB38" s="612"/>
      <c r="VBC38" s="612"/>
      <c r="VBD38" s="612"/>
      <c r="VBE38" s="612"/>
      <c r="VBF38" s="612"/>
      <c r="VBG38" s="612"/>
      <c r="VBH38" s="612"/>
      <c r="VBI38" s="612"/>
      <c r="VBJ38" s="612"/>
      <c r="VBK38" s="612"/>
      <c r="VBL38" s="612"/>
      <c r="VBM38" s="612"/>
      <c r="VBN38" s="612"/>
      <c r="VBO38" s="612"/>
      <c r="VBP38" s="612"/>
      <c r="VBQ38" s="612"/>
      <c r="VBR38" s="612"/>
      <c r="VBS38" s="612"/>
      <c r="VBT38" s="612"/>
      <c r="VBU38" s="612"/>
      <c r="VBV38" s="612"/>
      <c r="VBW38" s="612"/>
      <c r="VBX38" s="612"/>
      <c r="VBY38" s="612"/>
      <c r="VBZ38" s="612"/>
      <c r="VCA38" s="612"/>
      <c r="VCB38" s="612"/>
      <c r="VCC38" s="612"/>
      <c r="VCD38" s="612"/>
      <c r="VCE38" s="612"/>
      <c r="VCF38" s="612"/>
      <c r="VCG38" s="612"/>
      <c r="VCH38" s="612"/>
      <c r="VCI38" s="612"/>
      <c r="VCJ38" s="612"/>
      <c r="VCK38" s="612"/>
      <c r="VCL38" s="612"/>
      <c r="VCM38" s="612"/>
      <c r="VCN38" s="612"/>
      <c r="VCO38" s="612"/>
      <c r="VCP38" s="612"/>
      <c r="VCQ38" s="612"/>
      <c r="VCR38" s="612"/>
      <c r="VCS38" s="612"/>
      <c r="VCT38" s="612"/>
      <c r="VCU38" s="612"/>
      <c r="VCV38" s="612"/>
      <c r="VCW38" s="612"/>
      <c r="VCX38" s="612"/>
      <c r="VCY38" s="612"/>
      <c r="VCZ38" s="612"/>
      <c r="VDA38" s="612"/>
      <c r="VDB38" s="612"/>
      <c r="VDC38" s="612"/>
      <c r="VDD38" s="612"/>
      <c r="VDE38" s="612"/>
      <c r="VDF38" s="612"/>
      <c r="VDG38" s="612"/>
      <c r="VDH38" s="612"/>
      <c r="VDI38" s="612"/>
      <c r="VDJ38" s="612"/>
      <c r="VDK38" s="612"/>
      <c r="VDL38" s="612"/>
      <c r="VDM38" s="612"/>
      <c r="VDN38" s="612"/>
      <c r="VDO38" s="612"/>
      <c r="VDP38" s="612"/>
      <c r="VDQ38" s="612"/>
      <c r="VDR38" s="612"/>
      <c r="VDS38" s="612"/>
      <c r="VDT38" s="612"/>
      <c r="VDU38" s="612"/>
      <c r="VDV38" s="612"/>
      <c r="VDW38" s="612"/>
      <c r="VDX38" s="612"/>
      <c r="VDY38" s="612"/>
      <c r="VDZ38" s="612"/>
      <c r="VEA38" s="612"/>
      <c r="VEB38" s="612"/>
      <c r="VEC38" s="612"/>
      <c r="VED38" s="612"/>
      <c r="VEE38" s="612"/>
      <c r="VEF38" s="612"/>
      <c r="VEG38" s="612"/>
      <c r="VEH38" s="612"/>
      <c r="VEI38" s="612"/>
      <c r="VEJ38" s="612"/>
      <c r="VEK38" s="612"/>
      <c r="VEL38" s="612"/>
      <c r="VEM38" s="612"/>
      <c r="VEN38" s="612"/>
      <c r="VEO38" s="612"/>
      <c r="VEP38" s="612"/>
      <c r="VEQ38" s="612"/>
      <c r="VER38" s="612"/>
      <c r="VES38" s="612"/>
      <c r="VET38" s="612"/>
      <c r="VEU38" s="612"/>
      <c r="VEV38" s="612"/>
      <c r="VEW38" s="612"/>
      <c r="VEX38" s="612"/>
      <c r="VEY38" s="612"/>
      <c r="VEZ38" s="612"/>
      <c r="VFA38" s="612"/>
      <c r="VFB38" s="612"/>
      <c r="VFC38" s="612"/>
      <c r="VFD38" s="612"/>
      <c r="VFE38" s="612"/>
      <c r="VFF38" s="612"/>
      <c r="VFG38" s="612"/>
      <c r="VFH38" s="612"/>
      <c r="VFI38" s="612"/>
      <c r="VFJ38" s="612"/>
      <c r="VFK38" s="612"/>
      <c r="VFL38" s="612"/>
      <c r="VFM38" s="612"/>
      <c r="VFN38" s="612"/>
      <c r="VFO38" s="612"/>
      <c r="VFP38" s="612"/>
      <c r="VFQ38" s="612"/>
      <c r="VFR38" s="612"/>
      <c r="VFS38" s="612"/>
      <c r="VFT38" s="612"/>
      <c r="VFU38" s="612"/>
      <c r="VFV38" s="612"/>
      <c r="VFW38" s="612"/>
      <c r="VFX38" s="612"/>
      <c r="VFY38" s="612"/>
      <c r="VFZ38" s="612"/>
      <c r="VGA38" s="612"/>
      <c r="VGB38" s="612"/>
      <c r="VGC38" s="612"/>
      <c r="VGD38" s="612"/>
      <c r="VGE38" s="612"/>
      <c r="VGF38" s="612"/>
      <c r="VGG38" s="612"/>
      <c r="VGH38" s="612"/>
      <c r="VGI38" s="612"/>
      <c r="VGJ38" s="612"/>
      <c r="VGK38" s="612"/>
      <c r="VGL38" s="612"/>
      <c r="VGM38" s="612"/>
      <c r="VGN38" s="612"/>
      <c r="VGO38" s="612"/>
      <c r="VGP38" s="612"/>
      <c r="VGQ38" s="612"/>
      <c r="VGR38" s="612"/>
      <c r="VGS38" s="612"/>
      <c r="VGT38" s="612"/>
      <c r="VGU38" s="612"/>
      <c r="VGV38" s="612"/>
      <c r="VGW38" s="612"/>
      <c r="VGX38" s="612"/>
      <c r="VGY38" s="612"/>
      <c r="VGZ38" s="612"/>
      <c r="VHA38" s="612"/>
      <c r="VHB38" s="612"/>
      <c r="VHC38" s="612"/>
      <c r="VHD38" s="612"/>
      <c r="VHE38" s="612"/>
      <c r="VHF38" s="612"/>
      <c r="VHG38" s="612"/>
      <c r="VHH38" s="612"/>
      <c r="VHI38" s="612"/>
      <c r="VHJ38" s="612"/>
      <c r="VHK38" s="612"/>
      <c r="VHL38" s="612"/>
      <c r="VHM38" s="612"/>
      <c r="VHN38" s="612"/>
      <c r="VHO38" s="612"/>
      <c r="VHP38" s="612"/>
      <c r="VHQ38" s="612"/>
      <c r="VHR38" s="612"/>
      <c r="VHS38" s="612"/>
      <c r="VHT38" s="612"/>
      <c r="VHU38" s="612"/>
      <c r="VHV38" s="612"/>
      <c r="VHW38" s="612"/>
      <c r="VHX38" s="612"/>
      <c r="VHY38" s="612"/>
      <c r="VHZ38" s="612"/>
      <c r="VIA38" s="612"/>
      <c r="VIB38" s="612"/>
      <c r="VIC38" s="612"/>
      <c r="VID38" s="612"/>
      <c r="VIE38" s="612"/>
      <c r="VIF38" s="612"/>
      <c r="VIG38" s="612"/>
      <c r="VIH38" s="612"/>
      <c r="VII38" s="612"/>
      <c r="VIJ38" s="612"/>
      <c r="VIK38" s="612"/>
      <c r="VIL38" s="612"/>
      <c r="VIM38" s="612"/>
      <c r="VIN38" s="612"/>
      <c r="VIO38" s="612"/>
      <c r="VIP38" s="612"/>
      <c r="VIQ38" s="612"/>
      <c r="VIR38" s="612"/>
      <c r="VIS38" s="612"/>
      <c r="VIT38" s="612"/>
      <c r="VIU38" s="612"/>
      <c r="VIV38" s="612"/>
      <c r="VIW38" s="612"/>
      <c r="VIX38" s="612"/>
      <c r="VIY38" s="612"/>
      <c r="VIZ38" s="612"/>
      <c r="VJA38" s="612"/>
      <c r="VJB38" s="612"/>
      <c r="VJC38" s="612"/>
      <c r="VJD38" s="612"/>
      <c r="VJE38" s="612"/>
      <c r="VJF38" s="612"/>
      <c r="VJG38" s="612"/>
      <c r="VJH38" s="612"/>
      <c r="VJI38" s="612"/>
      <c r="VJJ38" s="612"/>
      <c r="VJK38" s="612"/>
      <c r="VJL38" s="612"/>
      <c r="VJM38" s="612"/>
      <c r="VJN38" s="612"/>
      <c r="VJO38" s="612"/>
      <c r="VJP38" s="612"/>
      <c r="VJQ38" s="612"/>
      <c r="VJR38" s="612"/>
      <c r="VJS38" s="612"/>
      <c r="VJT38" s="612"/>
      <c r="VJU38" s="612"/>
      <c r="VJV38" s="612"/>
      <c r="VJW38" s="612"/>
      <c r="VJX38" s="612"/>
      <c r="VJY38" s="612"/>
      <c r="VJZ38" s="612"/>
      <c r="VKA38" s="612"/>
      <c r="VKB38" s="612"/>
      <c r="VKC38" s="612"/>
      <c r="VKD38" s="612"/>
      <c r="VKE38" s="612"/>
      <c r="VKF38" s="612"/>
      <c r="VKG38" s="612"/>
      <c r="VKH38" s="612"/>
      <c r="VKI38" s="612"/>
      <c r="VKJ38" s="612"/>
      <c r="VKK38" s="612"/>
      <c r="VKL38" s="612"/>
      <c r="VKM38" s="612"/>
      <c r="VKN38" s="612"/>
      <c r="VKO38" s="612"/>
      <c r="VKP38" s="612"/>
      <c r="VKQ38" s="612"/>
      <c r="VKR38" s="612"/>
      <c r="VKS38" s="612"/>
      <c r="VKT38" s="612"/>
      <c r="VKU38" s="612"/>
      <c r="VKV38" s="612"/>
      <c r="VKW38" s="612"/>
      <c r="VKX38" s="612"/>
      <c r="VKY38" s="612"/>
      <c r="VKZ38" s="612"/>
      <c r="VLA38" s="612"/>
      <c r="VLB38" s="612"/>
      <c r="VLC38" s="612"/>
      <c r="VLD38" s="612"/>
      <c r="VLE38" s="612"/>
      <c r="VLF38" s="612"/>
      <c r="VLG38" s="612"/>
      <c r="VLH38" s="612"/>
      <c r="VLI38" s="612"/>
      <c r="VLJ38" s="612"/>
      <c r="VLK38" s="612"/>
      <c r="VLL38" s="612"/>
      <c r="VLM38" s="612"/>
      <c r="VLN38" s="612"/>
      <c r="VLO38" s="612"/>
      <c r="VLP38" s="612"/>
      <c r="VLQ38" s="612"/>
      <c r="VLR38" s="612"/>
      <c r="VLS38" s="612"/>
      <c r="VLT38" s="612"/>
      <c r="VLU38" s="612"/>
      <c r="VLV38" s="612"/>
      <c r="VLW38" s="612"/>
      <c r="VLX38" s="612"/>
      <c r="VLY38" s="612"/>
      <c r="VLZ38" s="612"/>
      <c r="VMA38" s="612"/>
      <c r="VMB38" s="612"/>
      <c r="VMC38" s="612"/>
      <c r="VMD38" s="612"/>
      <c r="VME38" s="612"/>
      <c r="VMF38" s="612"/>
      <c r="VMG38" s="612"/>
      <c r="VMH38" s="612"/>
      <c r="VMI38" s="612"/>
      <c r="VMJ38" s="612"/>
      <c r="VMK38" s="612"/>
      <c r="VML38" s="612"/>
      <c r="VMM38" s="612"/>
      <c r="VMN38" s="612"/>
      <c r="VMO38" s="612"/>
      <c r="VMP38" s="612"/>
      <c r="VMQ38" s="612"/>
      <c r="VMR38" s="612"/>
      <c r="VMS38" s="612"/>
      <c r="VMT38" s="612"/>
      <c r="VMU38" s="612"/>
      <c r="VMV38" s="612"/>
      <c r="VMW38" s="612"/>
      <c r="VMX38" s="612"/>
      <c r="VMY38" s="612"/>
      <c r="VMZ38" s="612"/>
      <c r="VNA38" s="612"/>
      <c r="VNB38" s="612"/>
      <c r="VNC38" s="612"/>
      <c r="VND38" s="612"/>
      <c r="VNE38" s="612"/>
      <c r="VNF38" s="612"/>
      <c r="VNG38" s="612"/>
      <c r="VNH38" s="612"/>
      <c r="VNI38" s="612"/>
      <c r="VNJ38" s="612"/>
      <c r="VNK38" s="612"/>
      <c r="VNL38" s="612"/>
      <c r="VNM38" s="612"/>
      <c r="VNN38" s="612"/>
      <c r="VNO38" s="612"/>
      <c r="VNP38" s="612"/>
      <c r="VNQ38" s="612"/>
      <c r="VNR38" s="612"/>
      <c r="VNS38" s="612"/>
      <c r="VNT38" s="612"/>
      <c r="VNU38" s="612"/>
      <c r="VNV38" s="612"/>
      <c r="VNW38" s="612"/>
      <c r="VNX38" s="612"/>
      <c r="VNY38" s="612"/>
      <c r="VNZ38" s="612"/>
      <c r="VOA38" s="612"/>
      <c r="VOB38" s="612"/>
      <c r="VOC38" s="612"/>
      <c r="VOD38" s="612"/>
      <c r="VOE38" s="612"/>
      <c r="VOF38" s="612"/>
      <c r="VOG38" s="612"/>
      <c r="VOH38" s="612"/>
      <c r="VOI38" s="612"/>
      <c r="VOJ38" s="612"/>
      <c r="VOK38" s="612"/>
      <c r="VOL38" s="612"/>
      <c r="VOM38" s="612"/>
      <c r="VON38" s="612"/>
      <c r="VOO38" s="612"/>
      <c r="VOP38" s="612"/>
      <c r="VOQ38" s="612"/>
      <c r="VOR38" s="612"/>
      <c r="VOS38" s="612"/>
      <c r="VOT38" s="612"/>
      <c r="VOU38" s="612"/>
      <c r="VOV38" s="612"/>
      <c r="VOW38" s="612"/>
      <c r="VOX38" s="612"/>
      <c r="VOY38" s="612"/>
      <c r="VOZ38" s="612"/>
      <c r="VPA38" s="612"/>
      <c r="VPB38" s="612"/>
      <c r="VPC38" s="612"/>
      <c r="VPD38" s="612"/>
      <c r="VPE38" s="612"/>
      <c r="VPF38" s="612"/>
      <c r="VPG38" s="612"/>
      <c r="VPH38" s="612"/>
      <c r="VPI38" s="612"/>
      <c r="VPJ38" s="612"/>
      <c r="VPK38" s="612"/>
      <c r="VPL38" s="612"/>
      <c r="VPM38" s="612"/>
      <c r="VPN38" s="612"/>
      <c r="VPO38" s="612"/>
      <c r="VPP38" s="612"/>
      <c r="VPQ38" s="612"/>
      <c r="VPR38" s="612"/>
      <c r="VPS38" s="612"/>
      <c r="VPT38" s="612"/>
      <c r="VPU38" s="612"/>
      <c r="VPV38" s="612"/>
      <c r="VPW38" s="612"/>
      <c r="VPX38" s="612"/>
      <c r="VPY38" s="612"/>
      <c r="VPZ38" s="612"/>
      <c r="VQA38" s="612"/>
      <c r="VQB38" s="612"/>
      <c r="VQC38" s="612"/>
      <c r="VQD38" s="612"/>
      <c r="VQE38" s="612"/>
      <c r="VQF38" s="612"/>
      <c r="VQG38" s="612"/>
      <c r="VQH38" s="612"/>
      <c r="VQI38" s="612"/>
      <c r="VQJ38" s="612"/>
      <c r="VQK38" s="612"/>
      <c r="VQL38" s="612"/>
      <c r="VQM38" s="612"/>
      <c r="VQN38" s="612"/>
      <c r="VQO38" s="612"/>
      <c r="VQP38" s="612"/>
      <c r="VQQ38" s="612"/>
      <c r="VQR38" s="612"/>
      <c r="VQS38" s="612"/>
      <c r="VQT38" s="612"/>
      <c r="VQU38" s="612"/>
      <c r="VQV38" s="612"/>
      <c r="VQW38" s="612"/>
      <c r="VQX38" s="612"/>
      <c r="VQY38" s="612"/>
      <c r="VQZ38" s="612"/>
      <c r="VRA38" s="612"/>
      <c r="VRB38" s="612"/>
      <c r="VRC38" s="612"/>
      <c r="VRD38" s="612"/>
      <c r="VRE38" s="612"/>
      <c r="VRF38" s="612"/>
      <c r="VRG38" s="612"/>
      <c r="VRH38" s="612"/>
      <c r="VRI38" s="612"/>
      <c r="VRJ38" s="612"/>
      <c r="VRK38" s="612"/>
      <c r="VRL38" s="612"/>
      <c r="VRM38" s="612"/>
      <c r="VRN38" s="612"/>
      <c r="VRO38" s="612"/>
      <c r="VRP38" s="612"/>
      <c r="VRQ38" s="612"/>
      <c r="VRR38" s="612"/>
      <c r="VRS38" s="612"/>
      <c r="VRT38" s="612"/>
      <c r="VRU38" s="612"/>
      <c r="VRV38" s="612"/>
      <c r="VRW38" s="612"/>
      <c r="VRX38" s="612"/>
      <c r="VRY38" s="612"/>
      <c r="VRZ38" s="612"/>
      <c r="VSA38" s="612"/>
      <c r="VSB38" s="612"/>
      <c r="VSC38" s="612"/>
      <c r="VSD38" s="612"/>
      <c r="VSE38" s="612"/>
      <c r="VSF38" s="612"/>
      <c r="VSG38" s="612"/>
      <c r="VSH38" s="612"/>
      <c r="VSI38" s="612"/>
      <c r="VSJ38" s="612"/>
      <c r="VSK38" s="612"/>
      <c r="VSL38" s="612"/>
      <c r="VSM38" s="612"/>
      <c r="VSN38" s="612"/>
      <c r="VSO38" s="612"/>
      <c r="VSP38" s="612"/>
      <c r="VSQ38" s="612"/>
      <c r="VSR38" s="612"/>
      <c r="VSS38" s="612"/>
      <c r="VST38" s="612"/>
      <c r="VSU38" s="612"/>
      <c r="VSV38" s="612"/>
      <c r="VSW38" s="612"/>
      <c r="VSX38" s="612"/>
      <c r="VSY38" s="612"/>
      <c r="VSZ38" s="612"/>
      <c r="VTA38" s="612"/>
      <c r="VTB38" s="612"/>
      <c r="VTC38" s="612"/>
      <c r="VTD38" s="612"/>
      <c r="VTE38" s="612"/>
      <c r="VTF38" s="612"/>
      <c r="VTG38" s="612"/>
      <c r="VTH38" s="612"/>
      <c r="VTI38" s="612"/>
      <c r="VTJ38" s="612"/>
      <c r="VTK38" s="612"/>
      <c r="VTL38" s="612"/>
      <c r="VTM38" s="612"/>
      <c r="VTN38" s="612"/>
      <c r="VTO38" s="612"/>
      <c r="VTP38" s="612"/>
      <c r="VTQ38" s="612"/>
      <c r="VTR38" s="612"/>
      <c r="VTS38" s="612"/>
      <c r="VTT38" s="612"/>
      <c r="VTU38" s="612"/>
      <c r="VTV38" s="612"/>
      <c r="VTW38" s="612"/>
      <c r="VTX38" s="612"/>
      <c r="VTY38" s="612"/>
      <c r="VTZ38" s="612"/>
      <c r="VUA38" s="612"/>
      <c r="VUB38" s="612"/>
      <c r="VUC38" s="612"/>
      <c r="VUD38" s="612"/>
      <c r="VUE38" s="612"/>
      <c r="VUF38" s="612"/>
      <c r="VUG38" s="612"/>
      <c r="VUH38" s="612"/>
      <c r="VUI38" s="612"/>
      <c r="VUJ38" s="612"/>
      <c r="VUK38" s="612"/>
      <c r="VUL38" s="612"/>
      <c r="VUM38" s="612"/>
      <c r="VUN38" s="612"/>
      <c r="VUO38" s="612"/>
      <c r="VUP38" s="612"/>
      <c r="VUQ38" s="612"/>
      <c r="VUR38" s="612"/>
      <c r="VUS38" s="612"/>
      <c r="VUT38" s="612"/>
      <c r="VUU38" s="612"/>
      <c r="VUV38" s="612"/>
      <c r="VUW38" s="612"/>
      <c r="VUX38" s="612"/>
      <c r="VUY38" s="612"/>
      <c r="VUZ38" s="612"/>
      <c r="VVA38" s="612"/>
      <c r="VVB38" s="612"/>
      <c r="VVC38" s="612"/>
      <c r="VVD38" s="612"/>
      <c r="VVE38" s="612"/>
      <c r="VVF38" s="612"/>
      <c r="VVG38" s="612"/>
      <c r="VVH38" s="612"/>
      <c r="VVI38" s="612"/>
      <c r="VVJ38" s="612"/>
      <c r="VVK38" s="612"/>
      <c r="VVL38" s="612"/>
      <c r="VVM38" s="612"/>
      <c r="VVN38" s="612"/>
      <c r="VVO38" s="612"/>
      <c r="VVP38" s="612"/>
      <c r="VVQ38" s="612"/>
      <c r="VVR38" s="612"/>
      <c r="VVS38" s="612"/>
      <c r="VVT38" s="612"/>
      <c r="VVU38" s="612"/>
      <c r="VVV38" s="612"/>
      <c r="VVW38" s="612"/>
      <c r="VVX38" s="612"/>
      <c r="VVY38" s="612"/>
      <c r="VVZ38" s="612"/>
      <c r="VWA38" s="612"/>
      <c r="VWB38" s="612"/>
      <c r="VWC38" s="612"/>
      <c r="VWD38" s="612"/>
      <c r="VWE38" s="612"/>
      <c r="VWF38" s="612"/>
      <c r="VWG38" s="612"/>
      <c r="VWH38" s="612"/>
      <c r="VWI38" s="612"/>
      <c r="VWJ38" s="612"/>
      <c r="VWK38" s="612"/>
      <c r="VWL38" s="612"/>
      <c r="VWM38" s="612"/>
      <c r="VWN38" s="612"/>
      <c r="VWO38" s="612"/>
      <c r="VWP38" s="612"/>
      <c r="VWQ38" s="612"/>
      <c r="VWR38" s="612"/>
      <c r="VWS38" s="612"/>
      <c r="VWT38" s="612"/>
      <c r="VWU38" s="612"/>
      <c r="VWV38" s="612"/>
      <c r="VWW38" s="612"/>
      <c r="VWX38" s="612"/>
      <c r="VWY38" s="612"/>
      <c r="VWZ38" s="612"/>
      <c r="VXA38" s="612"/>
      <c r="VXB38" s="612"/>
      <c r="VXC38" s="612"/>
      <c r="VXD38" s="612"/>
      <c r="VXE38" s="612"/>
      <c r="VXF38" s="612"/>
      <c r="VXG38" s="612"/>
      <c r="VXH38" s="612"/>
      <c r="VXI38" s="612"/>
      <c r="VXJ38" s="612"/>
      <c r="VXK38" s="612"/>
      <c r="VXL38" s="612"/>
      <c r="VXM38" s="612"/>
      <c r="VXN38" s="612"/>
      <c r="VXO38" s="612"/>
      <c r="VXP38" s="612"/>
      <c r="VXQ38" s="612"/>
      <c r="VXR38" s="612"/>
      <c r="VXS38" s="612"/>
      <c r="VXT38" s="612"/>
      <c r="VXU38" s="612"/>
      <c r="VXV38" s="612"/>
      <c r="VXW38" s="612"/>
      <c r="VXX38" s="612"/>
      <c r="VXY38" s="612"/>
      <c r="VXZ38" s="612"/>
      <c r="VYA38" s="612"/>
      <c r="VYB38" s="612"/>
      <c r="VYC38" s="612"/>
      <c r="VYD38" s="612"/>
      <c r="VYE38" s="612"/>
      <c r="VYF38" s="612"/>
      <c r="VYG38" s="612"/>
      <c r="VYH38" s="612"/>
      <c r="VYI38" s="612"/>
      <c r="VYJ38" s="612"/>
      <c r="VYK38" s="612"/>
      <c r="VYL38" s="612"/>
      <c r="VYM38" s="612"/>
      <c r="VYN38" s="612"/>
      <c r="VYO38" s="612"/>
      <c r="VYP38" s="612"/>
      <c r="VYQ38" s="612"/>
      <c r="VYR38" s="612"/>
      <c r="VYS38" s="612"/>
      <c r="VYT38" s="612"/>
      <c r="VYU38" s="612"/>
      <c r="VYV38" s="612"/>
      <c r="VYW38" s="612"/>
      <c r="VYX38" s="612"/>
      <c r="VYY38" s="612"/>
      <c r="VYZ38" s="612"/>
      <c r="VZA38" s="612"/>
      <c r="VZB38" s="612"/>
      <c r="VZC38" s="612"/>
      <c r="VZD38" s="612"/>
      <c r="VZE38" s="612"/>
      <c r="VZF38" s="612"/>
      <c r="VZG38" s="612"/>
      <c r="VZH38" s="612"/>
      <c r="VZI38" s="612"/>
      <c r="VZJ38" s="612"/>
      <c r="VZK38" s="612"/>
      <c r="VZL38" s="612"/>
      <c r="VZM38" s="612"/>
      <c r="VZN38" s="612"/>
      <c r="VZO38" s="612"/>
      <c r="VZP38" s="612"/>
      <c r="VZQ38" s="612"/>
      <c r="VZR38" s="612"/>
      <c r="VZS38" s="612"/>
      <c r="VZT38" s="612"/>
      <c r="VZU38" s="612"/>
      <c r="VZV38" s="612"/>
      <c r="VZW38" s="612"/>
      <c r="VZX38" s="612"/>
      <c r="VZY38" s="612"/>
      <c r="VZZ38" s="612"/>
      <c r="WAA38" s="612"/>
      <c r="WAB38" s="612"/>
      <c r="WAC38" s="612"/>
      <c r="WAD38" s="612"/>
      <c r="WAE38" s="612"/>
      <c r="WAF38" s="612"/>
      <c r="WAG38" s="612"/>
      <c r="WAH38" s="612"/>
      <c r="WAI38" s="612"/>
      <c r="WAJ38" s="612"/>
      <c r="WAK38" s="612"/>
      <c r="WAL38" s="612"/>
      <c r="WAM38" s="612"/>
      <c r="WAN38" s="612"/>
      <c r="WAO38" s="612"/>
      <c r="WAP38" s="612"/>
      <c r="WAQ38" s="612"/>
      <c r="WAR38" s="612"/>
      <c r="WAS38" s="612"/>
      <c r="WAT38" s="612"/>
      <c r="WAU38" s="612"/>
      <c r="WAV38" s="612"/>
      <c r="WAW38" s="612"/>
      <c r="WAX38" s="612"/>
      <c r="WAY38" s="612"/>
      <c r="WAZ38" s="612"/>
      <c r="WBA38" s="612"/>
      <c r="WBB38" s="612"/>
      <c r="WBC38" s="612"/>
      <c r="WBD38" s="612"/>
      <c r="WBE38" s="612"/>
      <c r="WBF38" s="612"/>
      <c r="WBG38" s="612"/>
      <c r="WBH38" s="612"/>
      <c r="WBI38" s="612"/>
      <c r="WBJ38" s="612"/>
      <c r="WBK38" s="612"/>
      <c r="WBL38" s="612"/>
      <c r="WBM38" s="612"/>
      <c r="WBN38" s="612"/>
      <c r="WBO38" s="612"/>
      <c r="WBP38" s="612"/>
      <c r="WBQ38" s="612"/>
      <c r="WBR38" s="612"/>
      <c r="WBS38" s="612"/>
      <c r="WBT38" s="612"/>
      <c r="WBU38" s="612"/>
      <c r="WBV38" s="612"/>
      <c r="WBW38" s="612"/>
      <c r="WBX38" s="612"/>
      <c r="WBY38" s="612"/>
      <c r="WBZ38" s="612"/>
      <c r="WCA38" s="612"/>
      <c r="WCB38" s="612"/>
      <c r="WCC38" s="612"/>
      <c r="WCD38" s="612"/>
      <c r="WCE38" s="612"/>
      <c r="WCF38" s="612"/>
      <c r="WCG38" s="612"/>
      <c r="WCH38" s="612"/>
      <c r="WCI38" s="612"/>
      <c r="WCJ38" s="612"/>
      <c r="WCK38" s="612"/>
      <c r="WCL38" s="612"/>
      <c r="WCM38" s="612"/>
      <c r="WCN38" s="612"/>
      <c r="WCO38" s="612"/>
      <c r="WCP38" s="612"/>
      <c r="WCQ38" s="612"/>
      <c r="WCR38" s="612"/>
      <c r="WCS38" s="612"/>
      <c r="WCT38" s="612"/>
      <c r="WCU38" s="612"/>
      <c r="WCV38" s="612"/>
      <c r="WCW38" s="612"/>
      <c r="WCX38" s="612"/>
      <c r="WCY38" s="612"/>
      <c r="WCZ38" s="612"/>
      <c r="WDA38" s="612"/>
      <c r="WDB38" s="612"/>
      <c r="WDC38" s="612"/>
      <c r="WDD38" s="612"/>
      <c r="WDE38" s="612"/>
      <c r="WDF38" s="612"/>
      <c r="WDG38" s="612"/>
      <c r="WDH38" s="612"/>
      <c r="WDI38" s="612"/>
      <c r="WDJ38" s="612"/>
      <c r="WDK38" s="612"/>
      <c r="WDL38" s="612"/>
      <c r="WDM38" s="612"/>
      <c r="WDN38" s="612"/>
      <c r="WDO38" s="612"/>
      <c r="WDP38" s="612"/>
      <c r="WDQ38" s="612"/>
      <c r="WDR38" s="612"/>
      <c r="WDS38" s="612"/>
      <c r="WDT38" s="612"/>
      <c r="WDU38" s="612"/>
      <c r="WDV38" s="612"/>
      <c r="WDW38" s="612"/>
      <c r="WDX38" s="612"/>
      <c r="WDY38" s="612"/>
      <c r="WDZ38" s="612"/>
      <c r="WEA38" s="612"/>
      <c r="WEB38" s="612"/>
      <c r="WEC38" s="612"/>
      <c r="WED38" s="612"/>
      <c r="WEE38" s="612"/>
      <c r="WEF38" s="612"/>
      <c r="WEG38" s="612"/>
      <c r="WEH38" s="612"/>
      <c r="WEI38" s="612"/>
      <c r="WEJ38" s="612"/>
      <c r="WEK38" s="612"/>
      <c r="WEL38" s="612"/>
      <c r="WEM38" s="612"/>
      <c r="WEN38" s="612"/>
      <c r="WEO38" s="612"/>
      <c r="WEP38" s="612"/>
      <c r="WEQ38" s="612"/>
      <c r="WER38" s="612"/>
      <c r="WES38" s="612"/>
      <c r="WET38" s="612"/>
      <c r="WEU38" s="612"/>
      <c r="WEV38" s="612"/>
      <c r="WEW38" s="612"/>
      <c r="WEX38" s="612"/>
      <c r="WEY38" s="612"/>
      <c r="WEZ38" s="612"/>
      <c r="WFA38" s="612"/>
      <c r="WFB38" s="612"/>
      <c r="WFC38" s="612"/>
      <c r="WFD38" s="612"/>
      <c r="WFE38" s="612"/>
      <c r="WFF38" s="612"/>
      <c r="WFG38" s="612"/>
      <c r="WFH38" s="612"/>
      <c r="WFI38" s="612"/>
      <c r="WFJ38" s="612"/>
      <c r="WFK38" s="612"/>
      <c r="WFL38" s="612"/>
      <c r="WFM38" s="612"/>
      <c r="WFN38" s="612"/>
      <c r="WFO38" s="612"/>
      <c r="WFP38" s="612"/>
      <c r="WFQ38" s="612"/>
      <c r="WFR38" s="612"/>
      <c r="WFS38" s="612"/>
      <c r="WFT38" s="612"/>
      <c r="WFU38" s="612"/>
      <c r="WFV38" s="612"/>
      <c r="WFW38" s="612"/>
      <c r="WFX38" s="612"/>
      <c r="WFY38" s="612"/>
      <c r="WFZ38" s="612"/>
      <c r="WGA38" s="612"/>
      <c r="WGB38" s="612"/>
      <c r="WGC38" s="612"/>
      <c r="WGD38" s="612"/>
      <c r="WGE38" s="612"/>
      <c r="WGF38" s="612"/>
      <c r="WGG38" s="612"/>
      <c r="WGH38" s="612"/>
      <c r="WGI38" s="612"/>
      <c r="WGJ38" s="612"/>
      <c r="WGK38" s="612"/>
      <c r="WGL38" s="612"/>
      <c r="WGM38" s="612"/>
      <c r="WGN38" s="612"/>
      <c r="WGO38" s="612"/>
      <c r="WGP38" s="612"/>
      <c r="WGQ38" s="612"/>
      <c r="WGR38" s="612"/>
      <c r="WGS38" s="612"/>
      <c r="WGT38" s="612"/>
      <c r="WGU38" s="612"/>
      <c r="WGV38" s="612"/>
      <c r="WGW38" s="612"/>
      <c r="WGX38" s="612"/>
      <c r="WGY38" s="612"/>
      <c r="WGZ38" s="612"/>
      <c r="WHA38" s="612"/>
      <c r="WHB38" s="612"/>
      <c r="WHC38" s="612"/>
      <c r="WHD38" s="612"/>
      <c r="WHE38" s="612"/>
      <c r="WHF38" s="612"/>
      <c r="WHG38" s="612"/>
      <c r="WHH38" s="612"/>
      <c r="WHI38" s="612"/>
      <c r="WHJ38" s="612"/>
      <c r="WHK38" s="612"/>
      <c r="WHL38" s="612"/>
      <c r="WHM38" s="612"/>
      <c r="WHN38" s="612"/>
      <c r="WHO38" s="612"/>
      <c r="WHP38" s="612"/>
      <c r="WHQ38" s="612"/>
      <c r="WHR38" s="612"/>
      <c r="WHS38" s="612"/>
      <c r="WHT38" s="612"/>
      <c r="WHU38" s="612"/>
      <c r="WHV38" s="612"/>
      <c r="WHW38" s="612"/>
      <c r="WHX38" s="612"/>
      <c r="WHY38" s="612"/>
      <c r="WHZ38" s="612"/>
      <c r="WIA38" s="612"/>
      <c r="WIB38" s="612"/>
      <c r="WIC38" s="612"/>
      <c r="WID38" s="612"/>
      <c r="WIE38" s="612"/>
      <c r="WIF38" s="612"/>
      <c r="WIG38" s="612"/>
      <c r="WIH38" s="612"/>
      <c r="WII38" s="612"/>
      <c r="WIJ38" s="612"/>
      <c r="WIK38" s="612"/>
      <c r="WIL38" s="612"/>
      <c r="WIM38" s="612"/>
      <c r="WIN38" s="612"/>
      <c r="WIO38" s="612"/>
      <c r="WIP38" s="612"/>
      <c r="WIQ38" s="612"/>
      <c r="WIR38" s="612"/>
      <c r="WIS38" s="612"/>
      <c r="WIT38" s="612"/>
      <c r="WIU38" s="612"/>
      <c r="WIV38" s="612"/>
      <c r="WIW38" s="612"/>
      <c r="WIX38" s="612"/>
      <c r="WIY38" s="612"/>
      <c r="WIZ38" s="612"/>
      <c r="WJA38" s="612"/>
      <c r="WJB38" s="612"/>
      <c r="WJC38" s="612"/>
      <c r="WJD38" s="612"/>
      <c r="WJE38" s="612"/>
      <c r="WJF38" s="612"/>
      <c r="WJG38" s="612"/>
      <c r="WJH38" s="612"/>
      <c r="WJI38" s="612"/>
      <c r="WJJ38" s="612"/>
      <c r="WJK38" s="612"/>
      <c r="WJL38" s="612"/>
      <c r="WJM38" s="612"/>
      <c r="WJN38" s="612"/>
      <c r="WJO38" s="612"/>
      <c r="WJP38" s="612"/>
      <c r="WJQ38" s="612"/>
      <c r="WJR38" s="612"/>
      <c r="WJS38" s="612"/>
      <c r="WJT38" s="612"/>
      <c r="WJU38" s="612"/>
      <c r="WJV38" s="612"/>
      <c r="WJW38" s="612"/>
      <c r="WJX38" s="612"/>
      <c r="WJY38" s="612"/>
      <c r="WJZ38" s="612"/>
      <c r="WKA38" s="612"/>
      <c r="WKB38" s="612"/>
      <c r="WKC38" s="612"/>
      <c r="WKD38" s="612"/>
      <c r="WKE38" s="612"/>
      <c r="WKF38" s="612"/>
      <c r="WKG38" s="612"/>
      <c r="WKH38" s="612"/>
      <c r="WKI38" s="612"/>
      <c r="WKJ38" s="612"/>
      <c r="WKK38" s="612"/>
      <c r="WKL38" s="612"/>
      <c r="WKM38" s="612"/>
      <c r="WKN38" s="612"/>
      <c r="WKO38" s="612"/>
      <c r="WKP38" s="612"/>
      <c r="WKQ38" s="612"/>
      <c r="WKR38" s="612"/>
      <c r="WKS38" s="612"/>
      <c r="WKT38" s="612"/>
      <c r="WKU38" s="612"/>
      <c r="WKV38" s="612"/>
      <c r="WKW38" s="612"/>
      <c r="WKX38" s="612"/>
      <c r="WKY38" s="612"/>
      <c r="WKZ38" s="612"/>
      <c r="WLA38" s="612"/>
      <c r="WLB38" s="612"/>
      <c r="WLC38" s="612"/>
      <c r="WLD38" s="612"/>
      <c r="WLE38" s="612"/>
      <c r="WLF38" s="612"/>
      <c r="WLG38" s="612"/>
      <c r="WLH38" s="612"/>
      <c r="WLI38" s="612"/>
      <c r="WLJ38" s="612"/>
      <c r="WLK38" s="612"/>
      <c r="WLL38" s="612"/>
      <c r="WLM38" s="612"/>
      <c r="WLN38" s="612"/>
      <c r="WLO38" s="612"/>
      <c r="WLP38" s="612"/>
      <c r="WLQ38" s="612"/>
      <c r="WLR38" s="612"/>
      <c r="WLS38" s="612"/>
      <c r="WLT38" s="612"/>
      <c r="WLU38" s="612"/>
      <c r="WLV38" s="612"/>
      <c r="WLW38" s="612"/>
      <c r="WLX38" s="612"/>
      <c r="WLY38" s="612"/>
      <c r="WLZ38" s="612"/>
      <c r="WMA38" s="612"/>
      <c r="WMB38" s="612"/>
      <c r="WMC38" s="612"/>
      <c r="WMD38" s="612"/>
      <c r="WME38" s="612"/>
      <c r="WMF38" s="612"/>
      <c r="WMG38" s="612"/>
      <c r="WMH38" s="612"/>
      <c r="WMI38" s="612"/>
      <c r="WMJ38" s="612"/>
      <c r="WMK38" s="612"/>
      <c r="WML38" s="612"/>
      <c r="WMM38" s="612"/>
      <c r="WMN38" s="612"/>
      <c r="WMO38" s="612"/>
      <c r="WMP38" s="612"/>
      <c r="WMQ38" s="612"/>
      <c r="WMR38" s="612"/>
      <c r="WMS38" s="612"/>
      <c r="WMT38" s="612"/>
      <c r="WMU38" s="612"/>
      <c r="WMV38" s="612"/>
      <c r="WMW38" s="612"/>
      <c r="WMX38" s="612"/>
      <c r="WMY38" s="612"/>
      <c r="WMZ38" s="612"/>
      <c r="WNA38" s="612"/>
      <c r="WNB38" s="612"/>
      <c r="WNC38" s="612"/>
      <c r="WND38" s="612"/>
      <c r="WNE38" s="612"/>
      <c r="WNF38" s="612"/>
      <c r="WNG38" s="612"/>
      <c r="WNH38" s="612"/>
      <c r="WNI38" s="612"/>
      <c r="WNJ38" s="612"/>
      <c r="WNK38" s="612"/>
      <c r="WNL38" s="612"/>
      <c r="WNM38" s="612"/>
      <c r="WNN38" s="612"/>
      <c r="WNO38" s="612"/>
      <c r="WNP38" s="612"/>
      <c r="WNQ38" s="612"/>
      <c r="WNR38" s="612"/>
      <c r="WNS38" s="612"/>
      <c r="WNT38" s="612"/>
      <c r="WNU38" s="612"/>
      <c r="WNV38" s="612"/>
      <c r="WNW38" s="612"/>
      <c r="WNX38" s="612"/>
      <c r="WNY38" s="612"/>
      <c r="WNZ38" s="612"/>
      <c r="WOA38" s="612"/>
      <c r="WOB38" s="612"/>
      <c r="WOC38" s="612"/>
      <c r="WOD38" s="612"/>
      <c r="WOE38" s="612"/>
      <c r="WOF38" s="612"/>
      <c r="WOG38" s="612"/>
      <c r="WOH38" s="612"/>
      <c r="WOI38" s="612"/>
      <c r="WOJ38" s="612"/>
      <c r="WOK38" s="612"/>
      <c r="WOL38" s="612"/>
      <c r="WOM38" s="612"/>
      <c r="WON38" s="612"/>
      <c r="WOO38" s="612"/>
      <c r="WOP38" s="612"/>
      <c r="WOQ38" s="612"/>
      <c r="WOR38" s="612"/>
      <c r="WOS38" s="612"/>
      <c r="WOT38" s="612"/>
      <c r="WOU38" s="612"/>
      <c r="WOV38" s="612"/>
      <c r="WOW38" s="612"/>
      <c r="WOX38" s="612"/>
      <c r="WOY38" s="612"/>
      <c r="WOZ38" s="612"/>
      <c r="WPA38" s="612"/>
      <c r="WPB38" s="612"/>
      <c r="WPC38" s="612"/>
      <c r="WPD38" s="612"/>
      <c r="WPE38" s="612"/>
      <c r="WPF38" s="612"/>
      <c r="WPG38" s="612"/>
      <c r="WPH38" s="612"/>
      <c r="WPI38" s="612"/>
      <c r="WPJ38" s="612"/>
      <c r="WPK38" s="612"/>
      <c r="WPL38" s="612"/>
      <c r="WPM38" s="612"/>
      <c r="WPN38" s="612"/>
      <c r="WPO38" s="612"/>
      <c r="WPP38" s="612"/>
      <c r="WPQ38" s="612"/>
      <c r="WPR38" s="612"/>
      <c r="WPS38" s="612"/>
      <c r="WPT38" s="612"/>
      <c r="WPU38" s="612"/>
      <c r="WPV38" s="612"/>
      <c r="WPW38" s="612"/>
      <c r="WPX38" s="612"/>
      <c r="WPY38" s="612"/>
      <c r="WPZ38" s="612"/>
      <c r="WQA38" s="612"/>
      <c r="WQB38" s="612"/>
      <c r="WQC38" s="612"/>
      <c r="WQD38" s="612"/>
      <c r="WQE38" s="612"/>
      <c r="WQF38" s="612"/>
      <c r="WQG38" s="612"/>
      <c r="WQH38" s="612"/>
      <c r="WQI38" s="612"/>
      <c r="WQJ38" s="612"/>
      <c r="WQK38" s="612"/>
      <c r="WQL38" s="612"/>
      <c r="WQM38" s="612"/>
      <c r="WQN38" s="612"/>
      <c r="WQO38" s="612"/>
      <c r="WQP38" s="612"/>
      <c r="WQQ38" s="612"/>
      <c r="WQR38" s="612"/>
      <c r="WQS38" s="612"/>
      <c r="WQT38" s="612"/>
      <c r="WQU38" s="612"/>
      <c r="WQV38" s="612"/>
      <c r="WQW38" s="612"/>
      <c r="WQX38" s="612"/>
      <c r="WQY38" s="612"/>
      <c r="WQZ38" s="612"/>
      <c r="WRA38" s="612"/>
      <c r="WRB38" s="612"/>
      <c r="WRC38" s="612"/>
      <c r="WRD38" s="612"/>
      <c r="WRE38" s="612"/>
      <c r="WRF38" s="612"/>
      <c r="WRG38" s="612"/>
      <c r="WRH38" s="612"/>
      <c r="WRI38" s="612"/>
      <c r="WRJ38" s="612"/>
      <c r="WRK38" s="612"/>
      <c r="WRL38" s="612"/>
      <c r="WRM38" s="612"/>
      <c r="WRN38" s="612"/>
      <c r="WRO38" s="612"/>
      <c r="WRP38" s="612"/>
      <c r="WRQ38" s="612"/>
      <c r="WRR38" s="612"/>
      <c r="WRS38" s="612"/>
      <c r="WRT38" s="612"/>
      <c r="WRU38" s="612"/>
      <c r="WRV38" s="612"/>
      <c r="WRW38" s="612"/>
      <c r="WRX38" s="612"/>
      <c r="WRY38" s="612"/>
      <c r="WRZ38" s="612"/>
      <c r="WSA38" s="612"/>
      <c r="WSB38" s="612"/>
      <c r="WSC38" s="612"/>
      <c r="WSD38" s="612"/>
      <c r="WSE38" s="612"/>
      <c r="WSF38" s="612"/>
      <c r="WSG38" s="612"/>
      <c r="WSH38" s="612"/>
      <c r="WSI38" s="612"/>
      <c r="WSJ38" s="612"/>
      <c r="WSK38" s="612"/>
      <c r="WSL38" s="612"/>
      <c r="WSM38" s="612"/>
      <c r="WSN38" s="612"/>
      <c r="WSO38" s="612"/>
      <c r="WSP38" s="612"/>
      <c r="WSQ38" s="612"/>
      <c r="WSR38" s="612"/>
      <c r="WSS38" s="612"/>
      <c r="WST38" s="612"/>
      <c r="WSU38" s="612"/>
      <c r="WSV38" s="612"/>
      <c r="WSW38" s="612"/>
      <c r="WSX38" s="612"/>
      <c r="WSY38" s="612"/>
      <c r="WSZ38" s="612"/>
      <c r="WTA38" s="612"/>
      <c r="WTB38" s="612"/>
      <c r="WTC38" s="612"/>
      <c r="WTD38" s="612"/>
      <c r="WTE38" s="612"/>
      <c r="WTF38" s="612"/>
      <c r="WTG38" s="612"/>
      <c r="WTH38" s="612"/>
      <c r="WTI38" s="612"/>
      <c r="WTJ38" s="612"/>
      <c r="WTK38" s="612"/>
      <c r="WTL38" s="612"/>
      <c r="WTM38" s="612"/>
      <c r="WTN38" s="612"/>
      <c r="WTO38" s="612"/>
      <c r="WTP38" s="612"/>
      <c r="WTQ38" s="612"/>
      <c r="WTR38" s="612"/>
      <c r="WTS38" s="612"/>
      <c r="WTT38" s="612"/>
      <c r="WTU38" s="612"/>
      <c r="WTV38" s="612"/>
      <c r="WTW38" s="612"/>
      <c r="WTX38" s="612"/>
      <c r="WTY38" s="612"/>
      <c r="WTZ38" s="612"/>
      <c r="WUA38" s="612"/>
      <c r="WUB38" s="612"/>
      <c r="WUC38" s="612"/>
      <c r="WUD38" s="612"/>
      <c r="WUE38" s="612"/>
      <c r="WUF38" s="612"/>
      <c r="WUG38" s="612"/>
      <c r="WUH38" s="612"/>
      <c r="WUI38" s="612"/>
      <c r="WUJ38" s="612"/>
      <c r="WUK38" s="612"/>
      <c r="WUL38" s="612"/>
      <c r="WUM38" s="612"/>
      <c r="WUN38" s="612"/>
      <c r="WUO38" s="612"/>
      <c r="WUP38" s="612"/>
      <c r="WUQ38" s="612"/>
      <c r="WUR38" s="612"/>
      <c r="WUS38" s="612"/>
      <c r="WUT38" s="612"/>
      <c r="WUU38" s="612"/>
      <c r="WUV38" s="612"/>
      <c r="WUW38" s="612"/>
      <c r="WUX38" s="612"/>
      <c r="WUY38" s="612"/>
      <c r="WUZ38" s="612"/>
      <c r="WVA38" s="612"/>
      <c r="WVB38" s="612"/>
      <c r="WVC38" s="612"/>
      <c r="WVD38" s="612"/>
      <c r="WVE38" s="612"/>
      <c r="WVF38" s="612"/>
      <c r="WVG38" s="612"/>
      <c r="WVH38" s="612"/>
      <c r="WVI38" s="612"/>
      <c r="WVJ38" s="612"/>
      <c r="WVK38" s="612"/>
      <c r="WVL38" s="612"/>
      <c r="WVM38" s="612"/>
      <c r="WVN38" s="612"/>
      <c r="WVO38" s="612"/>
      <c r="WVP38" s="612"/>
      <c r="WVQ38" s="612"/>
      <c r="WVR38" s="612"/>
      <c r="WVS38" s="612"/>
      <c r="WVT38" s="612"/>
      <c r="WVU38" s="612"/>
      <c r="WVV38" s="612"/>
      <c r="WVW38" s="612"/>
      <c r="WVX38" s="612"/>
      <c r="WVY38" s="612"/>
      <c r="WVZ38" s="612"/>
      <c r="WWA38" s="612"/>
      <c r="WWB38" s="612"/>
      <c r="WWC38" s="612"/>
      <c r="WWD38" s="612"/>
      <c r="WWE38" s="612"/>
      <c r="WWF38" s="612"/>
      <c r="WWG38" s="612"/>
      <c r="WWH38" s="612"/>
      <c r="WWI38" s="612"/>
      <c r="WWJ38" s="612"/>
      <c r="WWK38" s="612"/>
      <c r="WWL38" s="612"/>
      <c r="WWM38" s="612"/>
      <c r="WWN38" s="612"/>
      <c r="WWO38" s="612"/>
      <c r="WWP38" s="612"/>
      <c r="WWQ38" s="612"/>
      <c r="WWR38" s="612"/>
      <c r="WWS38" s="612"/>
      <c r="WWT38" s="612"/>
      <c r="WWU38" s="612"/>
      <c r="WWV38" s="612"/>
      <c r="WWW38" s="612"/>
      <c r="WWX38" s="612"/>
      <c r="WWY38" s="612"/>
      <c r="WWZ38" s="612"/>
      <c r="WXA38" s="612"/>
      <c r="WXB38" s="612"/>
      <c r="WXC38" s="612"/>
      <c r="WXD38" s="612"/>
      <c r="WXE38" s="612"/>
      <c r="WXF38" s="612"/>
      <c r="WXG38" s="612"/>
      <c r="WXH38" s="612"/>
      <c r="WXI38" s="612"/>
      <c r="WXJ38" s="612"/>
      <c r="WXK38" s="612"/>
      <c r="WXL38" s="612"/>
      <c r="WXM38" s="612"/>
      <c r="WXN38" s="612"/>
      <c r="WXO38" s="612"/>
      <c r="WXP38" s="612"/>
      <c r="WXQ38" s="612"/>
      <c r="WXR38" s="612"/>
      <c r="WXS38" s="612"/>
      <c r="WXT38" s="612"/>
      <c r="WXU38" s="612"/>
      <c r="WXV38" s="612"/>
      <c r="WXW38" s="612"/>
      <c r="WXX38" s="612"/>
      <c r="WXY38" s="612"/>
      <c r="WXZ38" s="612"/>
      <c r="WYA38" s="612"/>
      <c r="WYB38" s="612"/>
      <c r="WYC38" s="612"/>
      <c r="WYD38" s="612"/>
      <c r="WYE38" s="612"/>
      <c r="WYF38" s="612"/>
      <c r="WYG38" s="612"/>
      <c r="WYH38" s="612"/>
      <c r="WYI38" s="612"/>
      <c r="WYJ38" s="612"/>
      <c r="WYK38" s="612"/>
      <c r="WYL38" s="612"/>
      <c r="WYM38" s="612"/>
      <c r="WYN38" s="612"/>
      <c r="WYO38" s="612"/>
      <c r="WYP38" s="612"/>
      <c r="WYQ38" s="612"/>
      <c r="WYR38" s="612"/>
      <c r="WYS38" s="612"/>
      <c r="WYT38" s="612"/>
      <c r="WYU38" s="612"/>
      <c r="WYV38" s="612"/>
      <c r="WYW38" s="612"/>
      <c r="WYX38" s="612"/>
      <c r="WYY38" s="612"/>
      <c r="WYZ38" s="612"/>
      <c r="WZA38" s="612"/>
      <c r="WZB38" s="612"/>
      <c r="WZC38" s="612"/>
      <c r="WZD38" s="612"/>
      <c r="WZE38" s="612"/>
      <c r="WZF38" s="612"/>
      <c r="WZG38" s="612"/>
      <c r="WZH38" s="612"/>
      <c r="WZI38" s="612"/>
      <c r="WZJ38" s="612"/>
      <c r="WZK38" s="612"/>
      <c r="WZL38" s="612"/>
      <c r="WZM38" s="612"/>
      <c r="WZN38" s="612"/>
      <c r="WZO38" s="612"/>
      <c r="WZP38" s="612"/>
      <c r="WZQ38" s="612"/>
      <c r="WZR38" s="612"/>
      <c r="WZS38" s="612"/>
      <c r="WZT38" s="612"/>
      <c r="WZU38" s="612"/>
      <c r="WZV38" s="612"/>
      <c r="WZW38" s="612"/>
      <c r="WZX38" s="612"/>
      <c r="WZY38" s="612"/>
      <c r="WZZ38" s="612"/>
      <c r="XAA38" s="612"/>
      <c r="XAB38" s="612"/>
      <c r="XAC38" s="612"/>
      <c r="XAD38" s="612"/>
      <c r="XAE38" s="612"/>
      <c r="XAF38" s="612"/>
      <c r="XAG38" s="612"/>
      <c r="XAH38" s="612"/>
      <c r="XAI38" s="612"/>
      <c r="XAJ38" s="612"/>
      <c r="XAK38" s="612"/>
      <c r="XAL38" s="612"/>
      <c r="XAM38" s="612"/>
      <c r="XAN38" s="612"/>
      <c r="XAO38" s="612"/>
      <c r="XAP38" s="612"/>
      <c r="XAQ38" s="612"/>
      <c r="XAR38" s="612"/>
      <c r="XAS38" s="612"/>
      <c r="XAT38" s="612"/>
      <c r="XAU38" s="612"/>
      <c r="XAV38" s="612"/>
      <c r="XAW38" s="612"/>
      <c r="XAX38" s="612"/>
      <c r="XAY38" s="612"/>
      <c r="XAZ38" s="612"/>
      <c r="XBA38" s="612"/>
      <c r="XBB38" s="612"/>
      <c r="XBC38" s="612"/>
      <c r="XBD38" s="612"/>
      <c r="XBE38" s="612"/>
      <c r="XBF38" s="612"/>
      <c r="XBG38" s="612"/>
      <c r="XBH38" s="612"/>
      <c r="XBI38" s="612"/>
      <c r="XBJ38" s="612"/>
      <c r="XBK38" s="612"/>
      <c r="XBL38" s="612"/>
      <c r="XBM38" s="612"/>
      <c r="XBN38" s="612"/>
      <c r="XBO38" s="612"/>
      <c r="XBP38" s="612"/>
      <c r="XBQ38" s="612"/>
      <c r="XBR38" s="612"/>
      <c r="XBS38" s="612"/>
      <c r="XBT38" s="612"/>
      <c r="XBU38" s="612"/>
      <c r="XBV38" s="612"/>
      <c r="XBW38" s="612"/>
      <c r="XBX38" s="612"/>
      <c r="XBY38" s="612"/>
      <c r="XBZ38" s="612"/>
      <c r="XCA38" s="612"/>
      <c r="XCB38" s="612"/>
      <c r="XCC38" s="612"/>
      <c r="XCD38" s="612"/>
      <c r="XCE38" s="612"/>
      <c r="XCF38" s="612"/>
      <c r="XCG38" s="612"/>
      <c r="XCH38" s="612"/>
      <c r="XCI38" s="612"/>
      <c r="XCJ38" s="612"/>
      <c r="XCK38" s="612"/>
      <c r="XCL38" s="612"/>
      <c r="XCM38" s="612"/>
      <c r="XCN38" s="612"/>
      <c r="XCO38" s="612"/>
      <c r="XCP38" s="612"/>
      <c r="XCQ38" s="612"/>
      <c r="XCR38" s="612"/>
      <c r="XCS38" s="612"/>
      <c r="XCT38" s="612"/>
      <c r="XCU38" s="612"/>
      <c r="XCV38" s="612"/>
      <c r="XCW38" s="612"/>
      <c r="XCX38" s="612"/>
      <c r="XCY38" s="612"/>
      <c r="XCZ38" s="612"/>
      <c r="XDA38" s="612"/>
      <c r="XDB38" s="612"/>
      <c r="XDC38" s="612"/>
      <c r="XDD38" s="612"/>
      <c r="XDE38" s="612"/>
      <c r="XDF38" s="612"/>
      <c r="XDG38" s="612"/>
      <c r="XDH38" s="612"/>
      <c r="XDI38" s="612"/>
      <c r="XDJ38" s="612"/>
      <c r="XDK38" s="612"/>
      <c r="XDL38" s="612"/>
      <c r="XDM38" s="612"/>
      <c r="XDN38" s="612"/>
      <c r="XDO38" s="612"/>
      <c r="XDP38" s="612"/>
      <c r="XDQ38" s="612"/>
      <c r="XDR38" s="612"/>
      <c r="XDS38" s="612"/>
      <c r="XDT38" s="612"/>
      <c r="XDU38" s="612"/>
      <c r="XDV38" s="612"/>
      <c r="XDW38" s="612"/>
      <c r="XDX38" s="612"/>
      <c r="XDY38" s="612"/>
      <c r="XDZ38" s="612"/>
      <c r="XEA38" s="612"/>
      <c r="XEB38" s="612"/>
      <c r="XEC38" s="612"/>
      <c r="XED38" s="612"/>
      <c r="XEE38" s="612"/>
      <c r="XEF38" s="612"/>
      <c r="XEG38" s="612"/>
      <c r="XEH38" s="612"/>
      <c r="XEI38" s="612"/>
      <c r="XEJ38" s="612"/>
      <c r="XEK38" s="612"/>
      <c r="XEL38" s="612"/>
      <c r="XEM38" s="612"/>
      <c r="XEN38" s="612"/>
      <c r="XEO38" s="612"/>
      <c r="XEP38" s="612"/>
      <c r="XEQ38" s="612"/>
      <c r="XER38" s="612"/>
      <c r="XES38" s="612"/>
      <c r="XET38" s="612"/>
      <c r="XEU38" s="612"/>
      <c r="XEV38" s="612"/>
      <c r="XEW38" s="612"/>
      <c r="XEX38" s="612"/>
      <c r="XEY38" s="612"/>
      <c r="XEZ38" s="612"/>
      <c r="XFA38" s="612"/>
      <c r="XFB38" s="612"/>
      <c r="XFC38" s="612"/>
      <c r="XFD38" s="612"/>
    </row>
    <row r="39" spans="1:16384" ht="15">
      <c r="A39" s="608" t="s">
        <v>1202</v>
      </c>
      <c r="B39" s="599"/>
      <c r="C39" s="610"/>
      <c r="D39" s="599"/>
      <c r="E39" s="612"/>
      <c r="F39" s="612"/>
      <c r="G39" s="612"/>
      <c r="H39" s="612"/>
      <c r="I39" s="612"/>
      <c r="J39" s="612"/>
      <c r="K39" s="612"/>
      <c r="L39" s="612"/>
      <c r="M39" s="612"/>
      <c r="N39" s="612"/>
      <c r="O39" s="612"/>
      <c r="P39" s="612"/>
      <c r="Q39" s="612"/>
      <c r="R39" s="612"/>
      <c r="S39" s="612"/>
      <c r="T39" s="612"/>
      <c r="U39" s="612"/>
      <c r="V39" s="612"/>
      <c r="W39" s="612"/>
      <c r="X39" s="612"/>
      <c r="Y39" s="612"/>
      <c r="Z39" s="612"/>
      <c r="AA39" s="612"/>
      <c r="AB39" s="612"/>
      <c r="AC39" s="612"/>
      <c r="AD39" s="612"/>
      <c r="AE39" s="612"/>
      <c r="AF39" s="612"/>
      <c r="AG39" s="612"/>
    </row>
    <row r="40" spans="1:16384" ht="14.25">
      <c r="A40" s="615" t="str">
        <f>Application!C635</f>
        <v>NPLH Capital</v>
      </c>
      <c r="B40" s="616"/>
      <c r="C40" s="610"/>
      <c r="D40" s="599"/>
      <c r="E40" s="609">
        <f>Application!AF635</f>
        <v>5460</v>
      </c>
      <c r="F40" s="609"/>
      <c r="G40" s="609">
        <f>$E$40</f>
        <v>5460</v>
      </c>
      <c r="H40" s="609"/>
      <c r="I40" s="609">
        <f>$E$40</f>
        <v>5460</v>
      </c>
      <c r="J40" s="609"/>
      <c r="K40" s="609">
        <f>$E$40</f>
        <v>5460</v>
      </c>
      <c r="L40" s="609"/>
      <c r="M40" s="609">
        <f>$E$40</f>
        <v>5460</v>
      </c>
      <c r="N40" s="609"/>
      <c r="O40" s="609">
        <f>$E$40</f>
        <v>5460</v>
      </c>
      <c r="P40" s="609"/>
      <c r="Q40" s="609">
        <f>$E$40</f>
        <v>5460</v>
      </c>
      <c r="R40" s="609"/>
      <c r="S40" s="609">
        <f>$E$40</f>
        <v>5460</v>
      </c>
      <c r="T40" s="609"/>
      <c r="U40" s="609">
        <f>$E$40</f>
        <v>5460</v>
      </c>
      <c r="V40" s="609"/>
      <c r="W40" s="609">
        <f>$E$40</f>
        <v>5460</v>
      </c>
      <c r="X40" s="609"/>
      <c r="Y40" s="609">
        <f>$E$40</f>
        <v>5460</v>
      </c>
      <c r="Z40" s="609"/>
      <c r="AA40" s="609">
        <f>$E$40</f>
        <v>5460</v>
      </c>
      <c r="AB40" s="609"/>
      <c r="AC40" s="609">
        <f>$E$40</f>
        <v>5460</v>
      </c>
      <c r="AD40" s="609"/>
      <c r="AE40" s="609">
        <f>$E$40</f>
        <v>5460</v>
      </c>
      <c r="AF40" s="609"/>
      <c r="AG40" s="609">
        <f>$E$40</f>
        <v>5460</v>
      </c>
      <c r="AH40" s="599"/>
      <c r="AI40" s="599"/>
    </row>
    <row r="41" spans="1:16384" ht="14.25">
      <c r="A41" s="615"/>
      <c r="B41" s="616"/>
      <c r="C41" s="610"/>
      <c r="D41" s="599"/>
      <c r="E41" s="612"/>
      <c r="F41" s="612"/>
      <c r="G41" s="612">
        <f>$E$41</f>
        <v>0</v>
      </c>
      <c r="H41" s="612"/>
      <c r="I41" s="612">
        <f>$E$41</f>
        <v>0</v>
      </c>
      <c r="J41" s="612"/>
      <c r="K41" s="612">
        <f>$E$41</f>
        <v>0</v>
      </c>
      <c r="L41" s="612"/>
      <c r="M41" s="612">
        <f>$E$41</f>
        <v>0</v>
      </c>
      <c r="N41" s="612"/>
      <c r="O41" s="612">
        <f>$E$41</f>
        <v>0</v>
      </c>
      <c r="P41" s="612"/>
      <c r="Q41" s="612">
        <f>$E$41</f>
        <v>0</v>
      </c>
      <c r="R41" s="612"/>
      <c r="S41" s="612">
        <f>$E$41</f>
        <v>0</v>
      </c>
      <c r="T41" s="612"/>
      <c r="U41" s="612">
        <f>$E$41</f>
        <v>0</v>
      </c>
      <c r="V41" s="612"/>
      <c r="W41" s="612">
        <f>$E$41</f>
        <v>0</v>
      </c>
      <c r="X41" s="612"/>
      <c r="Y41" s="612">
        <f>$E$41</f>
        <v>0</v>
      </c>
      <c r="Z41" s="612"/>
      <c r="AA41" s="612">
        <f>$E$41</f>
        <v>0</v>
      </c>
      <c r="AB41" s="612"/>
      <c r="AC41" s="612">
        <f>$E$41</f>
        <v>0</v>
      </c>
      <c r="AD41" s="612"/>
      <c r="AE41" s="612">
        <f>$E$41</f>
        <v>0</v>
      </c>
      <c r="AF41" s="612"/>
      <c r="AG41" s="612">
        <f>$E$41</f>
        <v>0</v>
      </c>
      <c r="AH41" s="599"/>
      <c r="AI41" s="599"/>
    </row>
    <row r="42" spans="1:16384" ht="14.25">
      <c r="A42" s="615"/>
      <c r="B42" s="616"/>
      <c r="C42" s="610"/>
      <c r="D42" s="599"/>
      <c r="E42" s="622"/>
      <c r="F42" s="612"/>
      <c r="G42" s="622">
        <f>$E$42</f>
        <v>0</v>
      </c>
      <c r="H42" s="612"/>
      <c r="I42" s="622">
        <f>$E$42</f>
        <v>0</v>
      </c>
      <c r="J42" s="612"/>
      <c r="K42" s="622">
        <f>$E$42</f>
        <v>0</v>
      </c>
      <c r="L42" s="612"/>
      <c r="M42" s="622">
        <f>$E$42</f>
        <v>0</v>
      </c>
      <c r="N42" s="612"/>
      <c r="O42" s="622">
        <f>$E$42</f>
        <v>0</v>
      </c>
      <c r="P42" s="612"/>
      <c r="Q42" s="622">
        <f>$E$42</f>
        <v>0</v>
      </c>
      <c r="R42" s="612"/>
      <c r="S42" s="622">
        <f>$E$42</f>
        <v>0</v>
      </c>
      <c r="T42" s="612"/>
      <c r="U42" s="622">
        <f>$E$42</f>
        <v>0</v>
      </c>
      <c r="V42" s="612"/>
      <c r="W42" s="622">
        <f>$E$42</f>
        <v>0</v>
      </c>
      <c r="X42" s="612"/>
      <c r="Y42" s="622">
        <f>$E$42</f>
        <v>0</v>
      </c>
      <c r="Z42" s="612"/>
      <c r="AA42" s="622">
        <f>$E$42</f>
        <v>0</v>
      </c>
      <c r="AB42" s="612"/>
      <c r="AC42" s="622">
        <f>$E$42</f>
        <v>0</v>
      </c>
      <c r="AD42" s="612"/>
      <c r="AE42" s="622">
        <f>$E$42</f>
        <v>0</v>
      </c>
      <c r="AF42" s="612"/>
      <c r="AG42" s="622">
        <f>$E$42</f>
        <v>0</v>
      </c>
      <c r="AH42" s="599"/>
      <c r="AI42" s="599"/>
    </row>
    <row r="43" spans="1:16384" ht="15">
      <c r="A43" s="613" t="s">
        <v>1203</v>
      </c>
      <c r="B43" s="613"/>
      <c r="C43" s="614"/>
      <c r="D43" s="613"/>
      <c r="E43" s="613">
        <f>SUM(E40:E42)</f>
        <v>5460</v>
      </c>
      <c r="F43" s="613"/>
      <c r="G43" s="613">
        <f>SUM(G40:G42)</f>
        <v>5460</v>
      </c>
      <c r="H43" s="613"/>
      <c r="I43" s="613">
        <f>SUM(I40:I42)</f>
        <v>5460</v>
      </c>
      <c r="J43" s="613"/>
      <c r="K43" s="613">
        <f>SUM(K40:K42)</f>
        <v>5460</v>
      </c>
      <c r="L43" s="613"/>
      <c r="M43" s="613">
        <f>SUM(M40:M42)</f>
        <v>5460</v>
      </c>
      <c r="N43" s="613"/>
      <c r="O43" s="613">
        <f>SUM(O40:O42)</f>
        <v>5460</v>
      </c>
      <c r="P43" s="613"/>
      <c r="Q43" s="613">
        <f>SUM(Q40:Q42)</f>
        <v>5460</v>
      </c>
      <c r="R43" s="613"/>
      <c r="S43" s="613">
        <f>SUM(S40:S42)</f>
        <v>5460</v>
      </c>
      <c r="T43" s="613"/>
      <c r="U43" s="613">
        <f>SUM(U40:U42)</f>
        <v>5460</v>
      </c>
      <c r="V43" s="613"/>
      <c r="W43" s="613">
        <f>SUM(W40:W42)</f>
        <v>5460</v>
      </c>
      <c r="X43" s="613"/>
      <c r="Y43" s="613">
        <f>SUM(Y40:Y42)</f>
        <v>5460</v>
      </c>
      <c r="Z43" s="613"/>
      <c r="AA43" s="613">
        <f>SUM(AA40:AA42)</f>
        <v>5460</v>
      </c>
      <c r="AB43" s="613"/>
      <c r="AC43" s="613">
        <f>SUM(AC40:AC42)</f>
        <v>5460</v>
      </c>
      <c r="AD43" s="613"/>
      <c r="AE43" s="613">
        <f>SUM(AE40:AE42)</f>
        <v>5460</v>
      </c>
      <c r="AF43" s="613"/>
      <c r="AG43" s="613">
        <f>SUM(AG40:AG42)</f>
        <v>5460</v>
      </c>
      <c r="AH43" s="613"/>
      <c r="AI43" s="613"/>
    </row>
    <row r="44" spans="1:16384" ht="14.25">
      <c r="A44" s="599"/>
      <c r="B44" s="599"/>
      <c r="C44" s="610"/>
      <c r="D44" s="599"/>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599"/>
      <c r="AI44" s="599"/>
    </row>
    <row r="45" spans="1:16384" ht="15">
      <c r="A45" s="613" t="s">
        <v>1204</v>
      </c>
      <c r="B45" s="613"/>
      <c r="C45" s="614"/>
      <c r="D45" s="613"/>
      <c r="E45" s="613">
        <f>E36+E37-E43</f>
        <v>86798.79999999993</v>
      </c>
      <c r="F45" s="613"/>
      <c r="G45" s="613">
        <f>G36+G37-G43</f>
        <v>84137.019999999902</v>
      </c>
      <c r="H45" s="613"/>
      <c r="I45" s="613">
        <f>I36+I37-I43</f>
        <v>81241.375499999966</v>
      </c>
      <c r="J45" s="613"/>
      <c r="K45" s="613">
        <f>K36+K37-K43</f>
        <v>78100.152437499724</v>
      </c>
      <c r="L45" s="613"/>
      <c r="M45" s="613">
        <f>M36+M37-M43</f>
        <v>74701.138312687282</v>
      </c>
      <c r="N45" s="613"/>
      <c r="O45" s="613">
        <f>O36+O37-O43</f>
        <v>71031.602527503273</v>
      </c>
      <c r="P45" s="613"/>
      <c r="Q45" s="613">
        <f>Q36+Q37-Q43</f>
        <v>67078.275981094455</v>
      </c>
      <c r="R45" s="613"/>
      <c r="S45" s="613">
        <f>S36+S37-S43</f>
        <v>62827.329894237802</v>
      </c>
      <c r="T45" s="613"/>
      <c r="U45" s="613">
        <f>U36+U37-U43</f>
        <v>58264.353834325681</v>
      </c>
      <c r="V45" s="613"/>
      <c r="W45" s="613">
        <f>W36+W37-W43</f>
        <v>53374.332911473</v>
      </c>
      <c r="X45" s="613"/>
      <c r="Y45" s="613">
        <f>Y36+Y37-Y43</f>
        <v>48141.624115242506</v>
      </c>
      <c r="Z45" s="613"/>
      <c r="AA45" s="613">
        <f>AA36+AA37-AA43</f>
        <v>42549.931760370615</v>
      </c>
      <c r="AB45" s="613"/>
      <c r="AC45" s="613">
        <f>AC36+AC37-AC43</f>
        <v>36582.282008744543</v>
      </c>
      <c r="AD45" s="613"/>
      <c r="AE45" s="613">
        <f>AE36+AE37-AE43</f>
        <v>30220.996433682041</v>
      </c>
      <c r="AF45" s="613"/>
      <c r="AG45" s="613">
        <f>AG36+AG37-AG43</f>
        <v>23447.664591348381</v>
      </c>
      <c r="AH45" s="613"/>
      <c r="AI45" s="613"/>
    </row>
    <row r="46" spans="1:16384" ht="14.25">
      <c r="A46" s="599"/>
      <c r="B46" s="599"/>
      <c r="C46" s="610"/>
      <c r="D46" s="599"/>
      <c r="E46" s="612"/>
      <c r="F46" s="612"/>
      <c r="G46" s="612"/>
      <c r="H46" s="612"/>
      <c r="I46" s="612"/>
      <c r="J46" s="612"/>
      <c r="K46" s="612"/>
      <c r="L46" s="612"/>
      <c r="M46" s="612"/>
      <c r="N46" s="612"/>
      <c r="O46" s="612"/>
      <c r="P46" s="612"/>
      <c r="Q46" s="612"/>
      <c r="R46" s="612"/>
      <c r="S46" s="612"/>
      <c r="T46" s="612"/>
      <c r="U46" s="612"/>
      <c r="V46" s="612"/>
      <c r="W46" s="612"/>
      <c r="X46" s="612"/>
      <c r="Y46" s="612"/>
      <c r="Z46" s="612"/>
      <c r="AA46" s="612"/>
      <c r="AB46" s="612"/>
      <c r="AC46" s="612"/>
      <c r="AD46" s="612"/>
      <c r="AE46" s="612"/>
      <c r="AF46" s="612"/>
      <c r="AG46" s="612"/>
      <c r="AH46" s="599"/>
      <c r="AI46" s="599"/>
    </row>
    <row r="47" spans="1:16384" ht="14.25">
      <c r="A47" s="617" t="s">
        <v>1205</v>
      </c>
      <c r="B47" s="617"/>
      <c r="C47" s="610"/>
      <c r="D47" s="617"/>
      <c r="E47" s="617">
        <f>E45/(E4+E6+E8)</f>
        <v>0.14420704962917663</v>
      </c>
      <c r="F47" s="617"/>
      <c r="G47" s="617">
        <f>G45/(G4+G6+G8)</f>
        <v>0.13637539800528911</v>
      </c>
      <c r="H47" s="617"/>
      <c r="I47" s="617">
        <f>I45/(I4+I6+I8)</f>
        <v>0.1284701725979564</v>
      </c>
      <c r="J47" s="617"/>
      <c r="K47" s="617">
        <f>K45/(K4+K6+K8)</f>
        <v>0.12049056917083928</v>
      </c>
      <c r="L47" s="617"/>
      <c r="M47" s="617">
        <f>M45/(M4+M6+M8)</f>
        <v>0.11243577783442998</v>
      </c>
      <c r="N47" s="617"/>
      <c r="O47" s="617">
        <f>O45/(O4+O6+O8)</f>
        <v>0.10430498293699463</v>
      </c>
      <c r="P47" s="617"/>
      <c r="Q47" s="617">
        <f>Q45/(Q4+Q6+Q8)</f>
        <v>9.6097362955772966E-2</v>
      </c>
      <c r="R47" s="617"/>
      <c r="S47" s="617">
        <f>S45/(S4+S6+S8)</f>
        <v>8.7812090388400016E-2</v>
      </c>
      <c r="T47" s="617"/>
      <c r="U47" s="617">
        <f>U45/(U4+U6+U8)</f>
        <v>7.9448331644520476E-2</v>
      </c>
      <c r="V47" s="617"/>
      <c r="W47" s="617">
        <f>W45/(W4+W6+W8)</f>
        <v>7.1005246937568267E-2</v>
      </c>
      <c r="X47" s="617"/>
      <c r="Y47" s="617">
        <f>Y45/(Y4+Y6+Y8)</f>
        <v>6.2481990176686292E-2</v>
      </c>
      <c r="Z47" s="617"/>
      <c r="AA47" s="617">
        <f>AA45/(AA4+AA6+AA8)</f>
        <v>5.3877708858750512E-2</v>
      </c>
      <c r="AB47" s="617"/>
      <c r="AC47" s="617">
        <f>AC45/(AC4+AC6+AC8)</f>
        <v>4.5191543960480626E-2</v>
      </c>
      <c r="AD47" s="617"/>
      <c r="AE47" s="617">
        <f>AE45/(AE4+AE6+AE8)</f>
        <v>3.6422629830601912E-2</v>
      </c>
      <c r="AF47" s="617"/>
      <c r="AG47" s="617">
        <f>AG45/(AG4+AG6+AG8)</f>
        <v>2.7570094082038202E-2</v>
      </c>
      <c r="AH47" s="617"/>
      <c r="AI47" s="617"/>
    </row>
    <row r="48" spans="1:16384" ht="14.25">
      <c r="A48" s="617" t="s">
        <v>1206</v>
      </c>
      <c r="B48" s="617"/>
      <c r="C48" s="610"/>
      <c r="D48" s="617"/>
      <c r="E48" s="617">
        <f>E45/E43</f>
        <v>15.897216117216104</v>
      </c>
      <c r="F48" s="617"/>
      <c r="G48" s="617">
        <f>G45/G43</f>
        <v>15.409710622710605</v>
      </c>
      <c r="H48" s="617"/>
      <c r="I48" s="617">
        <f>I45/I43</f>
        <v>14.879372802197796</v>
      </c>
      <c r="J48" s="617"/>
      <c r="K48" s="617">
        <f>K45/K43</f>
        <v>14.304057222985298</v>
      </c>
      <c r="L48" s="617"/>
      <c r="M48" s="617">
        <f>M45/M43</f>
        <v>13.68152716349584</v>
      </c>
      <c r="N48" s="617"/>
      <c r="O48" s="617">
        <f>O45/O43</f>
        <v>13.009451012363236</v>
      </c>
      <c r="P48" s="617"/>
      <c r="Q48" s="617">
        <f>Q45/Q43</f>
        <v>12.28539853133598</v>
      </c>
      <c r="R48" s="617"/>
      <c r="S48" s="617">
        <f>S45/S43</f>
        <v>11.50683697696663</v>
      </c>
      <c r="T48" s="617"/>
      <c r="U48" s="617">
        <f>U45/U43</f>
        <v>10.671127075883824</v>
      </c>
      <c r="V48" s="617"/>
      <c r="W48" s="617">
        <f>W45/W43</f>
        <v>9.7755188482551283</v>
      </c>
      <c r="X48" s="617"/>
      <c r="Y48" s="617">
        <f>Y45/Y43</f>
        <v>8.8171472738539389</v>
      </c>
      <c r="Z48" s="617"/>
      <c r="AA48" s="617">
        <f>AA45/AA43</f>
        <v>7.7930277949396727</v>
      </c>
      <c r="AB48" s="617"/>
      <c r="AC48" s="617">
        <f>AC45/AC43</f>
        <v>6.7000516499532132</v>
      </c>
      <c r="AD48" s="617"/>
      <c r="AE48" s="617">
        <f>AE45/AE43</f>
        <v>5.534981031809898</v>
      </c>
      <c r="AF48" s="617"/>
      <c r="AG48" s="617">
        <f>AG45/AG43</f>
        <v>4.2944440643495199</v>
      </c>
      <c r="AH48" s="617"/>
      <c r="AI48" s="617"/>
    </row>
    <row r="49" spans="1:35" ht="14.25">
      <c r="A49" s="618" t="s">
        <v>1207</v>
      </c>
      <c r="B49" s="618"/>
      <c r="C49" s="619"/>
      <c r="D49" s="618"/>
      <c r="E49" s="618">
        <f>E36/E43</f>
        <v>8.811135531135518</v>
      </c>
      <c r="F49" s="618"/>
      <c r="G49" s="618">
        <f>G36/G43</f>
        <v>8.3236300366300195</v>
      </c>
      <c r="H49" s="618"/>
      <c r="I49" s="618">
        <f>I36/I43</f>
        <v>7.7932922161172096</v>
      </c>
      <c r="J49" s="618"/>
      <c r="K49" s="618">
        <f>K36/K43</f>
        <v>7.2179766369047114</v>
      </c>
      <c r="L49" s="618"/>
      <c r="M49" s="618">
        <f>M36/M43</f>
        <v>6.5954465774152533</v>
      </c>
      <c r="N49" s="618"/>
      <c r="O49" s="618">
        <f>O36/O43</f>
        <v>5.9233704262826512</v>
      </c>
      <c r="P49" s="618"/>
      <c r="Q49" s="618">
        <f>Q36/Q43</f>
        <v>5.1993179452553946</v>
      </c>
      <c r="R49" s="618"/>
      <c r="S49" s="618">
        <f>S36/S43</f>
        <v>4.4207563908860443</v>
      </c>
      <c r="T49" s="618"/>
      <c r="U49" s="618">
        <f>U36/U43</f>
        <v>3.5850464898032381</v>
      </c>
      <c r="V49" s="618"/>
      <c r="W49" s="618">
        <f>W36/W43</f>
        <v>2.6894382621745421</v>
      </c>
      <c r="X49" s="618"/>
      <c r="Y49" s="618">
        <f>Y36/Y43</f>
        <v>1.7310666877733527</v>
      </c>
      <c r="Z49" s="618"/>
      <c r="AA49" s="618">
        <f>AA36/AA43</f>
        <v>0.70694720885908702</v>
      </c>
      <c r="AB49" s="618"/>
      <c r="AC49" s="618">
        <f>AC36/AC43</f>
        <v>-0.38602893612737299</v>
      </c>
      <c r="AD49" s="618"/>
      <c r="AE49" s="618">
        <f>AE36/AE43</f>
        <v>-1.5510995542706885</v>
      </c>
      <c r="AF49" s="618"/>
      <c r="AG49" s="618">
        <f>AG36/AG43</f>
        <v>-2.7916365217310659</v>
      </c>
      <c r="AH49" s="618"/>
      <c r="AI49" s="618"/>
    </row>
    <row r="50" spans="1:35" ht="14.25">
      <c r="A50" s="620"/>
      <c r="B50" s="620"/>
      <c r="C50" s="621"/>
      <c r="D50" s="620"/>
      <c r="E50" s="622"/>
      <c r="F50" s="622"/>
      <c r="G50" s="622"/>
      <c r="H50" s="622"/>
      <c r="I50" s="622"/>
      <c r="J50" s="622"/>
      <c r="K50" s="622"/>
      <c r="L50" s="622"/>
      <c r="M50" s="622"/>
      <c r="N50" s="622"/>
      <c r="O50" s="622"/>
      <c r="P50" s="622"/>
      <c r="Q50" s="622"/>
      <c r="R50" s="622"/>
      <c r="S50" s="622"/>
      <c r="T50" s="622"/>
      <c r="U50" s="622"/>
      <c r="V50" s="622"/>
      <c r="W50" s="622"/>
      <c r="X50" s="622"/>
      <c r="Y50" s="622"/>
      <c r="Z50" s="622"/>
      <c r="AA50" s="622"/>
      <c r="AB50" s="622"/>
      <c r="AC50" s="622"/>
      <c r="AD50" s="622"/>
      <c r="AE50" s="622"/>
      <c r="AF50" s="622"/>
      <c r="AG50" s="622"/>
      <c r="AH50" s="599"/>
      <c r="AI50" s="599"/>
    </row>
    <row r="51" spans="1:35">
      <c r="A51" s="581" t="s">
        <v>1208</v>
      </c>
      <c r="B51" s="581"/>
      <c r="C51" s="623"/>
      <c r="D51" s="581"/>
      <c r="E51" s="606"/>
      <c r="F51" s="606"/>
      <c r="G51" s="606"/>
      <c r="H51" s="606"/>
      <c r="I51" s="606"/>
      <c r="J51" s="606"/>
      <c r="K51" s="606"/>
      <c r="L51" s="606"/>
      <c r="M51" s="606"/>
      <c r="N51" s="606"/>
      <c r="O51" s="606"/>
      <c r="P51" s="606"/>
      <c r="Q51" s="606"/>
      <c r="R51" s="606"/>
      <c r="S51" s="606"/>
      <c r="T51" s="606"/>
      <c r="U51" s="606"/>
      <c r="V51" s="606"/>
      <c r="W51" s="606"/>
      <c r="X51" s="606"/>
      <c r="Y51" s="606"/>
      <c r="Z51" s="606"/>
      <c r="AA51" s="606"/>
      <c r="AB51" s="606"/>
      <c r="AC51" s="606"/>
      <c r="AD51" s="606"/>
      <c r="AE51" s="606"/>
      <c r="AF51" s="606"/>
      <c r="AG51" s="606"/>
      <c r="AH51" s="581"/>
      <c r="AI51" s="581"/>
    </row>
    <row r="52" spans="1:35" s="1383" customFormat="1">
      <c r="A52" s="581"/>
      <c r="B52" s="581"/>
      <c r="C52" s="623"/>
      <c r="D52" s="581"/>
      <c r="E52" s="606"/>
      <c r="F52" s="606"/>
      <c r="G52" s="606"/>
      <c r="H52" s="606"/>
      <c r="I52" s="606"/>
      <c r="J52" s="606"/>
      <c r="K52" s="606"/>
      <c r="L52" s="606"/>
      <c r="M52" s="606"/>
      <c r="N52" s="606"/>
      <c r="O52" s="606"/>
      <c r="P52" s="606"/>
      <c r="Q52" s="606"/>
      <c r="R52" s="606"/>
      <c r="S52" s="606"/>
      <c r="T52" s="606"/>
      <c r="U52" s="606"/>
      <c r="V52" s="606"/>
      <c r="W52" s="606"/>
      <c r="X52" s="606"/>
      <c r="Y52" s="606"/>
      <c r="Z52" s="606"/>
      <c r="AA52" s="606"/>
      <c r="AB52" s="606"/>
      <c r="AC52" s="606"/>
      <c r="AD52" s="606"/>
      <c r="AE52" s="606"/>
      <c r="AF52" s="606"/>
      <c r="AG52" s="606"/>
      <c r="AH52" s="581"/>
      <c r="AI52" s="581"/>
    </row>
    <row r="53" spans="1:35">
      <c r="A53" s="597" t="s">
        <v>1209</v>
      </c>
      <c r="B53" s="597"/>
      <c r="C53" s="1543">
        <v>1.03</v>
      </c>
      <c r="D53" s="597"/>
      <c r="E53" s="626">
        <v>25000</v>
      </c>
      <c r="F53" s="597"/>
      <c r="G53" s="1546">
        <f>E53*$C$53</f>
        <v>25750</v>
      </c>
      <c r="H53" s="1406"/>
      <c r="I53" s="1406">
        <f>G53*$C$53</f>
        <v>26522.5</v>
      </c>
      <c r="J53" s="1406"/>
      <c r="K53" s="1406">
        <f>I53*$C$53</f>
        <v>27318.174999999999</v>
      </c>
      <c r="L53" s="1406"/>
      <c r="M53" s="1406">
        <f>K53*$C$53</f>
        <v>28137.720249999998</v>
      </c>
      <c r="N53" s="1406"/>
      <c r="O53" s="1406">
        <f>M53*$C$53</f>
        <v>28981.851857499998</v>
      </c>
      <c r="P53" s="1406"/>
      <c r="Q53" s="1406">
        <f>O53*$C$53</f>
        <v>29851.307413225</v>
      </c>
      <c r="R53" s="1406"/>
      <c r="S53" s="1406">
        <f>Q53*$C$53</f>
        <v>30746.84663562175</v>
      </c>
      <c r="T53" s="1406"/>
      <c r="U53" s="1406">
        <f>S53*$C$53</f>
        <v>31669.252034690402</v>
      </c>
      <c r="V53" s="1406"/>
      <c r="W53" s="1406">
        <f>U53*$C$53</f>
        <v>32619.329595731117</v>
      </c>
      <c r="X53" s="1406"/>
      <c r="Y53" s="1406">
        <f>W53*$C$53</f>
        <v>33597.909483603049</v>
      </c>
      <c r="Z53" s="1406"/>
      <c r="AA53" s="1406">
        <f>AA45-AA54</f>
        <v>32168.17772993727</v>
      </c>
      <c r="AB53" s="1406"/>
      <c r="AC53" s="1406">
        <f>AC45-AC54</f>
        <v>25889.0753573982</v>
      </c>
      <c r="AD53" s="1406"/>
      <c r="AE53" s="1406">
        <f>AE45-AE54</f>
        <v>19206.993582795309</v>
      </c>
      <c r="AF53" s="1406"/>
      <c r="AG53" s="1406">
        <f>AG45-AG54</f>
        <v>12103.241654935044</v>
      </c>
      <c r="AH53" s="597"/>
      <c r="AI53" s="597"/>
    </row>
    <row r="54" spans="1:35">
      <c r="A54" s="581" t="s">
        <v>1210</v>
      </c>
      <c r="B54" s="581"/>
      <c r="C54" s="636">
        <v>1.03</v>
      </c>
      <c r="D54" s="581"/>
      <c r="E54" s="627">
        <v>7500</v>
      </c>
      <c r="F54" s="606"/>
      <c r="G54" s="1405">
        <f t="shared" ref="G54:AG57" si="14">E54*$C$53</f>
        <v>7725</v>
      </c>
      <c r="H54" s="1405"/>
      <c r="I54" s="1405">
        <f t="shared" si="14"/>
        <v>7956.75</v>
      </c>
      <c r="J54" s="1405"/>
      <c r="K54" s="1405">
        <f t="shared" si="14"/>
        <v>8195.4524999999994</v>
      </c>
      <c r="L54" s="1405"/>
      <c r="M54" s="1405">
        <f t="shared" si="14"/>
        <v>8441.3160749999988</v>
      </c>
      <c r="N54" s="1405"/>
      <c r="O54" s="1405">
        <f t="shared" si="14"/>
        <v>8694.5555572499998</v>
      </c>
      <c r="P54" s="1405"/>
      <c r="Q54" s="1405">
        <f t="shared" si="14"/>
        <v>8955.3922239674994</v>
      </c>
      <c r="R54" s="1405"/>
      <c r="S54" s="1405">
        <f t="shared" si="14"/>
        <v>9224.0539906865251</v>
      </c>
      <c r="T54" s="1405"/>
      <c r="U54" s="1405">
        <f t="shared" si="14"/>
        <v>9500.7756104071213</v>
      </c>
      <c r="V54" s="1405"/>
      <c r="W54" s="1405">
        <f t="shared" si="14"/>
        <v>9785.7988787193353</v>
      </c>
      <c r="X54" s="1405"/>
      <c r="Y54" s="1405">
        <f t="shared" si="14"/>
        <v>10079.372845080916</v>
      </c>
      <c r="Z54" s="1405"/>
      <c r="AA54" s="1405">
        <f>Y54*$C$53</f>
        <v>10381.754030433343</v>
      </c>
      <c r="AB54" s="1405"/>
      <c r="AC54" s="1405">
        <f t="shared" si="14"/>
        <v>10693.206651346343</v>
      </c>
      <c r="AD54" s="1405"/>
      <c r="AE54" s="1405">
        <f t="shared" si="14"/>
        <v>11014.002850886734</v>
      </c>
      <c r="AF54" s="1405"/>
      <c r="AG54" s="1405">
        <f t="shared" si="14"/>
        <v>11344.422936413337</v>
      </c>
      <c r="AH54" s="606"/>
      <c r="AI54" s="606"/>
    </row>
    <row r="55" spans="1:35">
      <c r="A55" s="581" t="s">
        <v>1211</v>
      </c>
      <c r="B55" s="581"/>
      <c r="C55" s="636"/>
      <c r="D55" s="581"/>
      <c r="E55" s="627"/>
      <c r="F55" s="606"/>
      <c r="G55" s="1405">
        <f t="shared" si="14"/>
        <v>0</v>
      </c>
      <c r="H55" s="1405"/>
      <c r="I55" s="1405">
        <f t="shared" si="14"/>
        <v>0</v>
      </c>
      <c r="J55" s="1405"/>
      <c r="K55" s="1405">
        <f t="shared" si="14"/>
        <v>0</v>
      </c>
      <c r="L55" s="1405"/>
      <c r="M55" s="1405">
        <f t="shared" si="14"/>
        <v>0</v>
      </c>
      <c r="N55" s="1405"/>
      <c r="O55" s="1405">
        <f t="shared" si="14"/>
        <v>0</v>
      </c>
      <c r="P55" s="1405"/>
      <c r="Q55" s="1405">
        <f t="shared" si="14"/>
        <v>0</v>
      </c>
      <c r="R55" s="1405"/>
      <c r="S55" s="1405">
        <f t="shared" si="14"/>
        <v>0</v>
      </c>
      <c r="T55" s="1405"/>
      <c r="U55" s="1405">
        <f t="shared" si="14"/>
        <v>0</v>
      </c>
      <c r="V55" s="1405"/>
      <c r="W55" s="1405">
        <f t="shared" si="14"/>
        <v>0</v>
      </c>
      <c r="X55" s="1405"/>
      <c r="Y55" s="1405">
        <f t="shared" si="14"/>
        <v>0</v>
      </c>
      <c r="Z55" s="1405"/>
      <c r="AA55" s="1405">
        <f t="shared" si="14"/>
        <v>0</v>
      </c>
      <c r="AB55" s="1405"/>
      <c r="AC55" s="1405">
        <f t="shared" si="14"/>
        <v>0</v>
      </c>
      <c r="AD55" s="1405"/>
      <c r="AE55" s="1405">
        <f t="shared" si="14"/>
        <v>0</v>
      </c>
      <c r="AF55" s="1405"/>
      <c r="AG55" s="1405">
        <f t="shared" si="14"/>
        <v>0</v>
      </c>
      <c r="AH55" s="606"/>
      <c r="AI55" s="606"/>
    </row>
    <row r="56" spans="1:35">
      <c r="A56" s="625"/>
      <c r="B56" s="625"/>
      <c r="C56" s="636"/>
      <c r="D56" s="581"/>
      <c r="E56" s="627"/>
      <c r="F56" s="606"/>
      <c r="G56" s="1405">
        <f t="shared" si="14"/>
        <v>0</v>
      </c>
      <c r="H56" s="1405"/>
      <c r="I56" s="1405">
        <f t="shared" si="14"/>
        <v>0</v>
      </c>
      <c r="J56" s="1405"/>
      <c r="K56" s="1405">
        <f t="shared" si="14"/>
        <v>0</v>
      </c>
      <c r="L56" s="1405"/>
      <c r="M56" s="1405">
        <f t="shared" si="14"/>
        <v>0</v>
      </c>
      <c r="N56" s="1405"/>
      <c r="O56" s="1405">
        <f t="shared" si="14"/>
        <v>0</v>
      </c>
      <c r="P56" s="1405"/>
      <c r="Q56" s="1405">
        <f t="shared" si="14"/>
        <v>0</v>
      </c>
      <c r="R56" s="1405"/>
      <c r="S56" s="1405">
        <f t="shared" si="14"/>
        <v>0</v>
      </c>
      <c r="T56" s="1405"/>
      <c r="U56" s="1405">
        <f t="shared" si="14"/>
        <v>0</v>
      </c>
      <c r="V56" s="1405"/>
      <c r="W56" s="1405">
        <f t="shared" si="14"/>
        <v>0</v>
      </c>
      <c r="X56" s="1405"/>
      <c r="Y56" s="1405">
        <f t="shared" si="14"/>
        <v>0</v>
      </c>
      <c r="Z56" s="1405"/>
      <c r="AA56" s="1405">
        <f t="shared" si="14"/>
        <v>0</v>
      </c>
      <c r="AB56" s="1405"/>
      <c r="AC56" s="1405">
        <f t="shared" si="14"/>
        <v>0</v>
      </c>
      <c r="AD56" s="1405"/>
      <c r="AE56" s="1405">
        <f t="shared" si="14"/>
        <v>0</v>
      </c>
      <c r="AF56" s="1405"/>
      <c r="AG56" s="1405">
        <f t="shared" si="14"/>
        <v>0</v>
      </c>
      <c r="AH56" s="606"/>
      <c r="AI56" s="606"/>
    </row>
    <row r="57" spans="1:35">
      <c r="A57" s="625"/>
      <c r="B57" s="625"/>
      <c r="C57" s="636"/>
      <c r="D57" s="581"/>
      <c r="E57" s="632"/>
      <c r="F57" s="606"/>
      <c r="G57" s="1407">
        <f t="shared" si="14"/>
        <v>0</v>
      </c>
      <c r="H57" s="1405"/>
      <c r="I57" s="1407">
        <f t="shared" si="14"/>
        <v>0</v>
      </c>
      <c r="J57" s="1405"/>
      <c r="K57" s="1407">
        <f t="shared" si="14"/>
        <v>0</v>
      </c>
      <c r="L57" s="1405"/>
      <c r="M57" s="1407">
        <f t="shared" si="14"/>
        <v>0</v>
      </c>
      <c r="N57" s="1405"/>
      <c r="O57" s="1407">
        <f t="shared" si="14"/>
        <v>0</v>
      </c>
      <c r="P57" s="1405"/>
      <c r="Q57" s="1407">
        <f t="shared" si="14"/>
        <v>0</v>
      </c>
      <c r="R57" s="1405"/>
      <c r="S57" s="1407">
        <f t="shared" si="14"/>
        <v>0</v>
      </c>
      <c r="T57" s="1405"/>
      <c r="U57" s="1407">
        <f t="shared" si="14"/>
        <v>0</v>
      </c>
      <c r="V57" s="1405"/>
      <c r="W57" s="1407">
        <f t="shared" si="14"/>
        <v>0</v>
      </c>
      <c r="X57" s="1405"/>
      <c r="Y57" s="1407">
        <f t="shared" si="14"/>
        <v>0</v>
      </c>
      <c r="Z57" s="1405"/>
      <c r="AA57" s="1407">
        <f t="shared" si="14"/>
        <v>0</v>
      </c>
      <c r="AB57" s="1405"/>
      <c r="AC57" s="1407">
        <f t="shared" si="14"/>
        <v>0</v>
      </c>
      <c r="AD57" s="1405"/>
      <c r="AE57" s="1407">
        <f t="shared" si="14"/>
        <v>0</v>
      </c>
      <c r="AF57" s="1405"/>
      <c r="AG57" s="1407">
        <f t="shared" si="14"/>
        <v>0</v>
      </c>
      <c r="AH57" s="606"/>
      <c r="AI57" s="606"/>
    </row>
    <row r="58" spans="1:35">
      <c r="A58" s="597" t="s">
        <v>1212</v>
      </c>
      <c r="B58" s="581"/>
      <c r="C58" s="623"/>
      <c r="D58" s="581"/>
      <c r="E58" s="606">
        <f>SUM(E53:E57)</f>
        <v>32500</v>
      </c>
      <c r="F58" s="606"/>
      <c r="G58" s="606">
        <f>SUM(G53:G57)</f>
        <v>33475</v>
      </c>
      <c r="H58" s="606"/>
      <c r="I58" s="606">
        <f>SUM(I53:I57)</f>
        <v>34479.25</v>
      </c>
      <c r="J58" s="606"/>
      <c r="K58" s="606">
        <f>SUM(K53:K57)</f>
        <v>35513.627500000002</v>
      </c>
      <c r="L58" s="606"/>
      <c r="M58" s="606">
        <f>SUM(M53:M57)</f>
        <v>36579.036324999994</v>
      </c>
      <c r="N58" s="606"/>
      <c r="O58" s="606">
        <f>SUM(O53:O57)</f>
        <v>37676.40741475</v>
      </c>
      <c r="P58" s="606"/>
      <c r="Q58" s="606">
        <f>SUM(Q53:Q57)</f>
        <v>38806.699637192498</v>
      </c>
      <c r="R58" s="606"/>
      <c r="S58" s="606">
        <f>SUM(S53:S57)</f>
        <v>39970.900626308277</v>
      </c>
      <c r="T58" s="606"/>
      <c r="U58" s="606">
        <f>SUM(U53:U57)</f>
        <v>41170.027645097522</v>
      </c>
      <c r="V58" s="606"/>
      <c r="W58" s="606">
        <f>SUM(W53:W57)</f>
        <v>42405.128474450452</v>
      </c>
      <c r="X58" s="606"/>
      <c r="Y58" s="606">
        <f>SUM(Y53:Y57)</f>
        <v>43677.282328683963</v>
      </c>
      <c r="Z58" s="606"/>
      <c r="AA58" s="606">
        <f>SUM(AA53:AA57)</f>
        <v>42549.931760370615</v>
      </c>
      <c r="AB58" s="606"/>
      <c r="AC58" s="606">
        <f>SUM(AC53:AC57)</f>
        <v>36582.282008744543</v>
      </c>
      <c r="AD58" s="606"/>
      <c r="AE58" s="606">
        <f>SUM(AE53:AE57)</f>
        <v>30220.996433682041</v>
      </c>
      <c r="AF58" s="606"/>
      <c r="AG58" s="606">
        <f>SUM(AG53:AG57)</f>
        <v>23447.664591348381</v>
      </c>
      <c r="AH58" s="606"/>
      <c r="AI58" s="606"/>
    </row>
    <row r="59" spans="1:35">
      <c r="A59" s="597"/>
      <c r="B59" s="581"/>
      <c r="C59" s="623"/>
      <c r="D59" s="581"/>
      <c r="E59" s="606"/>
      <c r="F59" s="606"/>
      <c r="G59" s="606"/>
      <c r="H59" s="606"/>
      <c r="I59" s="606"/>
      <c r="J59" s="606"/>
      <c r="K59" s="606"/>
      <c r="L59" s="606"/>
      <c r="M59" s="606"/>
      <c r="N59" s="606"/>
      <c r="O59" s="606"/>
      <c r="P59" s="606"/>
      <c r="Q59" s="606"/>
      <c r="R59" s="606"/>
      <c r="S59" s="606"/>
      <c r="T59" s="606"/>
      <c r="U59" s="606"/>
      <c r="V59" s="606"/>
      <c r="W59" s="606"/>
      <c r="X59" s="606"/>
      <c r="Y59" s="606"/>
      <c r="Z59" s="606"/>
      <c r="AA59" s="606"/>
      <c r="AB59" s="606"/>
      <c r="AC59" s="606"/>
      <c r="AD59" s="606"/>
      <c r="AE59" s="606"/>
      <c r="AF59" s="606"/>
      <c r="AG59" s="606"/>
      <c r="AH59" s="606"/>
      <c r="AI59" s="606"/>
    </row>
    <row r="60" spans="1:35">
      <c r="A60" s="597" t="s">
        <v>1213</v>
      </c>
      <c r="B60" s="597"/>
      <c r="C60" s="624"/>
      <c r="D60" s="597"/>
      <c r="E60" s="597">
        <f>E45-E58</f>
        <v>54298.79999999993</v>
      </c>
      <c r="F60" s="597"/>
      <c r="G60" s="597">
        <f>G45-G58</f>
        <v>50662.019999999902</v>
      </c>
      <c r="H60" s="597"/>
      <c r="I60" s="597">
        <f>I45-I58</f>
        <v>46762.125499999966</v>
      </c>
      <c r="J60" s="597"/>
      <c r="K60" s="597">
        <f>K45-K58</f>
        <v>42586.524937499722</v>
      </c>
      <c r="L60" s="597"/>
      <c r="M60" s="597">
        <f>M45-M58</f>
        <v>38122.101987687289</v>
      </c>
      <c r="N60" s="597"/>
      <c r="O60" s="597">
        <f>O45-O58</f>
        <v>33355.195112753274</v>
      </c>
      <c r="P60" s="597"/>
      <c r="Q60" s="597">
        <f>Q45-Q58</f>
        <v>28271.576343901957</v>
      </c>
      <c r="R60" s="597"/>
      <c r="S60" s="597">
        <f>S45-S58</f>
        <v>22856.429267929525</v>
      </c>
      <c r="T60" s="597"/>
      <c r="U60" s="597">
        <f>U45-U58</f>
        <v>17094.326189228159</v>
      </c>
      <c r="V60" s="597"/>
      <c r="W60" s="597">
        <f>W45-W58</f>
        <v>10969.204437022549</v>
      </c>
      <c r="X60" s="597"/>
      <c r="Y60" s="597">
        <f>Y45-Y58</f>
        <v>4464.3417865585434</v>
      </c>
      <c r="Z60" s="597"/>
      <c r="AA60" s="597">
        <f>AA45-AA58</f>
        <v>0</v>
      </c>
      <c r="AB60" s="597"/>
      <c r="AC60" s="597">
        <f>AC45-AC58</f>
        <v>0</v>
      </c>
      <c r="AD60" s="597"/>
      <c r="AE60" s="597">
        <f>AE45-AE58</f>
        <v>0</v>
      </c>
      <c r="AF60" s="597"/>
      <c r="AG60" s="597">
        <f>AG45-AG58</f>
        <v>0</v>
      </c>
      <c r="AH60" s="597"/>
      <c r="AI60" s="597"/>
    </row>
    <row r="61" spans="1:35">
      <c r="A61" s="581"/>
      <c r="B61" s="581"/>
      <c r="C61" s="623"/>
      <c r="D61" s="581"/>
      <c r="E61" s="606"/>
      <c r="F61" s="606"/>
      <c r="G61" s="606"/>
      <c r="H61" s="606"/>
      <c r="I61" s="606"/>
      <c r="J61" s="606"/>
      <c r="K61" s="606"/>
      <c r="L61" s="606"/>
      <c r="M61" s="606"/>
      <c r="N61" s="606"/>
      <c r="O61" s="606"/>
      <c r="P61" s="606"/>
      <c r="Q61" s="606"/>
      <c r="R61" s="606"/>
      <c r="S61" s="606"/>
      <c r="T61" s="606"/>
      <c r="U61" s="606"/>
      <c r="V61" s="606"/>
      <c r="W61" s="606"/>
      <c r="X61" s="606"/>
      <c r="Y61" s="606"/>
      <c r="Z61" s="606"/>
      <c r="AA61" s="606"/>
      <c r="AB61" s="606"/>
      <c r="AC61" s="606"/>
      <c r="AD61" s="606"/>
      <c r="AE61" s="606"/>
      <c r="AF61" s="606"/>
      <c r="AG61" s="606"/>
      <c r="AH61" s="606"/>
      <c r="AI61" s="606"/>
    </row>
    <row r="62" spans="1:35">
      <c r="A62" s="597" t="s">
        <v>1214</v>
      </c>
      <c r="B62" s="597"/>
      <c r="C62" s="1413"/>
      <c r="D62" s="597"/>
      <c r="E62" s="626"/>
      <c r="F62" s="597"/>
      <c r="G62" s="1412">
        <f>G60*$C$62</f>
        <v>0</v>
      </c>
      <c r="H62" s="1408"/>
      <c r="I62" s="1412">
        <f>I60*$C$62</f>
        <v>0</v>
      </c>
      <c r="J62" s="1408"/>
      <c r="K62" s="1412">
        <f>K60*$C$62</f>
        <v>0</v>
      </c>
      <c r="L62" s="1408"/>
      <c r="M62" s="1412">
        <f>M60*$C$62</f>
        <v>0</v>
      </c>
      <c r="N62" s="1408"/>
      <c r="O62" s="1412">
        <f>O60*$C$62</f>
        <v>0</v>
      </c>
      <c r="P62" s="1408"/>
      <c r="Q62" s="1412">
        <f>Q60*$C$62</f>
        <v>0</v>
      </c>
      <c r="R62" s="1408"/>
      <c r="S62" s="1412">
        <f>S60*$C$62</f>
        <v>0</v>
      </c>
      <c r="T62" s="1408"/>
      <c r="U62" s="1412">
        <f>U60*$C$62</f>
        <v>0</v>
      </c>
      <c r="V62" s="1408"/>
      <c r="W62" s="1412">
        <f>W60*$C$62</f>
        <v>0</v>
      </c>
      <c r="X62" s="1408"/>
      <c r="Y62" s="1412">
        <f>Y60*$C$62</f>
        <v>0</v>
      </c>
      <c r="Z62" s="1408"/>
      <c r="AA62" s="1412">
        <f>AA60*$C$62</f>
        <v>0</v>
      </c>
      <c r="AB62" s="597"/>
      <c r="AC62" s="1412">
        <f>AC60*$C$62</f>
        <v>0</v>
      </c>
      <c r="AD62" s="597"/>
      <c r="AE62" s="1412">
        <f>AE60*$C$62</f>
        <v>0</v>
      </c>
      <c r="AF62" s="597"/>
      <c r="AG62" s="1412">
        <f>AG60*$C$62</f>
        <v>0</v>
      </c>
      <c r="AH62" s="597"/>
      <c r="AI62" s="597"/>
    </row>
    <row r="63" spans="1:35" s="2" customFormat="1">
      <c r="A63" s="1408"/>
      <c r="B63" s="1408"/>
      <c r="C63" s="1409"/>
      <c r="D63" s="1408"/>
      <c r="E63" s="1408"/>
      <c r="F63" s="1408"/>
      <c r="G63" s="1408"/>
      <c r="H63" s="1408"/>
      <c r="I63" s="1408"/>
      <c r="J63" s="1408"/>
      <c r="K63" s="1408"/>
      <c r="L63" s="1408"/>
      <c r="M63" s="1408"/>
      <c r="N63" s="1408"/>
      <c r="O63" s="1408"/>
      <c r="P63" s="1408"/>
      <c r="Q63" s="1408"/>
      <c r="R63" s="1408"/>
      <c r="S63" s="1408"/>
      <c r="T63" s="1408"/>
      <c r="U63" s="1408"/>
      <c r="V63" s="1408"/>
      <c r="W63" s="1408"/>
      <c r="X63" s="1408"/>
      <c r="Y63" s="1408"/>
      <c r="Z63" s="1408"/>
      <c r="AA63" s="1408"/>
      <c r="AB63" s="1408"/>
      <c r="AC63" s="1408"/>
      <c r="AD63" s="1408"/>
      <c r="AE63" s="1408"/>
      <c r="AF63" s="1408"/>
      <c r="AG63" s="1408"/>
      <c r="AH63" s="1408"/>
      <c r="AI63" s="1408"/>
    </row>
    <row r="64" spans="1:35">
      <c r="A64" s="581"/>
      <c r="B64" s="581"/>
      <c r="C64" s="623"/>
      <c r="D64" s="581"/>
      <c r="E64" s="606"/>
      <c r="F64" s="606"/>
      <c r="G64" s="606"/>
      <c r="H64" s="606"/>
      <c r="I64" s="606"/>
      <c r="J64" s="606"/>
      <c r="K64" s="606"/>
      <c r="L64" s="606"/>
      <c r="M64" s="606"/>
      <c r="N64" s="606"/>
      <c r="O64" s="606"/>
      <c r="P64" s="606"/>
      <c r="Q64" s="606"/>
      <c r="R64" s="606"/>
      <c r="S64" s="606"/>
      <c r="T64" s="606"/>
      <c r="U64" s="606"/>
      <c r="V64" s="606"/>
      <c r="W64" s="606"/>
      <c r="X64" s="606"/>
      <c r="Y64" s="606"/>
      <c r="Z64" s="606"/>
      <c r="AA64" s="606"/>
      <c r="AB64" s="606"/>
      <c r="AC64" s="606"/>
      <c r="AD64" s="606"/>
      <c r="AE64" s="606"/>
      <c r="AF64" s="606"/>
      <c r="AG64" s="606"/>
      <c r="AH64" s="606"/>
      <c r="AI64" s="606"/>
    </row>
    <row r="65" spans="1:35">
      <c r="A65" s="581" t="s">
        <v>1215</v>
      </c>
      <c r="B65" s="581"/>
      <c r="C65" s="1414">
        <v>1</v>
      </c>
      <c r="D65" s="581"/>
      <c r="E65" s="606"/>
      <c r="F65" s="606"/>
      <c r="G65" s="606"/>
      <c r="H65" s="606"/>
      <c r="I65" s="606"/>
      <c r="J65" s="606"/>
      <c r="K65" s="606"/>
      <c r="L65" s="606"/>
      <c r="M65" s="606"/>
      <c r="N65" s="606"/>
      <c r="O65" s="606"/>
      <c r="P65" s="606"/>
      <c r="Q65" s="606"/>
      <c r="R65" s="606"/>
      <c r="S65" s="606"/>
      <c r="T65" s="606"/>
      <c r="U65" s="606"/>
      <c r="V65" s="606"/>
      <c r="W65" s="606"/>
      <c r="X65" s="606"/>
      <c r="Y65" s="606"/>
      <c r="Z65" s="606"/>
      <c r="AA65" s="606"/>
      <c r="AB65" s="606"/>
      <c r="AC65" s="606"/>
      <c r="AD65" s="606"/>
      <c r="AE65" s="606"/>
      <c r="AF65" s="606"/>
      <c r="AG65" s="606"/>
      <c r="AH65" s="606"/>
      <c r="AI65" s="606"/>
    </row>
    <row r="66" spans="1:35">
      <c r="A66" s="1548" t="str">
        <f>Application!C632</f>
        <v>Housing Relinquished Fund Corp</v>
      </c>
      <c r="B66" s="626"/>
      <c r="C66" s="1544">
        <v>0.31030000000000002</v>
      </c>
      <c r="D66" s="597"/>
      <c r="E66" s="626">
        <f>$E60*$C$66</f>
        <v>16848.917639999978</v>
      </c>
      <c r="F66" s="597"/>
      <c r="G66" s="597">
        <f>G60*$C$66</f>
        <v>15720.42480599997</v>
      </c>
      <c r="H66" s="597"/>
      <c r="I66" s="597">
        <f>I60*$C$66</f>
        <v>14510.28754264999</v>
      </c>
      <c r="J66" s="597"/>
      <c r="K66" s="597">
        <f>K60*$C$66</f>
        <v>13214.598688106165</v>
      </c>
      <c r="L66" s="597"/>
      <c r="M66" s="597">
        <f>M60*$C$66</f>
        <v>11829.288246779366</v>
      </c>
      <c r="N66" s="597"/>
      <c r="O66" s="597">
        <f>O60*$C$66</f>
        <v>10350.117043487342</v>
      </c>
      <c r="P66" s="597"/>
      <c r="Q66" s="597">
        <f>Q60*$C$66</f>
        <v>8772.6701395127784</v>
      </c>
      <c r="R66" s="597"/>
      <c r="S66" s="597">
        <f>S60*$C$66</f>
        <v>7092.3500018385321</v>
      </c>
      <c r="T66" s="597"/>
      <c r="U66" s="597">
        <f>U60*$C$66</f>
        <v>5304.3694165174984</v>
      </c>
      <c r="V66" s="597"/>
      <c r="W66" s="597">
        <f>W60*$C$66</f>
        <v>3403.7441368080972</v>
      </c>
      <c r="X66" s="597"/>
      <c r="Y66" s="597">
        <f>Y60*$C$66</f>
        <v>1385.285256369116</v>
      </c>
      <c r="Z66" s="597"/>
      <c r="AA66" s="597">
        <f>AA60*$C$66</f>
        <v>0</v>
      </c>
      <c r="AB66" s="597"/>
      <c r="AC66" s="597">
        <f>AC60*$C$66</f>
        <v>0</v>
      </c>
      <c r="AD66" s="597"/>
      <c r="AE66" s="597">
        <f>AE60*$C$66</f>
        <v>0</v>
      </c>
      <c r="AF66" s="597"/>
      <c r="AG66" s="597">
        <f>AG60*$C$66</f>
        <v>0</v>
      </c>
      <c r="AH66" s="597"/>
      <c r="AI66" s="597"/>
    </row>
    <row r="67" spans="1:35">
      <c r="A67" s="627" t="str">
        <f>Application!C633</f>
        <v>City of Fresno Loan</v>
      </c>
      <c r="B67" s="627"/>
      <c r="C67" s="1544">
        <v>0.46550000000000002</v>
      </c>
      <c r="D67" s="606"/>
      <c r="E67" s="627">
        <f>$E60*$C$67</f>
        <v>25276.091399999968</v>
      </c>
      <c r="F67" s="606"/>
      <c r="G67" s="1415">
        <f>G60*$C$67</f>
        <v>23583.170309999954</v>
      </c>
      <c r="H67" s="606"/>
      <c r="I67" s="1415">
        <f>I60*$C$67</f>
        <v>21767.769420249984</v>
      </c>
      <c r="J67" s="606"/>
      <c r="K67" s="1415">
        <f>K60*$C$67</f>
        <v>19824.027358406121</v>
      </c>
      <c r="L67" s="606"/>
      <c r="M67" s="1415">
        <f>M60*$C$67</f>
        <v>17745.838475268432</v>
      </c>
      <c r="N67" s="606"/>
      <c r="O67" s="1415">
        <f>O60*$C$67</f>
        <v>15526.84332498665</v>
      </c>
      <c r="P67" s="606"/>
      <c r="Q67" s="1415">
        <f>Q60*$C$67</f>
        <v>13160.418788086361</v>
      </c>
      <c r="R67" s="606"/>
      <c r="S67" s="1415">
        <f>S60*$C$67</f>
        <v>10639.667824221195</v>
      </c>
      <c r="T67" s="606"/>
      <c r="U67" s="1415">
        <f>U60*$C$67</f>
        <v>7957.4088410857084</v>
      </c>
      <c r="V67" s="606"/>
      <c r="W67" s="1415">
        <f>W60*$C$67</f>
        <v>5106.1646654339966</v>
      </c>
      <c r="X67" s="606"/>
      <c r="Y67" s="1415">
        <f>Y60*$C$67</f>
        <v>2078.1511016430022</v>
      </c>
      <c r="Z67" s="606"/>
      <c r="AA67" s="1415">
        <f>AA60*$C$65</f>
        <v>0</v>
      </c>
      <c r="AB67" s="606"/>
      <c r="AC67" s="1415">
        <f>AC60*$C$65</f>
        <v>0</v>
      </c>
      <c r="AD67" s="606"/>
      <c r="AE67" s="1415">
        <f>AE60*$C$65</f>
        <v>0</v>
      </c>
      <c r="AF67" s="606"/>
      <c r="AG67" s="1415">
        <f>AG60*$C$65</f>
        <v>0</v>
      </c>
      <c r="AH67" s="606"/>
      <c r="AI67" s="606"/>
    </row>
    <row r="68" spans="1:35" s="1383" customFormat="1">
      <c r="A68" s="626" t="str">
        <f>Application!C635</f>
        <v>NPLH Capital</v>
      </c>
      <c r="B68" s="626"/>
      <c r="C68" s="1544">
        <v>0.22420000000000001</v>
      </c>
      <c r="D68" s="597"/>
      <c r="E68" s="626">
        <f>E60*C68</f>
        <v>12173.790959999986</v>
      </c>
      <c r="F68" s="597"/>
      <c r="G68" s="1415">
        <f>G60*$C$68</f>
        <v>11358.424883999978</v>
      </c>
      <c r="H68" s="597"/>
      <c r="I68" s="1415">
        <f>I60*$C$68</f>
        <v>10484.068537099993</v>
      </c>
      <c r="J68" s="597"/>
      <c r="K68" s="1415">
        <f>K60*$C$68</f>
        <v>9547.8988909874388</v>
      </c>
      <c r="L68" s="597"/>
      <c r="M68" s="1415">
        <f>M60*$C$68</f>
        <v>8546.9752656394903</v>
      </c>
      <c r="N68" s="597"/>
      <c r="O68" s="1415">
        <f>O60*$C$68</f>
        <v>7478.2347442792843</v>
      </c>
      <c r="P68" s="597"/>
      <c r="Q68" s="1415">
        <f>Q60*$C$68</f>
        <v>6338.4874163028189</v>
      </c>
      <c r="R68" s="597"/>
      <c r="S68" s="1415">
        <f>S60*$C$68</f>
        <v>5124.4114418698</v>
      </c>
      <c r="T68" s="597"/>
      <c r="U68" s="1415">
        <f>U60*$C$68</f>
        <v>3832.5479316249534</v>
      </c>
      <c r="V68" s="597"/>
      <c r="W68" s="1415">
        <f>W60*$C$68</f>
        <v>2459.2956347804557</v>
      </c>
      <c r="X68" s="597"/>
      <c r="Y68" s="1415">
        <f>Y60*$C$68</f>
        <v>1000.9054285464255</v>
      </c>
      <c r="Z68" s="597"/>
      <c r="AA68" s="1415">
        <f>AA60*$C$65</f>
        <v>0</v>
      </c>
      <c r="AB68" s="597"/>
      <c r="AC68" s="1415">
        <f>AC60*$C$65</f>
        <v>0</v>
      </c>
      <c r="AD68" s="597"/>
      <c r="AE68" s="1415">
        <f>AE60*$C$65</f>
        <v>0</v>
      </c>
      <c r="AF68" s="597"/>
      <c r="AG68" s="1415">
        <f>AG60*$C$65</f>
        <v>0</v>
      </c>
      <c r="AH68" s="597"/>
      <c r="AI68" s="597"/>
    </row>
    <row r="69" spans="1:35" s="1383" customFormat="1">
      <c r="A69" s="627"/>
      <c r="B69" s="627"/>
      <c r="C69" s="607"/>
      <c r="D69" s="606"/>
      <c r="E69" s="632"/>
      <c r="F69" s="606"/>
      <c r="G69" s="1416"/>
      <c r="H69" s="606"/>
      <c r="I69" s="1416"/>
      <c r="J69" s="606"/>
      <c r="K69" s="1416"/>
      <c r="L69" s="606"/>
      <c r="M69" s="1416"/>
      <c r="N69" s="606"/>
      <c r="O69" s="1416"/>
      <c r="P69" s="606"/>
      <c r="Q69" s="1416"/>
      <c r="R69" s="606"/>
      <c r="S69" s="1416"/>
      <c r="T69" s="606"/>
      <c r="U69" s="1416"/>
      <c r="V69" s="606"/>
      <c r="W69" s="1416"/>
      <c r="X69" s="606"/>
      <c r="Y69" s="1416"/>
      <c r="Z69" s="606"/>
      <c r="AA69" s="1416"/>
      <c r="AB69" s="606"/>
      <c r="AC69" s="1416"/>
      <c r="AD69" s="606"/>
      <c r="AE69" s="1416"/>
      <c r="AF69" s="606"/>
      <c r="AG69" s="1416"/>
      <c r="AH69" s="606"/>
      <c r="AI69" s="606"/>
    </row>
    <row r="70" spans="1:35" s="2" customFormat="1">
      <c r="A70" s="1417" t="s">
        <v>1212</v>
      </c>
      <c r="B70" s="1410"/>
      <c r="C70" s="1411"/>
      <c r="D70" s="1410"/>
      <c r="E70" s="1408">
        <f>SUM(E66:E69)</f>
        <v>54298.79999999993</v>
      </c>
      <c r="F70" s="1408"/>
      <c r="G70" s="1408">
        <f>SUM(G66:G69)</f>
        <v>50662.019999999902</v>
      </c>
      <c r="H70" s="1408"/>
      <c r="I70" s="1408">
        <f>SUM(I66:I69)</f>
        <v>46762.125499999966</v>
      </c>
      <c r="J70" s="1408"/>
      <c r="K70" s="1408">
        <f>SUM(K66:K69)</f>
        <v>42586.524937499729</v>
      </c>
      <c r="L70" s="1408"/>
      <c r="M70" s="1408">
        <f>SUM(M66:M69)</f>
        <v>38122.101987687289</v>
      </c>
      <c r="N70" s="1408"/>
      <c r="O70" s="1408">
        <f>SUM(O66:O69)</f>
        <v>33355.195112753274</v>
      </c>
      <c r="P70" s="1408"/>
      <c r="Q70" s="1408">
        <f>SUM(Q66:Q69)</f>
        <v>28271.576343901957</v>
      </c>
      <c r="R70" s="1408"/>
      <c r="S70" s="1408">
        <f>SUM(S66:S69)</f>
        <v>22856.429267929529</v>
      </c>
      <c r="T70" s="1408"/>
      <c r="U70" s="1408">
        <f>SUM(U66:U69)</f>
        <v>17094.326189228163</v>
      </c>
      <c r="V70" s="1408"/>
      <c r="W70" s="1408">
        <f>SUM(W66:W69)</f>
        <v>10969.20443702255</v>
      </c>
      <c r="X70" s="1408"/>
      <c r="Y70" s="1408">
        <f>SUM(Y66:Y69)</f>
        <v>4464.3417865585434</v>
      </c>
      <c r="Z70" s="1408"/>
      <c r="AA70" s="1408">
        <f>SUM(AA66:AA69)</f>
        <v>0</v>
      </c>
      <c r="AB70" s="1408"/>
      <c r="AC70" s="1408">
        <f>SUM(AC66:AC69)</f>
        <v>0</v>
      </c>
      <c r="AD70" s="1408"/>
      <c r="AE70" s="1408">
        <f>SUM(AE66:AE69)</f>
        <v>0</v>
      </c>
      <c r="AF70" s="1408"/>
      <c r="AG70" s="1408">
        <f>SUM(AG66:AG69)</f>
        <v>0</v>
      </c>
      <c r="AH70" s="1410"/>
      <c r="AI70" s="1410"/>
    </row>
    <row r="71" spans="1:35" s="2" customFormat="1">
      <c r="A71" s="1410"/>
      <c r="B71" s="1410"/>
      <c r="C71" s="1411"/>
      <c r="D71" s="1410"/>
      <c r="E71" s="1410"/>
      <c r="F71" s="1410"/>
      <c r="G71" s="1410"/>
      <c r="H71" s="1410"/>
      <c r="I71" s="1410"/>
      <c r="J71" s="1410"/>
      <c r="K71" s="1410"/>
      <c r="L71" s="1410"/>
      <c r="M71" s="1410"/>
      <c r="N71" s="1410"/>
      <c r="O71" s="1410"/>
      <c r="P71" s="1410"/>
      <c r="Q71" s="1410"/>
      <c r="R71" s="1410"/>
      <c r="S71" s="1410"/>
      <c r="T71" s="1410"/>
      <c r="U71" s="1410"/>
      <c r="V71" s="1410"/>
      <c r="W71" s="1410"/>
      <c r="X71" s="1410"/>
      <c r="Y71" s="1410"/>
      <c r="Z71" s="1410"/>
      <c r="AA71" s="1410"/>
      <c r="AB71" s="1410"/>
      <c r="AC71" s="1410"/>
      <c r="AD71" s="1410"/>
      <c r="AE71" s="1410"/>
      <c r="AF71" s="1410"/>
      <c r="AG71" s="1410"/>
      <c r="AH71" s="1410"/>
      <c r="AI71" s="1410"/>
    </row>
    <row r="72" spans="1:35">
      <c r="A72" s="1417" t="s">
        <v>2221</v>
      </c>
      <c r="B72" s="606"/>
      <c r="C72" s="607"/>
      <c r="D72" s="606"/>
      <c r="E72" s="597">
        <f>E60-E62-E70</f>
        <v>0</v>
      </c>
      <c r="F72" s="606"/>
      <c r="G72" s="597">
        <f>G60-G62-G70</f>
        <v>0</v>
      </c>
      <c r="H72" s="606"/>
      <c r="I72" s="597">
        <f>I60-I62-I70</f>
        <v>0</v>
      </c>
      <c r="J72" s="606"/>
      <c r="K72" s="597">
        <f>K60-K62-K70</f>
        <v>0</v>
      </c>
      <c r="L72" s="606"/>
      <c r="M72" s="597">
        <f>M60-M62-M70</f>
        <v>0</v>
      </c>
      <c r="N72" s="606"/>
      <c r="O72" s="597">
        <f>O60-O62-O70</f>
        <v>0</v>
      </c>
      <c r="P72" s="606"/>
      <c r="Q72" s="597">
        <f>Q60-Q62-Q70</f>
        <v>0</v>
      </c>
      <c r="R72" s="606"/>
      <c r="S72" s="597">
        <f>S60-S62-S70</f>
        <v>0</v>
      </c>
      <c r="T72" s="606"/>
      <c r="U72" s="597">
        <f>U60-U62-U70</f>
        <v>0</v>
      </c>
      <c r="V72" s="606"/>
      <c r="W72" s="597">
        <f>W60-W62-W70</f>
        <v>0</v>
      </c>
      <c r="X72" s="606"/>
      <c r="Y72" s="597">
        <f>Y60-Y62-Y70</f>
        <v>0</v>
      </c>
      <c r="Z72" s="606"/>
      <c r="AA72" s="597">
        <f>AA60-AA62-AA70</f>
        <v>0</v>
      </c>
      <c r="AB72" s="606"/>
      <c r="AC72" s="597">
        <f>AC60-AC62-AC70</f>
        <v>0</v>
      </c>
      <c r="AD72" s="606"/>
      <c r="AE72" s="597">
        <f>AE60-AE62-AE70</f>
        <v>0</v>
      </c>
      <c r="AF72" s="606"/>
      <c r="AG72" s="597">
        <f>AG60-AG62-AG70</f>
        <v>0</v>
      </c>
      <c r="AH72" s="606"/>
      <c r="AI72" s="606"/>
    </row>
    <row r="73" spans="1:35" s="1383" customFormat="1">
      <c r="A73" s="606"/>
      <c r="B73" s="606"/>
      <c r="C73" s="607"/>
      <c r="D73" s="606"/>
      <c r="E73" s="597"/>
      <c r="F73" s="606"/>
      <c r="G73" s="606"/>
      <c r="H73" s="606"/>
      <c r="I73" s="606"/>
      <c r="J73" s="606"/>
      <c r="K73" s="606"/>
      <c r="L73" s="606"/>
      <c r="M73" s="606"/>
      <c r="N73" s="606"/>
      <c r="O73" s="606"/>
      <c r="P73" s="606"/>
      <c r="Q73" s="606"/>
      <c r="R73" s="606"/>
      <c r="S73" s="606"/>
      <c r="T73" s="606"/>
      <c r="U73" s="606"/>
      <c r="V73" s="606"/>
      <c r="W73" s="606"/>
      <c r="X73" s="606"/>
      <c r="Y73" s="606"/>
      <c r="Z73" s="606"/>
      <c r="AA73" s="606"/>
      <c r="AB73" s="606"/>
      <c r="AC73" s="606"/>
      <c r="AD73" s="606"/>
      <c r="AE73" s="606"/>
      <c r="AF73" s="606"/>
      <c r="AG73" s="606"/>
      <c r="AH73" s="606"/>
      <c r="AI73" s="606"/>
    </row>
    <row r="74" spans="1:35" s="1383" customFormat="1">
      <c r="A74" s="606"/>
      <c r="B74" s="606"/>
      <c r="C74" s="607"/>
      <c r="D74" s="606"/>
      <c r="E74" s="597"/>
      <c r="F74" s="606"/>
      <c r="G74" s="606"/>
      <c r="H74" s="606"/>
      <c r="I74" s="606"/>
      <c r="J74" s="606"/>
      <c r="K74" s="606"/>
      <c r="L74" s="606"/>
      <c r="M74" s="606"/>
      <c r="N74" s="606"/>
      <c r="O74" s="606"/>
      <c r="P74" s="606"/>
      <c r="Q74" s="606"/>
      <c r="R74" s="606"/>
      <c r="S74" s="606"/>
      <c r="T74" s="606"/>
      <c r="U74" s="606"/>
      <c r="V74" s="606"/>
      <c r="W74" s="606"/>
      <c r="X74" s="606"/>
      <c r="Y74" s="606"/>
      <c r="Z74" s="606"/>
      <c r="AA74" s="606"/>
      <c r="AB74" s="606"/>
      <c r="AC74" s="606"/>
      <c r="AD74" s="606"/>
      <c r="AE74" s="606"/>
      <c r="AF74" s="606"/>
      <c r="AG74" s="606"/>
      <c r="AH74" s="606"/>
      <c r="AI74" s="606"/>
    </row>
    <row r="75" spans="1:35">
      <c r="A75" s="606" t="s">
        <v>1515</v>
      </c>
      <c r="B75" s="606"/>
      <c r="C75" s="607"/>
      <c r="D75" s="606"/>
      <c r="E75" s="606"/>
      <c r="F75" s="606"/>
      <c r="G75" s="606"/>
      <c r="H75" s="606"/>
      <c r="I75" s="606"/>
      <c r="J75" s="606"/>
      <c r="K75" s="606"/>
      <c r="L75" s="606"/>
      <c r="M75" s="606"/>
      <c r="N75" s="606"/>
      <c r="O75" s="606"/>
      <c r="P75" s="606"/>
      <c r="Q75" s="606"/>
      <c r="R75" s="606"/>
      <c r="S75" s="606"/>
      <c r="T75" s="606"/>
      <c r="U75" s="606"/>
      <c r="V75" s="606"/>
      <c r="W75" s="606"/>
      <c r="X75" s="606"/>
      <c r="Y75" s="606"/>
      <c r="Z75" s="606"/>
      <c r="AA75" s="606"/>
      <c r="AB75" s="606"/>
      <c r="AC75" s="606"/>
      <c r="AD75" s="606"/>
      <c r="AE75" s="606"/>
      <c r="AF75" s="606"/>
      <c r="AG75" s="606"/>
      <c r="AH75" s="606"/>
      <c r="AI75" s="606"/>
    </row>
    <row r="76" spans="1:35">
      <c r="A76" s="606"/>
      <c r="B76" s="606"/>
      <c r="C76" s="607"/>
      <c r="D76" s="606"/>
      <c r="E76" s="606"/>
      <c r="F76" s="606"/>
      <c r="G76" s="606"/>
      <c r="H76" s="606"/>
      <c r="I76" s="606"/>
      <c r="J76" s="606"/>
      <c r="K76" s="606"/>
      <c r="L76" s="606"/>
      <c r="M76" s="606"/>
      <c r="N76" s="606"/>
      <c r="O76" s="606"/>
      <c r="P76" s="606"/>
      <c r="Q76" s="606"/>
      <c r="R76" s="606"/>
      <c r="S76" s="606"/>
      <c r="T76" s="606"/>
      <c r="U76" s="606"/>
      <c r="V76" s="606"/>
      <c r="W76" s="606"/>
      <c r="X76" s="606"/>
      <c r="Y76" s="606"/>
      <c r="Z76" s="606"/>
      <c r="AA76" s="606"/>
      <c r="AB76" s="606"/>
      <c r="AC76" s="606"/>
      <c r="AD76" s="606"/>
      <c r="AE76" s="606"/>
      <c r="AF76" s="606"/>
      <c r="AG76" s="606"/>
      <c r="AH76" s="606"/>
      <c r="AI76" s="606"/>
    </row>
    <row r="77" spans="1:35" ht="30" customHeight="1">
      <c r="A77" s="2712" t="s">
        <v>1216</v>
      </c>
      <c r="B77" s="2712"/>
      <c r="C77" s="2712"/>
      <c r="D77" s="2712"/>
      <c r="E77" s="2712"/>
      <c r="F77" s="2712"/>
      <c r="G77" s="2712"/>
      <c r="H77" s="2712"/>
      <c r="I77" s="2712"/>
      <c r="J77" s="2712"/>
      <c r="K77" s="2712"/>
      <c r="L77" s="2712"/>
      <c r="M77" s="2712"/>
      <c r="N77" s="2712"/>
      <c r="O77" s="2712"/>
      <c r="P77" s="2712"/>
      <c r="Q77" s="2712"/>
      <c r="R77" s="2712"/>
      <c r="S77" s="2712"/>
      <c r="T77" s="2712"/>
      <c r="U77" s="2712"/>
      <c r="V77" s="2712"/>
      <c r="W77" s="2712"/>
      <c r="X77" s="2712"/>
      <c r="Y77" s="2712"/>
      <c r="Z77" s="2712"/>
      <c r="AA77" s="2712"/>
      <c r="AB77" s="2712"/>
      <c r="AC77" s="2712"/>
      <c r="AD77" s="2712"/>
      <c r="AE77" s="2712"/>
      <c r="AF77" s="2712"/>
      <c r="AG77" s="2712"/>
      <c r="AH77" s="628"/>
      <c r="AI77" s="628"/>
    </row>
    <row r="78" spans="1:35" hidden="1">
      <c r="A78" s="603"/>
      <c r="B78" s="603"/>
      <c r="C78" s="605"/>
      <c r="D78" s="603"/>
      <c r="E78" s="603"/>
      <c r="F78" s="603"/>
      <c r="G78" s="603"/>
      <c r="H78" s="603"/>
      <c r="I78" s="603"/>
      <c r="J78" s="603"/>
      <c r="K78" s="603"/>
      <c r="L78" s="603"/>
      <c r="M78" s="603"/>
      <c r="N78" s="603"/>
      <c r="O78" s="603"/>
      <c r="P78" s="603"/>
      <c r="Q78" s="603"/>
      <c r="R78" s="603"/>
      <c r="S78" s="603"/>
      <c r="T78" s="603"/>
      <c r="U78" s="603"/>
      <c r="V78" s="603"/>
      <c r="W78" s="603"/>
      <c r="X78" s="603"/>
      <c r="Y78" s="603"/>
      <c r="Z78" s="603"/>
      <c r="AA78" s="603"/>
      <c r="AB78" s="603"/>
      <c r="AC78" s="603"/>
      <c r="AD78" s="603"/>
      <c r="AE78" s="603"/>
      <c r="AF78" s="603"/>
      <c r="AG78" s="603"/>
      <c r="AH78" s="603"/>
      <c r="AI78" s="603"/>
    </row>
    <row r="79" spans="1:35" hidden="1">
      <c r="C79" s="605"/>
    </row>
    <row r="80" spans="1:35" hidden="1">
      <c r="C80" s="605"/>
    </row>
    <row r="81" spans="3:3" hidden="1">
      <c r="C81" s="605"/>
    </row>
    <row r="82" spans="3:3" hidden="1">
      <c r="C82" s="605"/>
    </row>
    <row r="83" spans="3:3" hidden="1">
      <c r="C83" s="605"/>
    </row>
    <row r="84" spans="3:3" hidden="1">
      <c r="C84" s="605"/>
    </row>
    <row r="85" spans="3:3" hidden="1">
      <c r="C85" s="605"/>
    </row>
    <row r="86" spans="3:3" hidden="1">
      <c r="C86" s="605"/>
    </row>
    <row r="87" spans="3:3" hidden="1">
      <c r="C87" s="605"/>
    </row>
    <row r="88" spans="3:3" hidden="1">
      <c r="C88" s="605"/>
    </row>
    <row r="89" spans="3:3" hidden="1">
      <c r="C89" s="605"/>
    </row>
    <row r="90" spans="3:3" hidden="1">
      <c r="C90" s="605"/>
    </row>
    <row r="91" spans="3:3" hidden="1">
      <c r="C91" s="605"/>
    </row>
    <row r="92" spans="3:3" hidden="1">
      <c r="C92" s="605"/>
    </row>
    <row r="93" spans="3:3" hidden="1">
      <c r="C93" s="605"/>
    </row>
    <row r="94" spans="3:3" hidden="1">
      <c r="C94" s="605"/>
    </row>
    <row r="95" spans="3:3" hidden="1">
      <c r="C95" s="605"/>
    </row>
    <row r="96" spans="3:3" hidden="1">
      <c r="C96" s="605"/>
    </row>
    <row r="97" spans="3:3" hidden="1">
      <c r="C97" s="605"/>
    </row>
    <row r="98" spans="3:3" hidden="1">
      <c r="C98" s="605"/>
    </row>
    <row r="99" spans="3:3" hidden="1">
      <c r="C99" s="605"/>
    </row>
    <row r="100" spans="3:3" hidden="1">
      <c r="C100" s="605"/>
    </row>
    <row r="101" spans="3:3" hidden="1">
      <c r="C101" s="605"/>
    </row>
    <row r="102" spans="3:3" hidden="1">
      <c r="C102" s="605"/>
    </row>
    <row r="103" spans="3:3" hidden="1">
      <c r="C103" s="605"/>
    </row>
    <row r="104" spans="3:3" hidden="1">
      <c r="C104" s="605"/>
    </row>
    <row r="105" spans="3:3" hidden="1">
      <c r="C105" s="605"/>
    </row>
    <row r="106" spans="3:3" hidden="1">
      <c r="C106" s="605"/>
    </row>
    <row r="107" spans="3:3" hidden="1">
      <c r="C107" s="605"/>
    </row>
    <row r="108" spans="3:3" hidden="1">
      <c r="C108" s="605"/>
    </row>
    <row r="109" spans="3:3" hidden="1">
      <c r="C109" s="605"/>
    </row>
    <row r="110" spans="3:3" hidden="1">
      <c r="C110" s="605"/>
    </row>
    <row r="111" spans="3:3" hidden="1">
      <c r="C111" s="605"/>
    </row>
    <row r="112" spans="3:3" hidden="1">
      <c r="C112" s="605"/>
    </row>
    <row r="113" spans="3:3" hidden="1">
      <c r="C113" s="605"/>
    </row>
    <row r="114" spans="3:3" hidden="1">
      <c r="C114" s="605"/>
    </row>
    <row r="115" spans="3:3" hidden="1">
      <c r="C115" s="605"/>
    </row>
    <row r="116" spans="3:3" hidden="1">
      <c r="C116" s="605"/>
    </row>
    <row r="117" spans="3:3" hidden="1">
      <c r="C117" s="605"/>
    </row>
    <row r="118" spans="3:3" hidden="1">
      <c r="C118" s="605"/>
    </row>
    <row r="119" spans="3:3" hidden="1">
      <c r="C119" s="605"/>
    </row>
    <row r="120" spans="3:3" hidden="1">
      <c r="C120" s="605"/>
    </row>
    <row r="121" spans="3:3" hidden="1">
      <c r="C121" s="605"/>
    </row>
    <row r="122" spans="3:3" hidden="1">
      <c r="C122" s="605"/>
    </row>
    <row r="123" spans="3:3" hidden="1">
      <c r="C123" s="605"/>
    </row>
    <row r="124" spans="3:3" hidden="1">
      <c r="C124" s="605"/>
    </row>
    <row r="125" spans="3:3" hidden="1">
      <c r="C125" s="605"/>
    </row>
    <row r="126" spans="3:3" hidden="1">
      <c r="C126" s="605"/>
    </row>
    <row r="127" spans="3:3" hidden="1">
      <c r="C127" s="605"/>
    </row>
    <row r="128" spans="3:3" hidden="1">
      <c r="C128" s="605"/>
    </row>
    <row r="129" spans="3:3" hidden="1">
      <c r="C129" s="605"/>
    </row>
    <row r="130" spans="3:3" hidden="1">
      <c r="C130" s="605"/>
    </row>
    <row r="131" spans="3:3" hidden="1">
      <c r="C131" s="605"/>
    </row>
    <row r="132" spans="3:3" hidden="1">
      <c r="C132" s="605"/>
    </row>
    <row r="133" spans="3:3" hidden="1">
      <c r="C133" s="605"/>
    </row>
    <row r="134" spans="3:3" hidden="1">
      <c r="C134" s="605"/>
    </row>
    <row r="135" spans="3:3" hidden="1">
      <c r="C135" s="605"/>
    </row>
    <row r="136" spans="3:3" hidden="1">
      <c r="C136" s="605"/>
    </row>
    <row r="137" spans="3:3" hidden="1">
      <c r="C137" s="605"/>
    </row>
    <row r="138" spans="3:3" hidden="1">
      <c r="C138" s="605"/>
    </row>
    <row r="139" spans="3:3" hidden="1">
      <c r="C139" s="605"/>
    </row>
    <row r="140" spans="3:3" hidden="1">
      <c r="C140" s="605"/>
    </row>
    <row r="141" spans="3:3" hidden="1">
      <c r="C141" s="605"/>
    </row>
    <row r="142" spans="3:3" hidden="1">
      <c r="C142" s="605"/>
    </row>
    <row r="143" spans="3:3" hidden="1">
      <c r="C143" s="605"/>
    </row>
    <row r="144" spans="3:3" hidden="1">
      <c r="C144" s="605"/>
    </row>
    <row r="145" spans="3:3" hidden="1">
      <c r="C145" s="605"/>
    </row>
    <row r="146" spans="3:3" hidden="1">
      <c r="C146" s="605"/>
    </row>
    <row r="147" spans="3:3" hidden="1">
      <c r="C147" s="605"/>
    </row>
    <row r="148" spans="3:3" hidden="1">
      <c r="C148" s="605"/>
    </row>
    <row r="149" spans="3:3" hidden="1">
      <c r="C149" s="605"/>
    </row>
    <row r="150" spans="3:3" hidden="1">
      <c r="C150" s="605"/>
    </row>
    <row r="151" spans="3:3" hidden="1">
      <c r="C151" s="605"/>
    </row>
    <row r="152" spans="3:3" hidden="1">
      <c r="C152" s="605"/>
    </row>
    <row r="153" spans="3:3" hidden="1">
      <c r="C153" s="605"/>
    </row>
    <row r="154" spans="3:3" hidden="1">
      <c r="C154" s="605"/>
    </row>
    <row r="155" spans="3:3" hidden="1">
      <c r="C155" s="605"/>
    </row>
    <row r="156" spans="3:3" hidden="1">
      <c r="C156" s="605"/>
    </row>
    <row r="157" spans="3:3" hidden="1">
      <c r="C157" s="605"/>
    </row>
    <row r="158" spans="3:3" hidden="1">
      <c r="C158" s="605"/>
    </row>
    <row r="159" spans="3:3" hidden="1">
      <c r="C159" s="605"/>
    </row>
    <row r="160" spans="3:3" hidden="1">
      <c r="C160" s="605"/>
    </row>
    <row r="161" spans="3:3" hidden="1">
      <c r="C161" s="605"/>
    </row>
    <row r="162" spans="3:3" hidden="1">
      <c r="C162" s="605"/>
    </row>
    <row r="163" spans="3:3" hidden="1">
      <c r="C163" s="605"/>
    </row>
    <row r="164" spans="3:3" hidden="1">
      <c r="C164" s="605"/>
    </row>
    <row r="165" spans="3:3" hidden="1">
      <c r="C165" s="605"/>
    </row>
    <row r="166" spans="3:3" hidden="1">
      <c r="C166" s="605"/>
    </row>
    <row r="167" spans="3:3" hidden="1">
      <c r="C167" s="605"/>
    </row>
    <row r="168" spans="3:3" hidden="1">
      <c r="C168" s="605"/>
    </row>
    <row r="169" spans="3:3" hidden="1">
      <c r="C169" s="605"/>
    </row>
    <row r="170" spans="3:3" hidden="1">
      <c r="C170" s="605"/>
    </row>
    <row r="171" spans="3:3" hidden="1">
      <c r="C171" s="605"/>
    </row>
    <row r="172" spans="3:3" hidden="1">
      <c r="C172" s="605"/>
    </row>
    <row r="173" spans="3:3" hidden="1">
      <c r="C173" s="605"/>
    </row>
    <row r="174" spans="3:3" hidden="1">
      <c r="C174" s="605"/>
    </row>
    <row r="175" spans="3:3" hidden="1">
      <c r="C175" s="605"/>
    </row>
    <row r="176" spans="3:3" hidden="1">
      <c r="C176" s="605"/>
    </row>
    <row r="177" spans="3:3" hidden="1">
      <c r="C177" s="605"/>
    </row>
    <row r="178" spans="3:3" hidden="1">
      <c r="C178" s="605"/>
    </row>
    <row r="179" spans="3:3" hidden="1">
      <c r="C179" s="605"/>
    </row>
    <row r="180" spans="3:3" hidden="1">
      <c r="C180" s="605"/>
    </row>
    <row r="181" spans="3:3" hidden="1">
      <c r="C181" s="605"/>
    </row>
    <row r="182" spans="3:3" hidden="1">
      <c r="C182" s="605"/>
    </row>
    <row r="183" spans="3:3" hidden="1">
      <c r="C183" s="605"/>
    </row>
    <row r="184" spans="3:3" hidden="1">
      <c r="C184" s="605"/>
    </row>
    <row r="185" spans="3:3" hidden="1">
      <c r="C185" s="605"/>
    </row>
    <row r="186" spans="3:3" hidden="1">
      <c r="C186" s="605"/>
    </row>
    <row r="187" spans="3:3" hidden="1">
      <c r="C187" s="605"/>
    </row>
    <row r="188" spans="3:3" hidden="1">
      <c r="C188" s="605"/>
    </row>
    <row r="189" spans="3:3" hidden="1">
      <c r="C189" s="605"/>
    </row>
    <row r="190" spans="3:3" hidden="1">
      <c r="C190" s="605"/>
    </row>
    <row r="191" spans="3:3" hidden="1">
      <c r="C191" s="605"/>
    </row>
    <row r="192" spans="3:3" hidden="1">
      <c r="C192" s="605"/>
    </row>
    <row r="193" spans="3:3" hidden="1">
      <c r="C193" s="605"/>
    </row>
    <row r="194" spans="3:3" hidden="1">
      <c r="C194" s="605"/>
    </row>
    <row r="195" spans="3:3" hidden="1">
      <c r="C195" s="605"/>
    </row>
    <row r="196" spans="3:3" hidden="1">
      <c r="C196" s="605"/>
    </row>
    <row r="197" spans="3:3" hidden="1">
      <c r="C197" s="605"/>
    </row>
    <row r="198" spans="3:3" hidden="1">
      <c r="C198" s="605"/>
    </row>
    <row r="199" spans="3:3" hidden="1">
      <c r="C199" s="605"/>
    </row>
    <row r="200" spans="3:3" hidden="1">
      <c r="C200" s="605"/>
    </row>
    <row r="201" spans="3:3" hidden="1">
      <c r="C201" s="605"/>
    </row>
    <row r="202" spans="3:3" hidden="1">
      <c r="C202" s="605"/>
    </row>
    <row r="203" spans="3:3" hidden="1">
      <c r="C203" s="605"/>
    </row>
    <row r="204" spans="3:3" hidden="1">
      <c r="C204" s="605"/>
    </row>
    <row r="205" spans="3:3" hidden="1">
      <c r="C205" s="605"/>
    </row>
    <row r="206" spans="3:3" hidden="1">
      <c r="C206" s="605"/>
    </row>
    <row r="207" spans="3:3" hidden="1">
      <c r="C207" s="605"/>
    </row>
    <row r="208" spans="3:3" hidden="1">
      <c r="C208" s="605"/>
    </row>
    <row r="209" spans="3:3" hidden="1">
      <c r="C209" s="605"/>
    </row>
    <row r="210" spans="3:3" hidden="1">
      <c r="C210" s="605"/>
    </row>
    <row r="211" spans="3:3" hidden="1">
      <c r="C211" s="605"/>
    </row>
    <row r="212" spans="3:3" hidden="1">
      <c r="C212" s="605"/>
    </row>
    <row r="213" spans="3:3" hidden="1">
      <c r="C213" s="605"/>
    </row>
    <row r="214" spans="3:3" hidden="1">
      <c r="C214" s="605"/>
    </row>
    <row r="215" spans="3:3" hidden="1">
      <c r="C215" s="605"/>
    </row>
    <row r="216" spans="3:3" hidden="1">
      <c r="C216" s="605"/>
    </row>
    <row r="217" spans="3:3" hidden="1">
      <c r="C217" s="605"/>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29:AG29"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view="pageBreakPreview" topLeftCell="A4" zoomScaleNormal="100" zoomScaleSheetLayoutView="100" workbookViewId="0">
      <selection activeCell="F33" sqref="F33"/>
    </sheetView>
  </sheetViews>
  <sheetFormatPr defaultColWidth="9.140625" defaultRowHeight="14.25" zeroHeight="1"/>
  <cols>
    <col min="1" max="3" width="15.42578125" style="508" customWidth="1"/>
    <col min="4" max="4" width="3.42578125" style="508" customWidth="1"/>
    <col min="5" max="6" width="15.42578125" style="508" customWidth="1"/>
    <col min="7" max="7" width="3.42578125" style="460" customWidth="1"/>
    <col min="8" max="9" width="15.42578125" style="508" customWidth="1"/>
    <col min="10" max="16383" width="9.140625" style="508"/>
    <col min="16384" max="16384" width="0.42578125" style="508" customWidth="1"/>
  </cols>
  <sheetData>
    <row r="1" spans="1:9">
      <c r="A1" s="2713" t="s">
        <v>1296</v>
      </c>
      <c r="B1" s="2713"/>
      <c r="C1" s="2713"/>
      <c r="D1" s="2713"/>
      <c r="E1" s="2713"/>
      <c r="F1" s="2713"/>
      <c r="G1" s="2713"/>
      <c r="H1" s="2713"/>
      <c r="I1" s="2713"/>
    </row>
    <row r="2" spans="1:9">
      <c r="A2" s="934"/>
      <c r="B2" s="933"/>
      <c r="C2" s="933"/>
      <c r="D2" s="933"/>
      <c r="E2" s="933"/>
      <c r="F2" s="933"/>
      <c r="G2" s="934"/>
      <c r="H2" s="933"/>
      <c r="I2" s="933"/>
    </row>
    <row r="3" spans="1:9" ht="105" customHeight="1">
      <c r="A3" s="935" t="s">
        <v>1289</v>
      </c>
      <c r="B3" s="935" t="s">
        <v>1516</v>
      </c>
      <c r="C3" s="737" t="s">
        <v>1291</v>
      </c>
      <c r="D3" s="933"/>
      <c r="E3" s="737" t="s">
        <v>1292</v>
      </c>
      <c r="F3" s="935" t="s">
        <v>1293</v>
      </c>
      <c r="G3" s="936"/>
      <c r="H3" s="935" t="s">
        <v>1290</v>
      </c>
      <c r="I3" s="935" t="s">
        <v>1294</v>
      </c>
    </row>
    <row r="4" spans="1:9">
      <c r="A4" s="937" t="str">
        <f>Application!$B706</f>
        <v>1 Bedroom</v>
      </c>
      <c r="B4" s="945">
        <f>Application!$G706</f>
        <v>7</v>
      </c>
      <c r="C4" s="937">
        <f>Application!$O706</f>
        <v>261</v>
      </c>
      <c r="D4" s="938"/>
      <c r="E4" s="738">
        <v>668</v>
      </c>
      <c r="F4" s="939">
        <f>$E4*$B4</f>
        <v>4676</v>
      </c>
      <c r="G4" s="940"/>
      <c r="H4" s="937">
        <f>IF($E4=0,0,MAX($E4-$C4,0))</f>
        <v>407</v>
      </c>
      <c r="I4" s="939">
        <f>IF($H4=0,0,($H4*$B4))</f>
        <v>2849</v>
      </c>
    </row>
    <row r="5" spans="1:9">
      <c r="A5" s="937">
        <f>Application!$B707</f>
        <v>0</v>
      </c>
      <c r="B5" s="945">
        <f>Application!$G707</f>
        <v>0</v>
      </c>
      <c r="C5" s="937">
        <f>Application!$O707</f>
        <v>0</v>
      </c>
      <c r="D5" s="938"/>
      <c r="E5" s="738"/>
      <c r="F5" s="939">
        <f t="shared" ref="F5:F28" si="0">$E5*$B5</f>
        <v>0</v>
      </c>
      <c r="G5" s="940"/>
      <c r="H5" s="937">
        <f t="shared" ref="H5:H28" si="1">IF($E5=0,0,MAX($E5-$C5,0))</f>
        <v>0</v>
      </c>
      <c r="I5" s="939">
        <f t="shared" ref="I5:I28" si="2">IF($H5=0,0,($H5*$B5))</f>
        <v>0</v>
      </c>
    </row>
    <row r="6" spans="1:9">
      <c r="A6" s="937" t="str">
        <f>Application!$B708</f>
        <v>1 Bedroom</v>
      </c>
      <c r="B6" s="945">
        <f>Application!$G708</f>
        <v>1</v>
      </c>
      <c r="C6" s="937">
        <f>Application!$O708</f>
        <v>326</v>
      </c>
      <c r="D6" s="938"/>
      <c r="E6" s="738">
        <v>668</v>
      </c>
      <c r="F6" s="939">
        <f t="shared" si="0"/>
        <v>668</v>
      </c>
      <c r="G6" s="940"/>
      <c r="H6" s="937">
        <f t="shared" si="1"/>
        <v>342</v>
      </c>
      <c r="I6" s="939">
        <f t="shared" si="2"/>
        <v>342</v>
      </c>
    </row>
    <row r="7" spans="1:9">
      <c r="A7" s="937" t="str">
        <f>Application!$B709</f>
        <v>2 Bedrooms</v>
      </c>
      <c r="B7" s="945">
        <f>Application!$G709</f>
        <v>7</v>
      </c>
      <c r="C7" s="937">
        <f>Application!$O709</f>
        <v>381</v>
      </c>
      <c r="D7" s="938"/>
      <c r="E7" s="738">
        <v>835</v>
      </c>
      <c r="F7" s="939">
        <f t="shared" si="0"/>
        <v>5845</v>
      </c>
      <c r="G7" s="940"/>
      <c r="H7" s="937">
        <f t="shared" si="1"/>
        <v>454</v>
      </c>
      <c r="I7" s="939">
        <f t="shared" si="2"/>
        <v>3178</v>
      </c>
    </row>
    <row r="8" spans="1:9">
      <c r="A8" s="937" t="str">
        <f>Application!$B710</f>
        <v>3 Bedrooms</v>
      </c>
      <c r="B8" s="945">
        <f>Application!$G710</f>
        <v>2</v>
      </c>
      <c r="C8" s="937">
        <f>Application!$O710</f>
        <v>428</v>
      </c>
      <c r="D8" s="938"/>
      <c r="E8" s="738"/>
      <c r="F8" s="939">
        <f t="shared" si="0"/>
        <v>0</v>
      </c>
      <c r="G8" s="940"/>
      <c r="H8" s="937">
        <f t="shared" si="1"/>
        <v>0</v>
      </c>
      <c r="I8" s="939">
        <f t="shared" si="2"/>
        <v>0</v>
      </c>
    </row>
    <row r="9" spans="1:9">
      <c r="A9" s="937">
        <f>Application!$B711</f>
        <v>0</v>
      </c>
      <c r="B9" s="945">
        <f>Application!$G711</f>
        <v>0</v>
      </c>
      <c r="C9" s="937">
        <f>Application!$O711</f>
        <v>0</v>
      </c>
      <c r="D9" s="938"/>
      <c r="E9" s="738"/>
      <c r="F9" s="939">
        <f t="shared" si="0"/>
        <v>0</v>
      </c>
      <c r="G9" s="940"/>
      <c r="H9" s="937">
        <f t="shared" si="1"/>
        <v>0</v>
      </c>
      <c r="I9" s="939">
        <f t="shared" si="2"/>
        <v>0</v>
      </c>
    </row>
    <row r="10" spans="1:9">
      <c r="A10" s="937" t="str">
        <f>Application!$B712</f>
        <v>2 Bedrooms</v>
      </c>
      <c r="B10" s="945">
        <f>Application!$G712</f>
        <v>6</v>
      </c>
      <c r="C10" s="937">
        <f>Application!$O712</f>
        <v>538</v>
      </c>
      <c r="D10" s="938"/>
      <c r="E10" s="738"/>
      <c r="F10" s="939">
        <f t="shared" si="0"/>
        <v>0</v>
      </c>
      <c r="G10" s="940"/>
      <c r="H10" s="937">
        <f t="shared" si="1"/>
        <v>0</v>
      </c>
      <c r="I10" s="939">
        <f t="shared" si="2"/>
        <v>0</v>
      </c>
    </row>
    <row r="11" spans="1:9">
      <c r="A11" s="937" t="str">
        <f>Application!$B713</f>
        <v>3 Bedrooms</v>
      </c>
      <c r="B11" s="945">
        <f>Application!$G713</f>
        <v>3</v>
      </c>
      <c r="C11" s="937">
        <f>Application!$O713</f>
        <v>610</v>
      </c>
      <c r="D11" s="938"/>
      <c r="E11" s="738"/>
      <c r="F11" s="939">
        <f t="shared" si="0"/>
        <v>0</v>
      </c>
      <c r="G11" s="940"/>
      <c r="H11" s="937">
        <f t="shared" si="1"/>
        <v>0</v>
      </c>
      <c r="I11" s="939">
        <f t="shared" si="2"/>
        <v>0</v>
      </c>
    </row>
    <row r="12" spans="1:9">
      <c r="A12" s="937">
        <f>Application!$B714</f>
        <v>0</v>
      </c>
      <c r="B12" s="945">
        <f>Application!$G714</f>
        <v>0</v>
      </c>
      <c r="C12" s="937">
        <f>Application!$O714</f>
        <v>0</v>
      </c>
      <c r="D12" s="938"/>
      <c r="E12" s="738"/>
      <c r="F12" s="939">
        <f t="shared" si="0"/>
        <v>0</v>
      </c>
      <c r="G12" s="940"/>
      <c r="H12" s="937">
        <f t="shared" si="1"/>
        <v>0</v>
      </c>
      <c r="I12" s="939">
        <f t="shared" si="2"/>
        <v>0</v>
      </c>
    </row>
    <row r="13" spans="1:9">
      <c r="A13" s="937" t="str">
        <f>Application!$B715</f>
        <v>2 Bedrooms</v>
      </c>
      <c r="B13" s="945">
        <f>Application!$G715</f>
        <v>6</v>
      </c>
      <c r="C13" s="937">
        <f>Application!$O715</f>
        <v>695</v>
      </c>
      <c r="D13" s="938"/>
      <c r="E13" s="738"/>
      <c r="F13" s="939">
        <f t="shared" si="0"/>
        <v>0</v>
      </c>
      <c r="G13" s="940"/>
      <c r="H13" s="937">
        <f t="shared" si="1"/>
        <v>0</v>
      </c>
      <c r="I13" s="939">
        <f t="shared" si="2"/>
        <v>0</v>
      </c>
    </row>
    <row r="14" spans="1:9">
      <c r="A14" s="937" t="str">
        <f>Application!$B716</f>
        <v>3 Bedrooms</v>
      </c>
      <c r="B14" s="945">
        <f>Application!$G716</f>
        <v>2</v>
      </c>
      <c r="C14" s="937">
        <f>Application!$O716</f>
        <v>791</v>
      </c>
      <c r="D14" s="938"/>
      <c r="E14" s="738"/>
      <c r="F14" s="939">
        <f t="shared" si="0"/>
        <v>0</v>
      </c>
      <c r="G14" s="940"/>
      <c r="H14" s="937">
        <f t="shared" si="1"/>
        <v>0</v>
      </c>
      <c r="I14" s="939">
        <f t="shared" si="2"/>
        <v>0</v>
      </c>
    </row>
    <row r="15" spans="1:9">
      <c r="A15" s="937">
        <f>Application!$B717</f>
        <v>0</v>
      </c>
      <c r="B15" s="945">
        <f>Application!$G717</f>
        <v>0</v>
      </c>
      <c r="C15" s="937">
        <f>Application!$O717</f>
        <v>0</v>
      </c>
      <c r="D15" s="938"/>
      <c r="E15" s="738"/>
      <c r="F15" s="939">
        <f t="shared" si="0"/>
        <v>0</v>
      </c>
      <c r="G15" s="940"/>
      <c r="H15" s="937">
        <f t="shared" si="1"/>
        <v>0</v>
      </c>
      <c r="I15" s="939">
        <f t="shared" si="2"/>
        <v>0</v>
      </c>
    </row>
    <row r="16" spans="1:9">
      <c r="A16" s="937" t="str">
        <f>Application!$B718</f>
        <v>2 Bedrooms</v>
      </c>
      <c r="B16" s="945">
        <f>Application!$G718</f>
        <v>4</v>
      </c>
      <c r="C16" s="937">
        <f>Application!$O718</f>
        <v>852</v>
      </c>
      <c r="D16" s="938"/>
      <c r="E16" s="738"/>
      <c r="F16" s="939">
        <f t="shared" si="0"/>
        <v>0</v>
      </c>
      <c r="G16" s="940"/>
      <c r="H16" s="937">
        <f t="shared" si="1"/>
        <v>0</v>
      </c>
      <c r="I16" s="939">
        <f t="shared" si="2"/>
        <v>0</v>
      </c>
    </row>
    <row r="17" spans="1:9">
      <c r="A17" s="937" t="str">
        <f>Application!$B719</f>
        <v>3 Bedrooms</v>
      </c>
      <c r="B17" s="945">
        <f>Application!$G719</f>
        <v>4</v>
      </c>
      <c r="C17" s="937">
        <f>Application!$O719</f>
        <v>972</v>
      </c>
      <c r="D17" s="938"/>
      <c r="E17" s="738"/>
      <c r="F17" s="939">
        <f t="shared" si="0"/>
        <v>0</v>
      </c>
      <c r="G17" s="940"/>
      <c r="H17" s="937">
        <f t="shared" si="1"/>
        <v>0</v>
      </c>
      <c r="I17" s="939">
        <f t="shared" si="2"/>
        <v>0</v>
      </c>
    </row>
    <row r="18" spans="1:9">
      <c r="A18" s="937">
        <f>Application!$B720</f>
        <v>0</v>
      </c>
      <c r="B18" s="945">
        <f>Application!$G720</f>
        <v>0</v>
      </c>
      <c r="C18" s="937">
        <f>Application!$O720</f>
        <v>0</v>
      </c>
      <c r="D18" s="938"/>
      <c r="E18" s="738"/>
      <c r="F18" s="939">
        <f t="shared" si="0"/>
        <v>0</v>
      </c>
      <c r="G18" s="940"/>
      <c r="H18" s="937">
        <f t="shared" si="1"/>
        <v>0</v>
      </c>
      <c r="I18" s="939">
        <f t="shared" si="2"/>
        <v>0</v>
      </c>
    </row>
    <row r="19" spans="1:9">
      <c r="A19" s="937" t="str">
        <f>Application!$B721</f>
        <v>2 Bedrooms</v>
      </c>
      <c r="B19" s="945">
        <f>Application!$G721</f>
        <v>5</v>
      </c>
      <c r="C19" s="937">
        <f>Application!$O721</f>
        <v>1009</v>
      </c>
      <c r="D19" s="938"/>
      <c r="E19" s="738"/>
      <c r="F19" s="939">
        <f t="shared" si="0"/>
        <v>0</v>
      </c>
      <c r="G19" s="940"/>
      <c r="H19" s="937">
        <f t="shared" si="1"/>
        <v>0</v>
      </c>
      <c r="I19" s="939">
        <f t="shared" si="2"/>
        <v>0</v>
      </c>
    </row>
    <row r="20" spans="1:9">
      <c r="A20" s="937" t="str">
        <f>Application!$B722</f>
        <v>3 Bedrooms</v>
      </c>
      <c r="B20" s="945">
        <f>Application!$G722</f>
        <v>4</v>
      </c>
      <c r="C20" s="937">
        <f>Application!$O722</f>
        <v>1153</v>
      </c>
      <c r="D20" s="938"/>
      <c r="E20" s="738"/>
      <c r="F20" s="939">
        <f t="shared" si="0"/>
        <v>0</v>
      </c>
      <c r="G20" s="940"/>
      <c r="H20" s="937">
        <f t="shared" si="1"/>
        <v>0</v>
      </c>
      <c r="I20" s="939">
        <f t="shared" si="2"/>
        <v>0</v>
      </c>
    </row>
    <row r="21" spans="1:9">
      <c r="A21" s="937">
        <f>Application!$B723</f>
        <v>0</v>
      </c>
      <c r="B21" s="945">
        <f>Application!$G723</f>
        <v>0</v>
      </c>
      <c r="C21" s="937">
        <f>Application!$O723</f>
        <v>0</v>
      </c>
      <c r="D21" s="938"/>
      <c r="E21" s="738"/>
      <c r="F21" s="939">
        <f t="shared" si="0"/>
        <v>0</v>
      </c>
      <c r="G21" s="940"/>
      <c r="H21" s="937">
        <f t="shared" si="1"/>
        <v>0</v>
      </c>
      <c r="I21" s="939">
        <f t="shared" si="2"/>
        <v>0</v>
      </c>
    </row>
    <row r="22" spans="1:9">
      <c r="A22" s="937" t="str">
        <f>Application!$B724</f>
        <v>2 Bedrooms</v>
      </c>
      <c r="B22" s="945">
        <f>Application!$G724</f>
        <v>4</v>
      </c>
      <c r="C22" s="937">
        <f>Application!$O724</f>
        <v>1166</v>
      </c>
      <c r="D22" s="938"/>
      <c r="E22" s="738"/>
      <c r="F22" s="939">
        <f t="shared" si="0"/>
        <v>0</v>
      </c>
      <c r="G22" s="940"/>
      <c r="H22" s="937">
        <f t="shared" si="1"/>
        <v>0</v>
      </c>
      <c r="I22" s="939">
        <f t="shared" si="2"/>
        <v>0</v>
      </c>
    </row>
    <row r="23" spans="1:9">
      <c r="A23" s="937" t="str">
        <f>Application!$B725</f>
        <v>3 Bedrooms</v>
      </c>
      <c r="B23" s="945">
        <f>Application!$G725</f>
        <v>4</v>
      </c>
      <c r="C23" s="937">
        <f>Application!$O725</f>
        <v>1335</v>
      </c>
      <c r="D23" s="938"/>
      <c r="E23" s="738"/>
      <c r="F23" s="939">
        <f t="shared" si="0"/>
        <v>0</v>
      </c>
      <c r="G23" s="940"/>
      <c r="H23" s="937">
        <f t="shared" si="1"/>
        <v>0</v>
      </c>
      <c r="I23" s="939">
        <f t="shared" si="2"/>
        <v>0</v>
      </c>
    </row>
    <row r="24" spans="1:9">
      <c r="A24" s="937">
        <f>Application!$B726</f>
        <v>0</v>
      </c>
      <c r="B24" s="945">
        <f>Application!$G726</f>
        <v>0</v>
      </c>
      <c r="C24" s="937">
        <f>Application!$O726</f>
        <v>0</v>
      </c>
      <c r="D24" s="938"/>
      <c r="E24" s="738"/>
      <c r="F24" s="939">
        <f t="shared" si="0"/>
        <v>0</v>
      </c>
      <c r="G24" s="940"/>
      <c r="H24" s="937">
        <f t="shared" si="1"/>
        <v>0</v>
      </c>
      <c r="I24" s="939">
        <f t="shared" si="2"/>
        <v>0</v>
      </c>
    </row>
    <row r="25" spans="1:9">
      <c r="A25" s="937">
        <f>Application!$B727</f>
        <v>0</v>
      </c>
      <c r="B25" s="945">
        <f>Application!$G727</f>
        <v>0</v>
      </c>
      <c r="C25" s="937">
        <f>Application!$O727</f>
        <v>0</v>
      </c>
      <c r="D25" s="938"/>
      <c r="E25" s="738"/>
      <c r="F25" s="939">
        <f t="shared" si="0"/>
        <v>0</v>
      </c>
      <c r="G25" s="940"/>
      <c r="H25" s="937">
        <f t="shared" si="1"/>
        <v>0</v>
      </c>
      <c r="I25" s="939">
        <f t="shared" si="2"/>
        <v>0</v>
      </c>
    </row>
    <row r="26" spans="1:9">
      <c r="A26" s="937">
        <f>Application!$B728</f>
        <v>0</v>
      </c>
      <c r="B26" s="945">
        <f>Application!$G728</f>
        <v>0</v>
      </c>
      <c r="C26" s="937">
        <f>Application!$O728</f>
        <v>0</v>
      </c>
      <c r="D26" s="938"/>
      <c r="E26" s="738"/>
      <c r="F26" s="939">
        <f t="shared" si="0"/>
        <v>0</v>
      </c>
      <c r="G26" s="940"/>
      <c r="H26" s="937">
        <f t="shared" si="1"/>
        <v>0</v>
      </c>
      <c r="I26" s="939">
        <f t="shared" si="2"/>
        <v>0</v>
      </c>
    </row>
    <row r="27" spans="1:9">
      <c r="A27" s="937">
        <f>Application!$B729</f>
        <v>0</v>
      </c>
      <c r="B27" s="945">
        <f>Application!$G729</f>
        <v>0</v>
      </c>
      <c r="C27" s="937">
        <f>Application!$O729</f>
        <v>0</v>
      </c>
      <c r="D27" s="938"/>
      <c r="E27" s="738"/>
      <c r="F27" s="939">
        <f t="shared" si="0"/>
        <v>0</v>
      </c>
      <c r="G27" s="940"/>
      <c r="H27" s="937">
        <f t="shared" si="1"/>
        <v>0</v>
      </c>
      <c r="I27" s="939">
        <f t="shared" si="2"/>
        <v>0</v>
      </c>
    </row>
    <row r="28" spans="1:9">
      <c r="A28" s="937">
        <f>Application!$B730</f>
        <v>0</v>
      </c>
      <c r="B28" s="945">
        <f>Application!$G730</f>
        <v>0</v>
      </c>
      <c r="C28" s="937">
        <f>Application!$O730</f>
        <v>0</v>
      </c>
      <c r="D28" s="938"/>
      <c r="E28" s="738"/>
      <c r="F28" s="939">
        <f t="shared" si="0"/>
        <v>0</v>
      </c>
      <c r="G28" s="940"/>
      <c r="H28" s="937">
        <f t="shared" si="1"/>
        <v>0</v>
      </c>
      <c r="I28" s="939">
        <f t="shared" si="2"/>
        <v>0</v>
      </c>
    </row>
    <row r="29" spans="1:9">
      <c r="A29" s="933"/>
      <c r="B29" s="933"/>
      <c r="C29" s="938"/>
      <c r="D29" s="938"/>
      <c r="E29" s="938"/>
      <c r="F29" s="938"/>
      <c r="G29" s="940"/>
      <c r="H29" s="938"/>
      <c r="I29" s="933"/>
    </row>
    <row r="30" spans="1:9" ht="15">
      <c r="A30" s="941" t="s">
        <v>1295</v>
      </c>
      <c r="B30" s="942"/>
      <c r="C30" s="943">
        <f>Application!$T$731*12</f>
        <v>521316</v>
      </c>
      <c r="D30" s="938"/>
      <c r="E30" s="938"/>
      <c r="F30" s="943">
        <f>SUM(F4:F28)*12</f>
        <v>134268</v>
      </c>
      <c r="G30" s="944"/>
      <c r="H30" s="942"/>
      <c r="I30" s="943">
        <f>SUM(I4:I28)*12</f>
        <v>76428</v>
      </c>
    </row>
    <row r="31" spans="1:9" ht="15">
      <c r="A31" s="941"/>
      <c r="B31" s="942"/>
      <c r="C31" s="944"/>
      <c r="D31" s="938"/>
      <c r="E31" s="938"/>
      <c r="F31" s="944"/>
      <c r="G31" s="944"/>
      <c r="H31" s="942"/>
      <c r="I31" s="944"/>
    </row>
    <row r="32" spans="1:9">
      <c r="A32" s="933" t="s">
        <v>1297</v>
      </c>
      <c r="B32" s="933"/>
      <c r="C32" s="933"/>
      <c r="D32" s="933"/>
      <c r="E32" s="933"/>
      <c r="F32" s="933"/>
      <c r="G32" s="934"/>
      <c r="H32" s="933"/>
      <c r="I32" s="933"/>
    </row>
    <row r="33" spans="1:9">
      <c r="A33" s="933" t="s">
        <v>1299</v>
      </c>
      <c r="B33" s="933"/>
      <c r="C33" s="933"/>
      <c r="D33" s="933"/>
      <c r="E33" s="933"/>
      <c r="F33" s="933"/>
      <c r="G33" s="934"/>
      <c r="H33" s="933"/>
      <c r="I33" s="933"/>
    </row>
    <row r="34" spans="1:9">
      <c r="A34" s="933" t="s">
        <v>1517</v>
      </c>
      <c r="B34" s="933"/>
      <c r="C34" s="933"/>
      <c r="D34" s="933"/>
      <c r="E34" s="933"/>
      <c r="F34" s="933"/>
      <c r="G34" s="934"/>
      <c r="H34" s="933"/>
      <c r="I34" s="933"/>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40625" defaultRowHeight="12.75"/>
  <cols>
    <col min="1" max="16384" width="9.140625" style="532"/>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zoomScaleNormal="100" zoomScaleSheetLayoutView="100" workbookViewId="0">
      <selection activeCell="A2" sqref="A2"/>
    </sheetView>
  </sheetViews>
  <sheetFormatPr defaultColWidth="0" defaultRowHeight="12.75" zeroHeight="1"/>
  <cols>
    <col min="1" max="1" width="161.42578125" customWidth="1"/>
    <col min="2" max="16384" width="8.85546875" hidden="1"/>
  </cols>
  <sheetData>
    <row r="1" spans="1:1" s="482" customFormat="1" ht="45" customHeight="1">
      <c r="A1" s="771" t="s">
        <v>1360</v>
      </c>
    </row>
    <row r="2" spans="1:1" ht="15.75">
      <c r="A2" s="769"/>
    </row>
    <row r="3" spans="1:1" ht="15.75">
      <c r="A3" s="770" t="s">
        <v>1355</v>
      </c>
    </row>
    <row r="4" spans="1:1" ht="15.75">
      <c r="A4" s="770" t="s">
        <v>1356</v>
      </c>
    </row>
    <row r="5" spans="1:1" ht="15.75">
      <c r="A5" s="770" t="s">
        <v>1357</v>
      </c>
    </row>
    <row r="6" spans="1:1" ht="15.75">
      <c r="A6" s="770" t="s">
        <v>1358</v>
      </c>
    </row>
    <row r="7" spans="1:1" ht="15.75">
      <c r="A7" s="770" t="s">
        <v>1359</v>
      </c>
    </row>
    <row r="8" spans="1:1" ht="15.75">
      <c r="A8" s="895" t="s">
        <v>1486</v>
      </c>
    </row>
    <row r="9" spans="1:1" ht="15.75">
      <c r="A9" s="770" t="s">
        <v>1487</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6" customWidth="1"/>
    <col min="2" max="2" width="0.85546875" style="1266" customWidth="1"/>
    <col min="3" max="18" width="2.42578125" style="1266" customWidth="1"/>
    <col min="19" max="19" width="4" style="1266" customWidth="1"/>
    <col min="20" max="39" width="2.42578125" style="1266" customWidth="1"/>
    <col min="40" max="40" width="1.42578125" style="1266" customWidth="1"/>
    <col min="41" max="16384" width="2.42578125" style="2" hidden="1"/>
  </cols>
  <sheetData>
    <row r="1" spans="1:40" ht="12.75" customHeight="1">
      <c r="A1" s="2295" t="s">
        <v>1217</v>
      </c>
      <c r="B1" s="2296"/>
      <c r="C1" s="2296"/>
      <c r="D1" s="2296"/>
      <c r="E1" s="2296"/>
      <c r="F1" s="2296"/>
      <c r="G1" s="2296"/>
      <c r="H1" s="2296"/>
      <c r="I1" s="2296"/>
      <c r="J1" s="2296"/>
      <c r="K1" s="2296"/>
      <c r="L1" s="2296"/>
      <c r="M1" s="2296"/>
      <c r="N1" s="2296"/>
      <c r="O1" s="2296"/>
      <c r="P1" s="2296"/>
      <c r="Q1" s="2296"/>
      <c r="R1" s="2296"/>
      <c r="S1" s="2296"/>
      <c r="T1" s="2296"/>
      <c r="U1" s="2296"/>
      <c r="V1" s="2296"/>
      <c r="W1" s="2296"/>
      <c r="X1" s="2296"/>
      <c r="Y1" s="2296"/>
      <c r="Z1" s="2296"/>
      <c r="AA1" s="2296"/>
      <c r="AB1" s="2296"/>
      <c r="AC1" s="2296"/>
      <c r="AD1" s="2296"/>
      <c r="AE1" s="2296"/>
      <c r="AF1" s="2296"/>
      <c r="AG1" s="2296"/>
      <c r="AH1" s="2296"/>
      <c r="AI1" s="2296"/>
      <c r="AJ1" s="2296"/>
      <c r="AK1" s="2296"/>
      <c r="AL1" s="2296"/>
      <c r="AM1" s="2296"/>
      <c r="AN1" s="2296"/>
    </row>
    <row r="2" spans="1:40" ht="13.5" thickBot="1">
      <c r="A2" s="2297"/>
      <c r="B2" s="2297"/>
      <c r="C2" s="2297"/>
      <c r="D2" s="2297"/>
      <c r="E2" s="2297"/>
      <c r="F2" s="2297"/>
      <c r="G2" s="2297"/>
      <c r="H2" s="2297"/>
      <c r="I2" s="2297"/>
      <c r="J2" s="2297"/>
      <c r="K2" s="2297"/>
      <c r="L2" s="2297"/>
      <c r="M2" s="2297"/>
      <c r="N2" s="2297"/>
      <c r="O2" s="2297"/>
      <c r="P2" s="2297"/>
      <c r="Q2" s="2297"/>
      <c r="R2" s="2297"/>
      <c r="S2" s="2297"/>
      <c r="T2" s="2297"/>
      <c r="U2" s="2297"/>
      <c r="V2" s="2297"/>
      <c r="W2" s="2297"/>
      <c r="X2" s="2297"/>
      <c r="Y2" s="2297"/>
      <c r="Z2" s="2297"/>
      <c r="AA2" s="2297"/>
      <c r="AB2" s="2297"/>
      <c r="AC2" s="2297"/>
      <c r="AD2" s="2297"/>
      <c r="AE2" s="2297"/>
      <c r="AF2" s="2297"/>
      <c r="AG2" s="2297"/>
      <c r="AH2" s="2297"/>
      <c r="AI2" s="2297"/>
      <c r="AJ2" s="2297"/>
      <c r="AK2" s="2297"/>
      <c r="AL2" s="2297"/>
      <c r="AM2" s="2297"/>
      <c r="AN2" s="2297"/>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5"/>
      <c r="AA6" s="2"/>
    </row>
    <row r="7" spans="1:40" ht="13.7" customHeight="1">
      <c r="B7" s="9"/>
      <c r="C7" s="10"/>
      <c r="D7" s="10"/>
      <c r="E7" s="10"/>
      <c r="F7" s="10"/>
      <c r="G7" s="10"/>
      <c r="H7" s="10"/>
      <c r="I7" s="10"/>
      <c r="J7" s="10"/>
      <c r="K7" s="10"/>
      <c r="L7" s="10"/>
      <c r="M7" s="10"/>
      <c r="N7" s="10"/>
      <c r="O7" s="10"/>
      <c r="P7" s="10"/>
      <c r="Q7" s="10"/>
      <c r="R7" s="10"/>
      <c r="S7" s="10"/>
      <c r="T7" s="2275" t="s">
        <v>1812</v>
      </c>
      <c r="U7" s="2275"/>
      <c r="V7" s="2275"/>
      <c r="W7" s="2275"/>
      <c r="X7" s="2275"/>
      <c r="Y7" s="2275" t="s">
        <v>1975</v>
      </c>
      <c r="Z7" s="2275"/>
      <c r="AA7" s="2275"/>
      <c r="AB7" s="2275"/>
      <c r="AC7" s="2275"/>
      <c r="AD7" s="2275" t="s">
        <v>1513</v>
      </c>
      <c r="AE7" s="2275"/>
      <c r="AF7" s="2275"/>
      <c r="AG7" s="2275"/>
      <c r="AH7" s="2275"/>
      <c r="AI7" s="2275" t="s">
        <v>1976</v>
      </c>
      <c r="AJ7" s="2275"/>
      <c r="AK7" s="2275"/>
      <c r="AL7" s="2275"/>
      <c r="AM7" s="2275"/>
    </row>
    <row r="8" spans="1:40" ht="12.75" customHeight="1">
      <c r="B8" s="337"/>
      <c r="C8" s="1"/>
      <c r="D8" s="1"/>
      <c r="E8" s="1"/>
      <c r="F8" s="1"/>
      <c r="G8" s="1"/>
      <c r="H8" s="1"/>
      <c r="I8" s="1"/>
      <c r="J8" s="1"/>
      <c r="K8" s="1"/>
      <c r="L8" s="1"/>
      <c r="M8" s="1"/>
      <c r="N8" s="1"/>
      <c r="O8" s="1"/>
      <c r="P8" s="1"/>
      <c r="Q8" s="1"/>
      <c r="R8" s="1"/>
      <c r="S8" s="1"/>
      <c r="T8" s="2275"/>
      <c r="U8" s="2275"/>
      <c r="V8" s="2275"/>
      <c r="W8" s="2275"/>
      <c r="X8" s="2275"/>
      <c r="Y8" s="2275"/>
      <c r="Z8" s="2275"/>
      <c r="AA8" s="2275"/>
      <c r="AB8" s="2275"/>
      <c r="AC8" s="2275"/>
      <c r="AD8" s="2275"/>
      <c r="AE8" s="2275"/>
      <c r="AF8" s="2275"/>
      <c r="AG8" s="2275"/>
      <c r="AH8" s="2275"/>
      <c r="AI8" s="2275"/>
      <c r="AJ8" s="2275"/>
      <c r="AK8" s="2275"/>
      <c r="AL8" s="2275"/>
      <c r="AM8" s="2275"/>
    </row>
    <row r="9" spans="1:40" ht="12.75">
      <c r="B9" s="337"/>
      <c r="C9" s="1"/>
      <c r="D9" s="1"/>
      <c r="E9" s="1"/>
      <c r="F9" s="1"/>
      <c r="G9" s="1"/>
      <c r="H9" s="1"/>
      <c r="I9" s="1"/>
      <c r="J9" s="1"/>
      <c r="K9" s="1"/>
      <c r="L9" s="1"/>
      <c r="M9" s="1"/>
      <c r="N9" s="1"/>
      <c r="O9" s="1"/>
      <c r="P9" s="1"/>
      <c r="Q9" s="1"/>
      <c r="R9" s="1"/>
      <c r="S9" s="1"/>
      <c r="T9" s="2275"/>
      <c r="U9" s="2275"/>
      <c r="V9" s="2275"/>
      <c r="W9" s="2275"/>
      <c r="X9" s="2275"/>
      <c r="Y9" s="2275"/>
      <c r="Z9" s="2275"/>
      <c r="AA9" s="2275"/>
      <c r="AB9" s="2275"/>
      <c r="AC9" s="2275"/>
      <c r="AD9" s="2275"/>
      <c r="AE9" s="2275"/>
      <c r="AF9" s="2275"/>
      <c r="AG9" s="2275"/>
      <c r="AH9" s="2275"/>
      <c r="AI9" s="2275"/>
      <c r="AJ9" s="2275"/>
      <c r="AK9" s="2275"/>
      <c r="AL9" s="2275"/>
      <c r="AM9" s="2275"/>
    </row>
    <row r="10" spans="1:40" ht="41.45" customHeight="1">
      <c r="B10" s="277"/>
      <c r="C10" s="278"/>
      <c r="D10" s="278"/>
      <c r="E10" s="278"/>
      <c r="F10" s="278"/>
      <c r="G10" s="278"/>
      <c r="H10" s="278"/>
      <c r="I10" s="278"/>
      <c r="J10" s="278"/>
      <c r="K10" s="278"/>
      <c r="L10" s="278"/>
      <c r="M10" s="278"/>
      <c r="N10" s="278"/>
      <c r="O10" s="278"/>
      <c r="P10" s="278"/>
      <c r="Q10" s="278"/>
      <c r="R10" s="278"/>
      <c r="S10" s="278"/>
      <c r="T10" s="2275"/>
      <c r="U10" s="2275"/>
      <c r="V10" s="2275"/>
      <c r="W10" s="2275"/>
      <c r="X10" s="2275"/>
      <c r="Y10" s="2275"/>
      <c r="Z10" s="2275"/>
      <c r="AA10" s="2275"/>
      <c r="AB10" s="2275"/>
      <c r="AC10" s="2275"/>
      <c r="AD10" s="2275"/>
      <c r="AE10" s="2275"/>
      <c r="AF10" s="2275"/>
      <c r="AG10" s="2275"/>
      <c r="AH10" s="2275"/>
      <c r="AI10" s="2275"/>
      <c r="AJ10" s="2275"/>
      <c r="AK10" s="2275"/>
      <c r="AL10" s="2275"/>
      <c r="AM10" s="2275"/>
    </row>
    <row r="11" spans="1:40" ht="12.75">
      <c r="B11" s="2272" t="s">
        <v>566</v>
      </c>
      <c r="C11" s="2273"/>
      <c r="D11" s="2273"/>
      <c r="E11" s="2273"/>
      <c r="F11" s="2273"/>
      <c r="G11" s="2273"/>
      <c r="H11" s="2273"/>
      <c r="I11" s="2273"/>
      <c r="J11" s="2273"/>
      <c r="K11" s="2273"/>
      <c r="L11" s="2273"/>
      <c r="M11" s="2273"/>
      <c r="N11" s="2273"/>
      <c r="O11" s="2273"/>
      <c r="P11" s="2273"/>
      <c r="Q11" s="2273"/>
      <c r="R11" s="2273"/>
      <c r="S11" s="2274"/>
      <c r="T11" s="2312">
        <f>IF('Sources and Basis Breakdown'!F105=0,'Sources and Basis Breakdown'!E105,'Sources and Basis Breakdown'!F105)</f>
        <v>24271427</v>
      </c>
      <c r="U11" s="2300"/>
      <c r="V11" s="2300"/>
      <c r="W11" s="2300"/>
      <c r="X11" s="2300"/>
      <c r="Y11" s="2299">
        <f>IF('Sources and Basis Breakdown'!G105+'Sources and Basis Breakdown'!F105='Sources and Basis Breakdown'!E105,'Sources and Basis Breakdown'!G105,0)</f>
        <v>0</v>
      </c>
      <c r="Z11" s="2300"/>
      <c r="AA11" s="2300"/>
      <c r="AB11" s="2300"/>
      <c r="AC11" s="2300"/>
      <c r="AD11" s="2300">
        <f>IF('Sources and Basis Breakdown'!I105=0,'Sources and Basis Breakdown'!H105,'Sources and Basis Breakdown'!I105)</f>
        <v>0</v>
      </c>
      <c r="AE11" s="2300"/>
      <c r="AF11" s="2300"/>
      <c r="AG11" s="2300"/>
      <c r="AH11" s="2300"/>
      <c r="AI11" s="2300">
        <f>IF('Sources and Basis Breakdown'!I105+'Sources and Basis Breakdown'!J105='Sources and Basis Breakdown'!H105,'Sources and Basis Breakdown'!J105,0)</f>
        <v>0</v>
      </c>
      <c r="AJ11" s="2300"/>
      <c r="AK11" s="2300"/>
      <c r="AL11" s="2300"/>
      <c r="AM11" s="2300"/>
    </row>
    <row r="12" spans="1:40" ht="12.75">
      <c r="B12" s="2305" t="s">
        <v>496</v>
      </c>
      <c r="C12" s="2306"/>
      <c r="D12" s="2306"/>
      <c r="E12" s="2306"/>
      <c r="F12" s="2306"/>
      <c r="G12" s="2306"/>
      <c r="H12" s="2306"/>
      <c r="I12" s="2306"/>
      <c r="J12" s="2306"/>
      <c r="K12" s="2306"/>
      <c r="L12" s="2306"/>
      <c r="M12" s="2306"/>
      <c r="N12" s="2306"/>
      <c r="O12" s="2306"/>
      <c r="P12" s="2306"/>
      <c r="Q12" s="2306"/>
      <c r="R12" s="2306"/>
      <c r="S12" s="2307"/>
      <c r="T12" s="2302"/>
      <c r="U12" s="2303"/>
      <c r="V12" s="2303"/>
      <c r="W12" s="2303"/>
      <c r="X12" s="2304"/>
      <c r="Y12" s="2302"/>
      <c r="Z12" s="2303"/>
      <c r="AA12" s="2303"/>
      <c r="AB12" s="2303"/>
      <c r="AC12" s="2304"/>
      <c r="AD12" s="2302"/>
      <c r="AE12" s="2303"/>
      <c r="AF12" s="2303"/>
      <c r="AG12" s="2303"/>
      <c r="AH12" s="2304"/>
      <c r="AI12" s="2302"/>
      <c r="AJ12" s="2303"/>
      <c r="AK12" s="2303"/>
      <c r="AL12" s="2303"/>
      <c r="AM12" s="2304"/>
    </row>
    <row r="13" spans="1:40" ht="12.75">
      <c r="B13" s="11"/>
      <c r="C13" s="2308" t="s">
        <v>1930</v>
      </c>
      <c r="D13" s="2309"/>
      <c r="E13" s="2309"/>
      <c r="F13" s="2309"/>
      <c r="G13" s="2309"/>
      <c r="H13" s="2309"/>
      <c r="I13" s="2309"/>
      <c r="J13" s="2309"/>
      <c r="K13" s="2309"/>
      <c r="L13" s="2309"/>
      <c r="M13" s="2309"/>
      <c r="N13" s="2309"/>
      <c r="O13" s="2309"/>
      <c r="P13" s="2309"/>
      <c r="Q13" s="2309"/>
      <c r="R13" s="2309"/>
      <c r="S13" s="2310"/>
      <c r="T13" s="2301">
        <f>'Basis &amp; Credits'!T13</f>
        <v>0</v>
      </c>
      <c r="U13" s="2298"/>
      <c r="V13" s="2298"/>
      <c r="W13" s="2298"/>
      <c r="X13" s="2298"/>
      <c r="Y13" s="2301">
        <f>'Basis &amp; Credits'!Y13</f>
        <v>0</v>
      </c>
      <c r="Z13" s="2298"/>
      <c r="AA13" s="2298"/>
      <c r="AB13" s="2298"/>
      <c r="AC13" s="2298"/>
      <c r="AD13" s="2298">
        <f>'Basis &amp; Credits'!AD13</f>
        <v>0</v>
      </c>
      <c r="AE13" s="2298"/>
      <c r="AF13" s="2298"/>
      <c r="AG13" s="2298"/>
      <c r="AH13" s="2298"/>
      <c r="AI13" s="2298">
        <f>'Basis &amp; Credits'!AI13</f>
        <v>0</v>
      </c>
      <c r="AJ13" s="2298"/>
      <c r="AK13" s="2298"/>
      <c r="AL13" s="2298"/>
      <c r="AM13" s="2298"/>
    </row>
    <row r="14" spans="1:40" ht="12.75">
      <c r="B14" s="11"/>
      <c r="C14" s="2309" t="s">
        <v>841</v>
      </c>
      <c r="D14" s="2309"/>
      <c r="E14" s="2309"/>
      <c r="F14" s="2309"/>
      <c r="G14" s="2309"/>
      <c r="H14" s="2309"/>
      <c r="I14" s="2309"/>
      <c r="J14" s="2309"/>
      <c r="K14" s="2309"/>
      <c r="L14" s="2309"/>
      <c r="M14" s="2309"/>
      <c r="N14" s="2309"/>
      <c r="O14" s="2309"/>
      <c r="P14" s="2309"/>
      <c r="Q14" s="2309"/>
      <c r="R14" s="2309"/>
      <c r="S14" s="2310"/>
      <c r="T14" s="1783">
        <f>'Basis &amp; Credits'!T14</f>
        <v>0</v>
      </c>
      <c r="U14" s="1799"/>
      <c r="V14" s="1799"/>
      <c r="W14" s="1799"/>
      <c r="X14" s="1799"/>
      <c r="Y14" s="1783">
        <f>'Basis &amp; Credits'!Y14</f>
        <v>0</v>
      </c>
      <c r="Z14" s="1799"/>
      <c r="AA14" s="1799"/>
      <c r="AB14" s="1799"/>
      <c r="AC14" s="1799"/>
      <c r="AD14" s="1799">
        <f>'Basis &amp; Credits'!AD14</f>
        <v>0</v>
      </c>
      <c r="AE14" s="1799"/>
      <c r="AF14" s="1799"/>
      <c r="AG14" s="1799"/>
      <c r="AH14" s="1799"/>
      <c r="AI14" s="1799">
        <f>'Basis &amp; Credits'!AI14</f>
        <v>0</v>
      </c>
      <c r="AJ14" s="1799"/>
      <c r="AK14" s="1799"/>
      <c r="AL14" s="1799"/>
      <c r="AM14" s="1799"/>
    </row>
    <row r="15" spans="1:40" ht="12.75">
      <c r="B15" s="11"/>
      <c r="C15" s="2309" t="s">
        <v>842</v>
      </c>
      <c r="D15" s="2309"/>
      <c r="E15" s="2309"/>
      <c r="F15" s="2309"/>
      <c r="G15" s="2309"/>
      <c r="H15" s="2309"/>
      <c r="I15" s="2309"/>
      <c r="J15" s="2309"/>
      <c r="K15" s="2309"/>
      <c r="L15" s="2309"/>
      <c r="M15" s="2309"/>
      <c r="N15" s="2309"/>
      <c r="O15" s="2309"/>
      <c r="P15" s="2309"/>
      <c r="Q15" s="2309"/>
      <c r="R15" s="2309"/>
      <c r="S15" s="2310"/>
      <c r="T15" s="1783">
        <f>'Basis &amp; Credits'!T15</f>
        <v>0</v>
      </c>
      <c r="U15" s="1799"/>
      <c r="V15" s="1799"/>
      <c r="W15" s="1799"/>
      <c r="X15" s="1799"/>
      <c r="Y15" s="1783">
        <f>'Basis &amp; Credits'!Y15</f>
        <v>0</v>
      </c>
      <c r="Z15" s="1799"/>
      <c r="AA15" s="1799"/>
      <c r="AB15" s="1799"/>
      <c r="AC15" s="1799"/>
      <c r="AD15" s="1799">
        <f>'Basis &amp; Credits'!AD15</f>
        <v>0</v>
      </c>
      <c r="AE15" s="1799"/>
      <c r="AF15" s="1799"/>
      <c r="AG15" s="1799"/>
      <c r="AH15" s="1799"/>
      <c r="AI15" s="1799">
        <f>'Basis &amp; Credits'!AI15</f>
        <v>0</v>
      </c>
      <c r="AJ15" s="1799"/>
      <c r="AK15" s="1799"/>
      <c r="AL15" s="1799"/>
      <c r="AM15" s="1799"/>
    </row>
    <row r="16" spans="1:40" ht="12.75">
      <c r="B16" s="11"/>
      <c r="C16" s="2308" t="s">
        <v>1117</v>
      </c>
      <c r="D16" s="2308"/>
      <c r="E16" s="2308"/>
      <c r="F16" s="2308"/>
      <c r="G16" s="2308"/>
      <c r="H16" s="2308"/>
      <c r="I16" s="2308"/>
      <c r="J16" s="2308"/>
      <c r="K16" s="2308"/>
      <c r="L16" s="2308"/>
      <c r="M16" s="2308"/>
      <c r="N16" s="2308"/>
      <c r="O16" s="2308"/>
      <c r="P16" s="2308"/>
      <c r="Q16" s="2308"/>
      <c r="R16" s="2308"/>
      <c r="S16" s="2311"/>
      <c r="T16" s="1783">
        <f>'Basis &amp; Credits'!T16</f>
        <v>0</v>
      </c>
      <c r="U16" s="1799"/>
      <c r="V16" s="1799"/>
      <c r="W16" s="1799"/>
      <c r="X16" s="1799"/>
      <c r="Y16" s="1783">
        <f>'Basis &amp; Credits'!Y16</f>
        <v>0</v>
      </c>
      <c r="Z16" s="1799"/>
      <c r="AA16" s="1799"/>
      <c r="AB16" s="1799"/>
      <c r="AC16" s="1799"/>
      <c r="AD16" s="1799">
        <f>'Basis &amp; Credits'!AD16</f>
        <v>0</v>
      </c>
      <c r="AE16" s="1799"/>
      <c r="AF16" s="1799"/>
      <c r="AG16" s="1799"/>
      <c r="AH16" s="1799"/>
      <c r="AI16" s="1799">
        <f>'Basis &amp; Credits'!AI16</f>
        <v>0</v>
      </c>
      <c r="AJ16" s="1799"/>
      <c r="AK16" s="1799"/>
      <c r="AL16" s="1799"/>
      <c r="AM16" s="1799"/>
    </row>
    <row r="17" spans="1:39" ht="12.75">
      <c r="B17" s="11"/>
      <c r="C17" s="2309" t="s">
        <v>843</v>
      </c>
      <c r="D17" s="2309"/>
      <c r="E17" s="2309"/>
      <c r="F17" s="2309"/>
      <c r="G17" s="2309"/>
      <c r="H17" s="2309"/>
      <c r="I17" s="2309"/>
      <c r="J17" s="2309"/>
      <c r="K17" s="2309"/>
      <c r="L17" s="2309"/>
      <c r="M17" s="2309"/>
      <c r="N17" s="2309"/>
      <c r="O17" s="2309"/>
      <c r="P17" s="2309"/>
      <c r="Q17" s="2309"/>
      <c r="R17" s="2309"/>
      <c r="S17" s="2310"/>
      <c r="T17" s="1783">
        <f>'Basis &amp; Credits'!T17</f>
        <v>0</v>
      </c>
      <c r="U17" s="1799"/>
      <c r="V17" s="1799"/>
      <c r="W17" s="1799"/>
      <c r="X17" s="1799"/>
      <c r="Y17" s="1783">
        <f>'Basis &amp; Credits'!Y17</f>
        <v>0</v>
      </c>
      <c r="Z17" s="1799"/>
      <c r="AA17" s="1799"/>
      <c r="AB17" s="1799"/>
      <c r="AC17" s="1799"/>
      <c r="AD17" s="1799">
        <f>'Basis &amp; Credits'!AD17</f>
        <v>0</v>
      </c>
      <c r="AE17" s="1799"/>
      <c r="AF17" s="1799"/>
      <c r="AG17" s="1799"/>
      <c r="AH17" s="1799"/>
      <c r="AI17" s="1799">
        <f>'Basis &amp; Credits'!AI17</f>
        <v>0</v>
      </c>
      <c r="AJ17" s="1799"/>
      <c r="AK17" s="1799"/>
      <c r="AL17" s="1799"/>
      <c r="AM17" s="1799"/>
    </row>
    <row r="18" spans="1:39" ht="12.75">
      <c r="B18" s="927"/>
      <c r="C18" s="2308" t="s">
        <v>1518</v>
      </c>
      <c r="D18" s="2309"/>
      <c r="E18" s="2309"/>
      <c r="F18" s="2309"/>
      <c r="G18" s="2309"/>
      <c r="H18" s="2309"/>
      <c r="I18" s="2309"/>
      <c r="J18" s="2309"/>
      <c r="K18" s="2309"/>
      <c r="L18" s="2309"/>
      <c r="M18" s="2309"/>
      <c r="N18" s="2309"/>
      <c r="O18" s="2309"/>
      <c r="P18" s="2309"/>
      <c r="Q18" s="2309"/>
      <c r="R18" s="2309"/>
      <c r="S18" s="2310"/>
      <c r="T18" s="1781">
        <f>'Basis &amp; Credits'!T18</f>
        <v>0</v>
      </c>
      <c r="U18" s="1782"/>
      <c r="V18" s="1782"/>
      <c r="W18" s="1782"/>
      <c r="X18" s="1783"/>
      <c r="Y18" s="1783">
        <f>'Basis &amp; Credits'!Y18</f>
        <v>0</v>
      </c>
      <c r="Z18" s="1799"/>
      <c r="AA18" s="1799"/>
      <c r="AB18" s="1799"/>
      <c r="AC18" s="1799"/>
      <c r="AD18" s="1799">
        <f>'Basis &amp; Credits'!AD18</f>
        <v>0</v>
      </c>
      <c r="AE18" s="1799"/>
      <c r="AF18" s="1799"/>
      <c r="AG18" s="1799"/>
      <c r="AH18" s="1799"/>
      <c r="AI18" s="1799">
        <f>'Basis &amp; Credits'!AI18</f>
        <v>0</v>
      </c>
      <c r="AJ18" s="1799"/>
      <c r="AK18" s="1799"/>
      <c r="AL18" s="1799"/>
      <c r="AM18" s="1799"/>
    </row>
    <row r="19" spans="1:39" ht="12.75">
      <c r="B19" s="766"/>
      <c r="C19" s="1982" t="str">
        <f>'Basis &amp; Credits'!C19:S19</f>
        <v>Subtract (specify other ineligible amounts):</v>
      </c>
      <c r="D19" s="1982"/>
      <c r="E19" s="1982"/>
      <c r="F19" s="1982"/>
      <c r="G19" s="1982"/>
      <c r="H19" s="1982"/>
      <c r="I19" s="1982"/>
      <c r="J19" s="1982"/>
      <c r="K19" s="1982"/>
      <c r="L19" s="1982"/>
      <c r="M19" s="1982"/>
      <c r="N19" s="1982"/>
      <c r="O19" s="1982"/>
      <c r="P19" s="1982"/>
      <c r="Q19" s="1982"/>
      <c r="R19" s="1982"/>
      <c r="S19" s="1983"/>
      <c r="T19" s="1783">
        <f>'Basis &amp; Credits'!T19</f>
        <v>0</v>
      </c>
      <c r="U19" s="1799"/>
      <c r="V19" s="1799"/>
      <c r="W19" s="1799"/>
      <c r="X19" s="1799"/>
      <c r="Y19" s="1783">
        <f>'Basis &amp; Credits'!Y19</f>
        <v>0</v>
      </c>
      <c r="Z19" s="1799"/>
      <c r="AA19" s="1799"/>
      <c r="AB19" s="1799"/>
      <c r="AC19" s="1799"/>
      <c r="AD19" s="1799">
        <f>'Basis &amp; Credits'!AD19</f>
        <v>0</v>
      </c>
      <c r="AE19" s="1799"/>
      <c r="AF19" s="1799"/>
      <c r="AG19" s="1799"/>
      <c r="AH19" s="1799"/>
      <c r="AI19" s="1799">
        <f>'Basis &amp; Credits'!AI19</f>
        <v>0</v>
      </c>
      <c r="AJ19" s="1799"/>
      <c r="AK19" s="1799"/>
      <c r="AL19" s="1799"/>
      <c r="AM19" s="1799"/>
    </row>
    <row r="20" spans="1:39" ht="12.75">
      <c r="B20" s="2272" t="s">
        <v>844</v>
      </c>
      <c r="C20" s="2273"/>
      <c r="D20" s="2273"/>
      <c r="E20" s="2273"/>
      <c r="F20" s="2273"/>
      <c r="G20" s="2273"/>
      <c r="H20" s="2273"/>
      <c r="I20" s="2273"/>
      <c r="J20" s="2273"/>
      <c r="K20" s="2273"/>
      <c r="L20" s="2273"/>
      <c r="M20" s="2273"/>
      <c r="N20" s="2273"/>
      <c r="O20" s="2273"/>
      <c r="P20" s="2273"/>
      <c r="Q20" s="2273"/>
      <c r="R20" s="2273"/>
      <c r="S20" s="2274"/>
      <c r="T20" s="2267">
        <f>SUM(T13:X19)</f>
        <v>0</v>
      </c>
      <c r="U20" s="2268"/>
      <c r="V20" s="2268"/>
      <c r="W20" s="2268"/>
      <c r="X20" s="2268"/>
      <c r="Y20" s="2267">
        <f>SUM(Y13:AC19)</f>
        <v>0</v>
      </c>
      <c r="Z20" s="2268"/>
      <c r="AA20" s="2268"/>
      <c r="AB20" s="2268"/>
      <c r="AC20" s="2268"/>
      <c r="AD20" s="2268">
        <f>SUM(AD13:AH19)</f>
        <v>0</v>
      </c>
      <c r="AE20" s="2268"/>
      <c r="AF20" s="2268"/>
      <c r="AG20" s="2268"/>
      <c r="AH20" s="2268"/>
      <c r="AI20" s="2268">
        <f>SUM(AI13:AM19)</f>
        <v>0</v>
      </c>
      <c r="AJ20" s="2268"/>
      <c r="AK20" s="2268"/>
      <c r="AL20" s="2268"/>
      <c r="AM20" s="2268"/>
    </row>
    <row r="21" spans="1:39" ht="12.75">
      <c r="B21" s="2272" t="s">
        <v>1929</v>
      </c>
      <c r="C21" s="2273"/>
      <c r="D21" s="2273"/>
      <c r="E21" s="2273"/>
      <c r="F21" s="2273"/>
      <c r="G21" s="2273"/>
      <c r="H21" s="2273"/>
      <c r="I21" s="2273"/>
      <c r="J21" s="2273"/>
      <c r="K21" s="2273"/>
      <c r="L21" s="2273"/>
      <c r="M21" s="2273"/>
      <c r="N21" s="2273"/>
      <c r="O21" s="2273"/>
      <c r="P21" s="2273"/>
      <c r="Q21" s="2273"/>
      <c r="R21" s="2273"/>
      <c r="S21" s="2274"/>
      <c r="T21" s="1783">
        <f>'Basis &amp; Credits'!E21</f>
        <v>0</v>
      </c>
      <c r="U21" s="1799"/>
      <c r="V21" s="1799"/>
      <c r="W21" s="1799"/>
      <c r="X21" s="1799"/>
      <c r="Y21" s="1783">
        <f>'Basis &amp; Credits'!J21</f>
        <v>0</v>
      </c>
      <c r="Z21" s="1799"/>
      <c r="AA21" s="1799"/>
      <c r="AB21" s="1799"/>
      <c r="AC21" s="1799"/>
      <c r="AD21" s="1799">
        <f>'Basis &amp; Credits'!O21</f>
        <v>0</v>
      </c>
      <c r="AE21" s="1799"/>
      <c r="AF21" s="1799"/>
      <c r="AG21" s="1799"/>
      <c r="AH21" s="1799"/>
      <c r="AI21" s="1799">
        <f>'Basis &amp; Credits'!T21</f>
        <v>2903906</v>
      </c>
      <c r="AJ21" s="1799"/>
      <c r="AK21" s="1799"/>
      <c r="AL21" s="1799"/>
      <c r="AM21" s="1799"/>
    </row>
    <row r="22" spans="1:39" ht="12.75">
      <c r="B22" s="2272" t="s">
        <v>845</v>
      </c>
      <c r="C22" s="2273"/>
      <c r="D22" s="2273"/>
      <c r="E22" s="2273"/>
      <c r="F22" s="2273"/>
      <c r="G22" s="2273"/>
      <c r="H22" s="2273"/>
      <c r="I22" s="2273"/>
      <c r="J22" s="2273"/>
      <c r="K22" s="2273"/>
      <c r="L22" s="2273"/>
      <c r="M22" s="2273"/>
      <c r="N22" s="2273"/>
      <c r="O22" s="2273"/>
      <c r="P22" s="2273"/>
      <c r="Q22" s="2273"/>
      <c r="R22" s="2273"/>
      <c r="S22" s="2274"/>
      <c r="T22" s="2313">
        <f>(T20+T21)*-1</f>
        <v>0</v>
      </c>
      <c r="U22" s="2314"/>
      <c r="V22" s="2314"/>
      <c r="W22" s="2314"/>
      <c r="X22" s="2314"/>
      <c r="Y22" s="2313">
        <f>(Y20+Y21)*-1</f>
        <v>0</v>
      </c>
      <c r="Z22" s="2314"/>
      <c r="AA22" s="2314"/>
      <c r="AB22" s="2314"/>
      <c r="AC22" s="2314"/>
      <c r="AD22" s="2313">
        <f>(AD20+AD21)*-1</f>
        <v>0</v>
      </c>
      <c r="AE22" s="2314"/>
      <c r="AF22" s="2314"/>
      <c r="AG22" s="2314"/>
      <c r="AH22" s="2314"/>
      <c r="AI22" s="2313">
        <f>(AI20+AI21)*-1</f>
        <v>-2903906</v>
      </c>
      <c r="AJ22" s="2314"/>
      <c r="AK22" s="2314"/>
      <c r="AL22" s="2314"/>
      <c r="AM22" s="2314"/>
    </row>
    <row r="23" spans="1:39" ht="12.75">
      <c r="A23" s="2"/>
      <c r="B23" s="2330" t="s">
        <v>846</v>
      </c>
      <c r="C23" s="2331"/>
      <c r="D23" s="2331"/>
      <c r="E23" s="2331"/>
      <c r="F23" s="2331"/>
      <c r="G23" s="2331"/>
      <c r="H23" s="2331"/>
      <c r="I23" s="2331"/>
      <c r="J23" s="2331"/>
      <c r="K23" s="2331"/>
      <c r="L23" s="2331"/>
      <c r="M23" s="2331"/>
      <c r="N23" s="2331"/>
      <c r="O23" s="2331"/>
      <c r="P23" s="2331"/>
      <c r="Q23" s="2331"/>
      <c r="R23" s="2331"/>
      <c r="S23" s="2332"/>
      <c r="T23" s="2267">
        <f>T11+T22</f>
        <v>24271427</v>
      </c>
      <c r="U23" s="2268"/>
      <c r="V23" s="2268"/>
      <c r="W23" s="2268"/>
      <c r="X23" s="2268"/>
      <c r="Y23" s="2267">
        <f>Y11+Y22</f>
        <v>0</v>
      </c>
      <c r="Z23" s="2268"/>
      <c r="AA23" s="2268"/>
      <c r="AB23" s="2268"/>
      <c r="AC23" s="2268"/>
      <c r="AD23" s="2267">
        <f>AD11+AD22</f>
        <v>0</v>
      </c>
      <c r="AE23" s="2268"/>
      <c r="AF23" s="2268"/>
      <c r="AG23" s="2268"/>
      <c r="AH23" s="2268"/>
      <c r="AI23" s="2267">
        <f>AI11+AI22</f>
        <v>-2903906</v>
      </c>
      <c r="AJ23" s="2268"/>
      <c r="AK23" s="2268"/>
      <c r="AL23" s="2268"/>
      <c r="AM23" s="2268"/>
    </row>
    <row r="24" spans="1:39" ht="12.75">
      <c r="B24" s="2272" t="s">
        <v>1349</v>
      </c>
      <c r="C24" s="2273"/>
      <c r="D24" s="2273"/>
      <c r="E24" s="2273"/>
      <c r="F24" s="2273"/>
      <c r="G24" s="2273"/>
      <c r="H24" s="2273"/>
      <c r="I24" s="2273"/>
      <c r="J24" s="2273"/>
      <c r="K24" s="2273"/>
      <c r="L24" s="2273"/>
      <c r="M24" s="2273"/>
      <c r="N24" s="2273"/>
      <c r="O24" s="2273"/>
      <c r="P24" s="2273"/>
      <c r="Q24" s="2273"/>
      <c r="R24" s="2273"/>
      <c r="S24" s="2274"/>
      <c r="T24" s="2333">
        <f>Application!AD993</f>
        <v>0</v>
      </c>
      <c r="U24" s="2334"/>
      <c r="V24" s="2334"/>
      <c r="W24" s="2334"/>
      <c r="X24" s="2334"/>
      <c r="Y24" s="2334"/>
      <c r="Z24" s="2334"/>
      <c r="AA24" s="2334"/>
      <c r="AB24" s="2334"/>
      <c r="AC24" s="2334"/>
      <c r="AD24" s="2334"/>
      <c r="AE24" s="2334"/>
      <c r="AF24" s="2334"/>
      <c r="AG24" s="2334"/>
      <c r="AH24" s="2334"/>
      <c r="AI24" s="2334"/>
      <c r="AJ24" s="2334"/>
      <c r="AK24" s="2334"/>
      <c r="AL24" s="2334"/>
      <c r="AM24" s="2267"/>
    </row>
    <row r="25" spans="1:39" ht="12.75">
      <c r="B25" s="2324" t="s">
        <v>1974</v>
      </c>
      <c r="C25" s="2325"/>
      <c r="D25" s="2325"/>
      <c r="E25" s="2325"/>
      <c r="F25" s="2325"/>
      <c r="G25" s="2325"/>
      <c r="H25" s="2325"/>
      <c r="I25" s="2325"/>
      <c r="J25" s="2325"/>
      <c r="K25" s="2325"/>
      <c r="L25" s="2325"/>
      <c r="M25" s="2325"/>
      <c r="N25" s="2325"/>
      <c r="O25" s="2325"/>
      <c r="P25" s="2325"/>
      <c r="Q25" s="2325"/>
      <c r="R25" s="2325"/>
      <c r="S25" s="2326"/>
      <c r="T25" s="2315">
        <v>1</v>
      </c>
      <c r="U25" s="2316"/>
      <c r="V25" s="2316"/>
      <c r="W25" s="2316"/>
      <c r="X25" s="2319"/>
      <c r="Y25" s="2315">
        <v>1</v>
      </c>
      <c r="Z25" s="2316"/>
      <c r="AA25" s="2316"/>
      <c r="AB25" s="2316"/>
      <c r="AC25" s="2319"/>
      <c r="AD25" s="2315">
        <v>1</v>
      </c>
      <c r="AE25" s="2316"/>
      <c r="AF25" s="2316"/>
      <c r="AG25" s="2316"/>
      <c r="AH25" s="2319"/>
      <c r="AI25" s="2315">
        <v>1</v>
      </c>
      <c r="AJ25" s="2316"/>
      <c r="AK25" s="2316"/>
      <c r="AL25" s="2316"/>
      <c r="AM25" s="2319"/>
    </row>
    <row r="26" spans="1:39" ht="12.75">
      <c r="B26" s="2272" t="s">
        <v>847</v>
      </c>
      <c r="C26" s="2273"/>
      <c r="D26" s="2273"/>
      <c r="E26" s="2273"/>
      <c r="F26" s="2273"/>
      <c r="G26" s="2273"/>
      <c r="H26" s="2273"/>
      <c r="I26" s="2273"/>
      <c r="J26" s="2273"/>
      <c r="K26" s="2273"/>
      <c r="L26" s="2273"/>
      <c r="M26" s="2273"/>
      <c r="N26" s="2273"/>
      <c r="O26" s="2273"/>
      <c r="P26" s="2273"/>
      <c r="Q26" s="2273"/>
      <c r="R26" s="2273"/>
      <c r="S26" s="2274"/>
      <c r="T26" s="2320">
        <f>T23*T25</f>
        <v>24271427</v>
      </c>
      <c r="U26" s="2321"/>
      <c r="V26" s="2321"/>
      <c r="W26" s="2321"/>
      <c r="X26" s="2321"/>
      <c r="Y26" s="2320">
        <f>Y23*Y25</f>
        <v>0</v>
      </c>
      <c r="Z26" s="2321"/>
      <c r="AA26" s="2321"/>
      <c r="AB26" s="2321"/>
      <c r="AC26" s="2321"/>
      <c r="AD26" s="2320">
        <f>AD23*AD25</f>
        <v>0</v>
      </c>
      <c r="AE26" s="2321"/>
      <c r="AF26" s="2321"/>
      <c r="AG26" s="2321"/>
      <c r="AH26" s="2321"/>
      <c r="AI26" s="2320">
        <f>AI23*AI25</f>
        <v>-2903906</v>
      </c>
      <c r="AJ26" s="2321"/>
      <c r="AK26" s="2321"/>
      <c r="AL26" s="2321"/>
      <c r="AM26" s="2321"/>
    </row>
    <row r="27" spans="1:39" ht="12.75">
      <c r="A27" s="7"/>
      <c r="B27" s="2327" t="s">
        <v>978</v>
      </c>
      <c r="C27" s="2328"/>
      <c r="D27" s="2328"/>
      <c r="E27" s="2328"/>
      <c r="F27" s="2328"/>
      <c r="G27" s="2328"/>
      <c r="H27" s="2328"/>
      <c r="I27" s="2328"/>
      <c r="J27" s="2328"/>
      <c r="K27" s="2328"/>
      <c r="L27" s="2328"/>
      <c r="M27" s="2328"/>
      <c r="N27" s="2328"/>
      <c r="O27" s="2328"/>
      <c r="P27" s="2328"/>
      <c r="Q27" s="2328"/>
      <c r="R27" s="2328"/>
      <c r="S27" s="2329"/>
      <c r="T27" s="2317">
        <f>Application!AG438</f>
        <v>1</v>
      </c>
      <c r="U27" s="2318"/>
      <c r="V27" s="2318"/>
      <c r="W27" s="2318"/>
      <c r="X27" s="2318"/>
      <c r="Y27" s="2317">
        <f>Application!AG438</f>
        <v>1</v>
      </c>
      <c r="Z27" s="2318"/>
      <c r="AA27" s="2318"/>
      <c r="AB27" s="2318"/>
      <c r="AC27" s="2318"/>
      <c r="AD27" s="2317">
        <f>Application!AG438</f>
        <v>1</v>
      </c>
      <c r="AE27" s="2318"/>
      <c r="AF27" s="2318"/>
      <c r="AG27" s="2318"/>
      <c r="AH27" s="2318"/>
      <c r="AI27" s="2317">
        <f>Application!AG438</f>
        <v>1</v>
      </c>
      <c r="AJ27" s="2318"/>
      <c r="AK27" s="2318"/>
      <c r="AL27" s="2318"/>
      <c r="AM27" s="2318"/>
    </row>
    <row r="28" spans="1:39" ht="12.75" customHeight="1">
      <c r="A28" s="6"/>
      <c r="B28" s="2272" t="s">
        <v>925</v>
      </c>
      <c r="C28" s="2273"/>
      <c r="D28" s="2273"/>
      <c r="E28" s="2273"/>
      <c r="F28" s="2273"/>
      <c r="G28" s="2273"/>
      <c r="H28" s="2273"/>
      <c r="I28" s="2273"/>
      <c r="J28" s="2273"/>
      <c r="K28" s="2273"/>
      <c r="L28" s="2273"/>
      <c r="M28" s="2273"/>
      <c r="N28" s="2273"/>
      <c r="O28" s="2273"/>
      <c r="P28" s="2273"/>
      <c r="Q28" s="2273"/>
      <c r="R28" s="2273"/>
      <c r="S28" s="2274"/>
      <c r="T28" s="1793">
        <f>IF(ISERROR((T26*T27)),0,(T26*T27))</f>
        <v>24271427</v>
      </c>
      <c r="U28" s="2289"/>
      <c r="V28" s="2289"/>
      <c r="W28" s="2289"/>
      <c r="X28" s="2289"/>
      <c r="Y28" s="1793">
        <f>IF(ISERROR((Y26*Y27)),0,(Y26*Y27))</f>
        <v>0</v>
      </c>
      <c r="Z28" s="2289"/>
      <c r="AA28" s="2289"/>
      <c r="AB28" s="2289"/>
      <c r="AC28" s="2289"/>
      <c r="AD28" s="1793">
        <f>IF(ISERROR((AD26*AD27)),0,(AD26*AD27))</f>
        <v>0</v>
      </c>
      <c r="AE28" s="2289"/>
      <c r="AF28" s="2289"/>
      <c r="AG28" s="2289"/>
      <c r="AH28" s="2289"/>
      <c r="AI28" s="1793">
        <f>IF(ISERROR((AI26*AI27)),0,(AI26*AI27))</f>
        <v>-2903906</v>
      </c>
      <c r="AJ28" s="2289"/>
      <c r="AK28" s="2289"/>
      <c r="AL28" s="2289"/>
      <c r="AM28" s="2289"/>
    </row>
    <row r="29" spans="1:39" ht="12.75">
      <c r="B29" s="2272" t="s">
        <v>689</v>
      </c>
      <c r="C29" s="2273"/>
      <c r="D29" s="2273"/>
      <c r="E29" s="2273"/>
      <c r="F29" s="2273"/>
      <c r="G29" s="2273"/>
      <c r="H29" s="2273"/>
      <c r="I29" s="2273"/>
      <c r="J29" s="2273"/>
      <c r="K29" s="2273"/>
      <c r="L29" s="2273"/>
      <c r="M29" s="2273"/>
      <c r="N29" s="2273"/>
      <c r="O29" s="2273"/>
      <c r="P29" s="2273"/>
      <c r="Q29" s="2273"/>
      <c r="R29" s="2273"/>
      <c r="S29" s="2274"/>
      <c r="T29" s="2333">
        <f>T28+Y28+AD28+AI28</f>
        <v>21367521</v>
      </c>
      <c r="U29" s="2334"/>
      <c r="V29" s="2334"/>
      <c r="W29" s="2334"/>
      <c r="X29" s="2334"/>
      <c r="Y29" s="2334"/>
      <c r="Z29" s="2334"/>
      <c r="AA29" s="2334"/>
      <c r="AB29" s="2334"/>
      <c r="AC29" s="2334"/>
      <c r="AD29" s="2334"/>
      <c r="AE29" s="2334"/>
      <c r="AF29" s="2334"/>
      <c r="AG29" s="2334"/>
      <c r="AH29" s="2334"/>
      <c r="AI29" s="2334"/>
      <c r="AJ29" s="2334"/>
      <c r="AK29" s="2334"/>
      <c r="AL29" s="2334"/>
      <c r="AM29" s="2267"/>
    </row>
    <row r="30" spans="1:39" ht="12.75" customHeight="1">
      <c r="B30" s="2714"/>
      <c r="C30" s="2714"/>
      <c r="D30" s="2714"/>
      <c r="E30" s="2714"/>
      <c r="F30" s="2714"/>
      <c r="G30" s="2714"/>
      <c r="H30" s="2714"/>
      <c r="I30" s="2714"/>
      <c r="J30" s="2714"/>
      <c r="K30" s="2714"/>
      <c r="L30" s="2714"/>
      <c r="M30" s="2714"/>
      <c r="N30" s="2714"/>
      <c r="O30" s="2714"/>
      <c r="P30" s="2714"/>
      <c r="Q30" s="2714"/>
      <c r="R30" s="2714"/>
      <c r="S30" s="2714"/>
      <c r="T30" s="2714"/>
      <c r="U30" s="2714"/>
      <c r="V30" s="2714"/>
      <c r="W30" s="2714"/>
      <c r="X30" s="2714"/>
      <c r="Y30" s="2714"/>
      <c r="Z30" s="2714"/>
      <c r="AA30" s="2714"/>
      <c r="AB30" s="2714"/>
      <c r="AC30" s="2714"/>
      <c r="AD30" s="2714"/>
      <c r="AE30" s="2714"/>
      <c r="AF30" s="2714"/>
      <c r="AG30" s="2714"/>
      <c r="AH30" s="2714"/>
      <c r="AI30" s="2714"/>
      <c r="AJ30" s="2714"/>
      <c r="AK30" s="2714"/>
      <c r="AL30" s="2714"/>
      <c r="AM30" s="2714"/>
    </row>
    <row r="31" spans="1:39" ht="12.75">
      <c r="C31" s="544"/>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75" t="s">
        <v>1811</v>
      </c>
      <c r="Z35" s="2275"/>
      <c r="AA35" s="2275"/>
      <c r="AB35" s="2275"/>
      <c r="AC35" s="2275"/>
      <c r="AD35" s="2257" t="s">
        <v>46</v>
      </c>
      <c r="AE35" s="2257"/>
      <c r="AF35" s="2257"/>
      <c r="AG35" s="2257"/>
      <c r="AH35" s="2257"/>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5"/>
      <c r="Z36" s="2275"/>
      <c r="AA36" s="2275"/>
      <c r="AB36" s="2275"/>
      <c r="AC36" s="2275"/>
      <c r="AD36" s="2257"/>
      <c r="AE36" s="2257"/>
      <c r="AF36" s="2257"/>
      <c r="AG36" s="2257"/>
      <c r="AH36" s="2257"/>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5"/>
      <c r="Z37" s="2275"/>
      <c r="AA37" s="2275"/>
      <c r="AB37" s="2275"/>
      <c r="AC37" s="2275"/>
      <c r="AD37" s="2257"/>
      <c r="AE37" s="2257"/>
      <c r="AF37" s="2257"/>
      <c r="AG37" s="2257"/>
      <c r="AH37" s="2257"/>
    </row>
    <row r="38" spans="1:40" ht="12.75" customHeight="1">
      <c r="A38" s="6"/>
      <c r="B38" s="2272" t="s">
        <v>925</v>
      </c>
      <c r="C38" s="2273"/>
      <c r="D38" s="2273"/>
      <c r="E38" s="2273"/>
      <c r="F38" s="2273"/>
      <c r="G38" s="2273"/>
      <c r="H38" s="2273"/>
      <c r="I38" s="2273"/>
      <c r="J38" s="2273"/>
      <c r="K38" s="2273"/>
      <c r="L38" s="2273"/>
      <c r="M38" s="2273"/>
      <c r="N38" s="2273"/>
      <c r="O38" s="2273"/>
      <c r="P38" s="2273"/>
      <c r="Q38" s="2273"/>
      <c r="R38" s="2273"/>
      <c r="S38" s="2273"/>
      <c r="T38" s="2273"/>
      <c r="U38" s="2273"/>
      <c r="V38" s="2273"/>
      <c r="W38" s="2273"/>
      <c r="X38" s="2274"/>
      <c r="Y38" s="2268">
        <f>IF(T24&gt;=(T23+Y23+AD23+AI23),T28+Y28,0)</f>
        <v>0</v>
      </c>
      <c r="Z38" s="2268"/>
      <c r="AA38" s="2268"/>
      <c r="AB38" s="2268"/>
      <c r="AC38" s="2268"/>
      <c r="AD38" s="2268">
        <f>IF(T24&gt;=(T23+Y23+AD23+AI23),AD28+AI28,0)</f>
        <v>0</v>
      </c>
      <c r="AE38" s="2268"/>
      <c r="AF38" s="2268"/>
      <c r="AG38" s="2268"/>
      <c r="AH38" s="2268"/>
    </row>
    <row r="39" spans="1:40" ht="12.75">
      <c r="B39" s="2272" t="s">
        <v>837</v>
      </c>
      <c r="C39" s="2273"/>
      <c r="D39" s="2273"/>
      <c r="E39" s="2273"/>
      <c r="F39" s="2273"/>
      <c r="G39" s="2273"/>
      <c r="H39" s="2273"/>
      <c r="I39" s="2273"/>
      <c r="J39" s="2273"/>
      <c r="K39" s="2273"/>
      <c r="L39" s="2273"/>
      <c r="M39" s="2273"/>
      <c r="N39" s="2273"/>
      <c r="O39" s="2273"/>
      <c r="P39" s="2273"/>
      <c r="Q39" s="2273"/>
      <c r="R39" s="2273"/>
      <c r="S39" s="2273"/>
      <c r="T39" s="2273"/>
      <c r="U39" s="2273"/>
      <c r="V39" s="2273"/>
      <c r="W39" s="2273"/>
      <c r="X39" s="2274"/>
      <c r="Y39" s="2266">
        <v>0.09</v>
      </c>
      <c r="Z39" s="2266"/>
      <c r="AA39" s="2266"/>
      <c r="AB39" s="2266"/>
      <c r="AC39" s="2266"/>
      <c r="AD39" s="2266">
        <f>'Basis &amp; Credits'!AD39:AH39</f>
        <v>0.04</v>
      </c>
      <c r="AE39" s="2266"/>
      <c r="AF39" s="2266"/>
      <c r="AG39" s="2266"/>
      <c r="AH39" s="2266"/>
    </row>
    <row r="40" spans="1:40" ht="12.75" customHeight="1">
      <c r="A40" s="6"/>
      <c r="B40" s="2272" t="s">
        <v>26</v>
      </c>
      <c r="C40" s="2273"/>
      <c r="D40" s="2273"/>
      <c r="E40" s="2273"/>
      <c r="F40" s="2273"/>
      <c r="G40" s="2273"/>
      <c r="H40" s="2273"/>
      <c r="I40" s="2273"/>
      <c r="J40" s="2273"/>
      <c r="K40" s="2273"/>
      <c r="L40" s="2273"/>
      <c r="M40" s="2273"/>
      <c r="N40" s="2273"/>
      <c r="O40" s="2273"/>
      <c r="P40" s="2273"/>
      <c r="Q40" s="2273"/>
      <c r="R40" s="2273"/>
      <c r="S40" s="2273"/>
      <c r="T40" s="2273"/>
      <c r="U40" s="2273"/>
      <c r="V40" s="2273"/>
      <c r="W40" s="2273"/>
      <c r="X40" s="2274"/>
      <c r="Y40" s="2268">
        <f>ROUND(Y38*Y39,0)</f>
        <v>0</v>
      </c>
      <c r="Z40" s="2268"/>
      <c r="AA40" s="2268"/>
      <c r="AB40" s="2268"/>
      <c r="AC40" s="2268"/>
      <c r="AD40" s="2267">
        <f>ROUND(AD38*AD39,0)</f>
        <v>0</v>
      </c>
      <c r="AE40" s="2268"/>
      <c r="AF40" s="2268"/>
      <c r="AG40" s="2268"/>
      <c r="AH40" s="2268"/>
    </row>
    <row r="41" spans="1:40" ht="12.75">
      <c r="B41" s="2272" t="s">
        <v>683</v>
      </c>
      <c r="C41" s="2273"/>
      <c r="D41" s="2273"/>
      <c r="E41" s="2273"/>
      <c r="F41" s="2273"/>
      <c r="G41" s="2273"/>
      <c r="H41" s="2273"/>
      <c r="I41" s="2273"/>
      <c r="J41" s="2273"/>
      <c r="K41" s="2273"/>
      <c r="L41" s="2273"/>
      <c r="M41" s="2273"/>
      <c r="N41" s="2273"/>
      <c r="O41" s="2273"/>
      <c r="P41" s="2273"/>
      <c r="Q41" s="2273"/>
      <c r="R41" s="2273"/>
      <c r="S41" s="2273"/>
      <c r="T41" s="2273"/>
      <c r="U41" s="2273"/>
      <c r="V41" s="2273"/>
      <c r="W41" s="2273"/>
      <c r="X41" s="2274"/>
      <c r="Y41" s="2269">
        <f>IF((Y40+AD40)&gt;2500000,2500000,Y40+AD40)</f>
        <v>0</v>
      </c>
      <c r="Z41" s="2270"/>
      <c r="AA41" s="2270"/>
      <c r="AB41" s="2270"/>
      <c r="AC41" s="2270"/>
      <c r="AD41" s="2270"/>
      <c r="AE41" s="2270"/>
      <c r="AF41" s="2270"/>
      <c r="AG41" s="2270"/>
      <c r="AH41" s="2271"/>
    </row>
    <row r="42" spans="1:40" ht="12.75" customHeight="1">
      <c r="A42" s="6"/>
      <c r="B42" s="2288" t="s">
        <v>1288</v>
      </c>
      <c r="C42" s="2288"/>
      <c r="D42" s="2288"/>
      <c r="E42" s="2288"/>
      <c r="F42" s="2288"/>
      <c r="G42" s="2288"/>
      <c r="H42" s="2288"/>
      <c r="I42" s="2288"/>
      <c r="J42" s="2288"/>
      <c r="K42" s="2288"/>
      <c r="L42" s="2288"/>
      <c r="M42" s="2288"/>
      <c r="N42" s="2288"/>
      <c r="O42" s="2288"/>
      <c r="P42" s="2288"/>
      <c r="Q42" s="2288"/>
      <c r="R42" s="2288"/>
      <c r="S42" s="2288"/>
      <c r="T42" s="2288"/>
      <c r="U42" s="2288"/>
      <c r="V42" s="2288"/>
      <c r="W42" s="2288"/>
      <c r="X42" s="2288"/>
      <c r="Y42" s="2288"/>
      <c r="Z42" s="2288"/>
      <c r="AA42" s="2288"/>
      <c r="AB42" s="2288"/>
      <c r="AC42" s="2288"/>
      <c r="AD42" s="2288"/>
      <c r="AE42" s="2288"/>
      <c r="AF42" s="2288"/>
      <c r="AG42" s="2288"/>
      <c r="AH42" s="2288"/>
      <c r="AI42" s="947"/>
      <c r="AJ42" s="947"/>
      <c r="AK42" s="947"/>
      <c r="AL42" s="947"/>
      <c r="AM42" s="947"/>
      <c r="AN42" s="947"/>
    </row>
    <row r="43" spans="1:40" ht="12.75">
      <c r="B43" s="931"/>
      <c r="C43" s="931"/>
      <c r="D43" s="931"/>
      <c r="E43" s="931"/>
      <c r="F43" s="931"/>
      <c r="G43" s="931"/>
      <c r="H43" s="931"/>
      <c r="I43" s="931"/>
      <c r="J43" s="931"/>
      <c r="K43" s="931"/>
      <c r="L43" s="931"/>
      <c r="M43" s="931"/>
      <c r="N43" s="931"/>
      <c r="O43" s="931"/>
      <c r="P43" s="931"/>
      <c r="Q43" s="931"/>
      <c r="R43" s="931"/>
      <c r="S43" s="931"/>
      <c r="T43" s="931"/>
      <c r="U43" s="931"/>
      <c r="V43" s="931"/>
      <c r="W43" s="931"/>
      <c r="X43" s="931"/>
      <c r="Y43" s="931"/>
      <c r="Z43" s="931"/>
      <c r="AA43" s="931"/>
      <c r="AB43" s="931"/>
      <c r="AC43" s="931"/>
      <c r="AD43" s="931"/>
      <c r="AE43" s="931"/>
      <c r="AF43" s="931"/>
      <c r="AG43" s="931"/>
      <c r="AH43" s="931"/>
    </row>
    <row r="44" spans="1:40" ht="12.75">
      <c r="A44" s="6"/>
      <c r="B44" s="931"/>
      <c r="C44" s="931"/>
      <c r="D44" s="931"/>
      <c r="E44" s="931"/>
      <c r="F44" s="931"/>
      <c r="G44" s="931"/>
      <c r="H44" s="931"/>
      <c r="I44" s="931"/>
      <c r="J44" s="931"/>
      <c r="K44" s="931"/>
      <c r="L44" s="931"/>
      <c r="M44" s="931"/>
      <c r="N44" s="931"/>
      <c r="O44" s="931"/>
      <c r="P44" s="931"/>
      <c r="Q44" s="931"/>
      <c r="R44" s="931"/>
      <c r="S44" s="931"/>
      <c r="T44" s="931"/>
      <c r="U44" s="931"/>
      <c r="V44" s="931"/>
      <c r="W44" s="931"/>
      <c r="X44" s="931"/>
      <c r="Y44" s="931"/>
      <c r="Z44" s="931"/>
      <c r="AA44" s="931"/>
      <c r="AB44" s="931"/>
      <c r="AC44" s="931"/>
      <c r="AD44" s="931"/>
      <c r="AE44" s="931"/>
      <c r="AF44" s="931"/>
      <c r="AG44" s="931"/>
      <c r="AH44" s="931"/>
    </row>
    <row r="45" spans="1:40" ht="12.75">
      <c r="A45" s="6" t="s">
        <v>131</v>
      </c>
      <c r="C45" s="6" t="s">
        <v>281</v>
      </c>
    </row>
    <row r="46" spans="1:40" ht="12.75">
      <c r="D46" s="6" t="s">
        <v>282</v>
      </c>
      <c r="AB46" s="2263">
        <f>'Sources and Uses Budget'!B104-'Sources and Uses Budget'!$B$15</f>
        <v>27294141</v>
      </c>
      <c r="AC46" s="2264"/>
      <c r="AD46" s="2264"/>
      <c r="AE46" s="2264"/>
      <c r="AF46" s="2265"/>
    </row>
    <row r="47" spans="1:40" ht="12.75" customHeight="1">
      <c r="D47" s="6" t="s">
        <v>919</v>
      </c>
      <c r="AB47" s="2263">
        <f>Application!AG644-MIN('Sources and Uses Budget'!B15,Application!AG385)</f>
        <v>0</v>
      </c>
      <c r="AC47" s="2264"/>
      <c r="AD47" s="2264"/>
      <c r="AE47" s="2264"/>
      <c r="AF47" s="2265"/>
    </row>
    <row r="48" spans="1:40" ht="12.75">
      <c r="D48" s="6" t="s">
        <v>422</v>
      </c>
      <c r="AB48" s="2263">
        <f>AB46-AB47</f>
        <v>27294141</v>
      </c>
      <c r="AC48" s="2264"/>
      <c r="AD48" s="2264"/>
      <c r="AE48" s="2264"/>
      <c r="AF48" s="2265"/>
    </row>
    <row r="49" spans="1:40" ht="12.75">
      <c r="D49" s="6" t="s">
        <v>958</v>
      </c>
      <c r="X49" s="2"/>
      <c r="Y49" s="2"/>
      <c r="Z49" s="2"/>
      <c r="AA49" s="409"/>
      <c r="AB49" s="2282"/>
      <c r="AC49" s="2283"/>
      <c r="AD49" s="2283"/>
      <c r="AE49" s="2283"/>
      <c r="AF49" s="2284"/>
    </row>
    <row r="50" spans="1:40" s="514" customFormat="1" ht="15" customHeight="1">
      <c r="A50" s="2"/>
      <c r="B50" s="2"/>
      <c r="C50" s="2"/>
      <c r="D50" s="272"/>
      <c r="E50" s="2293" t="s">
        <v>1506</v>
      </c>
      <c r="F50" s="2293"/>
      <c r="G50" s="2293"/>
      <c r="H50" s="2293"/>
      <c r="I50" s="2293"/>
      <c r="J50" s="2293"/>
      <c r="K50" s="2293"/>
      <c r="L50" s="2293"/>
      <c r="M50" s="2293"/>
      <c r="N50" s="2293"/>
      <c r="O50" s="2293"/>
      <c r="P50" s="2293"/>
      <c r="Q50" s="2293"/>
      <c r="R50" s="2293"/>
      <c r="S50" s="2293"/>
      <c r="T50" s="2293"/>
      <c r="U50" s="2293"/>
      <c r="V50" s="2293"/>
      <c r="W50" s="2293"/>
      <c r="X50" s="2293"/>
      <c r="Y50" s="2293"/>
      <c r="Z50" s="2293"/>
      <c r="AA50" s="776"/>
      <c r="AB50" s="776"/>
      <c r="AC50" s="776"/>
      <c r="AD50" s="776"/>
      <c r="AE50" s="776"/>
      <c r="AF50" s="776"/>
      <c r="AG50" s="2"/>
      <c r="AH50" s="2"/>
      <c r="AI50" s="2"/>
      <c r="AJ50" s="2"/>
      <c r="AK50" s="2"/>
      <c r="AL50" s="2"/>
      <c r="AM50" s="2"/>
      <c r="AN50" s="2"/>
    </row>
    <row r="51" spans="1:40" s="514" customFormat="1" ht="12" customHeight="1">
      <c r="A51" s="2"/>
      <c r="B51" s="2"/>
      <c r="C51" s="2"/>
      <c r="D51" s="272"/>
      <c r="E51" s="2293"/>
      <c r="F51" s="2293"/>
      <c r="G51" s="2293"/>
      <c r="H51" s="2293"/>
      <c r="I51" s="2293"/>
      <c r="J51" s="2293"/>
      <c r="K51" s="2293"/>
      <c r="L51" s="2293"/>
      <c r="M51" s="2293"/>
      <c r="N51" s="2293"/>
      <c r="O51" s="2293"/>
      <c r="P51" s="2293"/>
      <c r="Q51" s="2293"/>
      <c r="R51" s="2293"/>
      <c r="S51" s="2293"/>
      <c r="T51" s="2293"/>
      <c r="U51" s="2293"/>
      <c r="V51" s="2293"/>
      <c r="W51" s="2293"/>
      <c r="X51" s="2293"/>
      <c r="Y51" s="2293"/>
      <c r="Z51" s="2293"/>
      <c r="AA51" s="777"/>
      <c r="AB51" s="777"/>
      <c r="AC51" s="777"/>
      <c r="AD51" s="777"/>
      <c r="AE51" s="777"/>
      <c r="AF51" s="777"/>
      <c r="AG51" s="515"/>
      <c r="AH51" s="2"/>
      <c r="AI51" s="2"/>
      <c r="AJ51" s="2"/>
      <c r="AK51" s="2"/>
      <c r="AL51" s="2"/>
      <c r="AM51" s="2"/>
      <c r="AN51" s="2"/>
    </row>
    <row r="52" spans="1:40" ht="12" customHeight="1">
      <c r="A52" s="2"/>
      <c r="B52" s="2"/>
      <c r="C52" s="2"/>
      <c r="D52" s="272"/>
      <c r="E52" s="509"/>
      <c r="F52" s="509"/>
      <c r="G52" s="509"/>
      <c r="H52" s="509"/>
      <c r="I52" s="509"/>
      <c r="J52" s="509"/>
      <c r="K52" s="509"/>
      <c r="L52" s="509"/>
      <c r="M52" s="509"/>
      <c r="N52" s="509"/>
      <c r="O52" s="509"/>
      <c r="P52" s="509"/>
      <c r="Q52" s="509"/>
      <c r="R52" s="509"/>
      <c r="S52" s="509"/>
      <c r="T52" s="509"/>
      <c r="U52" s="509"/>
      <c r="V52" s="509"/>
      <c r="W52" s="509"/>
      <c r="X52" s="509"/>
      <c r="Y52" s="509"/>
      <c r="Z52" s="509"/>
      <c r="AA52" s="2"/>
      <c r="AB52" s="2"/>
      <c r="AC52" s="2"/>
      <c r="AD52" s="2"/>
      <c r="AE52" s="2"/>
      <c r="AF52" s="2"/>
      <c r="AG52" s="2"/>
      <c r="AH52" s="2"/>
      <c r="AI52" s="2"/>
      <c r="AJ52" s="2"/>
      <c r="AK52" s="2"/>
      <c r="AL52" s="2"/>
      <c r="AM52" s="2"/>
      <c r="AN52" s="2"/>
    </row>
    <row r="53" spans="1:40" ht="15" customHeight="1">
      <c r="D53" s="6" t="s">
        <v>27</v>
      </c>
      <c r="AB53" s="2263">
        <f>ROUND(IF(ISERROR((AB48/AB49)),0,(AB48/AB49)),0)</f>
        <v>0</v>
      </c>
      <c r="AC53" s="2264"/>
      <c r="AD53" s="2264"/>
      <c r="AE53" s="2264"/>
      <c r="AF53" s="2265"/>
    </row>
    <row r="54" spans="1:40" ht="12.75" customHeight="1">
      <c r="D54" s="6" t="s">
        <v>621</v>
      </c>
      <c r="AB54" s="2263">
        <f>(AB53/10)</f>
        <v>0</v>
      </c>
      <c r="AC54" s="2264"/>
      <c r="AD54" s="2264"/>
      <c r="AE54" s="2264"/>
      <c r="AF54" s="2265"/>
    </row>
    <row r="55" spans="1:40" ht="12.75">
      <c r="D55" s="6" t="s">
        <v>379</v>
      </c>
      <c r="AB55" s="2290">
        <f>(IF((Y41&lt;AB54),Y41,AB54))</f>
        <v>0</v>
      </c>
      <c r="AC55" s="2291"/>
      <c r="AD55" s="2291"/>
      <c r="AE55" s="2291"/>
      <c r="AF55" s="2292"/>
    </row>
    <row r="56" spans="1:40" ht="12.75">
      <c r="D56" s="6" t="s">
        <v>118</v>
      </c>
      <c r="AB56" s="2263">
        <f>ROUND((10*AB55*AB49),0)</f>
        <v>0</v>
      </c>
      <c r="AC56" s="2264"/>
      <c r="AD56" s="2264"/>
      <c r="AE56" s="2264"/>
      <c r="AF56" s="226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61">
        <f>AB48-AB56</f>
        <v>27294141</v>
      </c>
      <c r="AC58" s="2261"/>
      <c r="AD58" s="2261"/>
      <c r="AE58" s="2261"/>
      <c r="AF58" s="2261"/>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58" t="s">
        <v>1977</v>
      </c>
      <c r="B60" s="2258"/>
      <c r="C60" s="2258"/>
      <c r="D60" s="2258"/>
      <c r="E60" s="2258"/>
      <c r="F60" s="2258"/>
      <c r="G60" s="2258"/>
      <c r="H60" s="2258"/>
      <c r="I60" s="2258"/>
      <c r="J60" s="2258"/>
      <c r="K60" s="2258"/>
      <c r="L60" s="2258"/>
      <c r="M60" s="2258"/>
      <c r="N60" s="2258"/>
      <c r="O60" s="2258"/>
      <c r="P60" s="2258"/>
      <c r="Q60" s="2258"/>
      <c r="R60" s="2258"/>
      <c r="S60" s="2258"/>
      <c r="T60" s="2258"/>
      <c r="U60" s="2258"/>
      <c r="V60" s="2258"/>
      <c r="W60" s="2258"/>
      <c r="X60" s="2258"/>
      <c r="Y60" s="2258"/>
      <c r="Z60" s="2258"/>
      <c r="AA60" s="2258"/>
      <c r="AB60" s="2258"/>
      <c r="AC60" s="2258"/>
      <c r="AD60" s="2258"/>
      <c r="AE60" s="2258"/>
      <c r="AF60" s="2258"/>
      <c r="AG60" s="2258"/>
      <c r="AH60" s="2258"/>
      <c r="AI60" s="2258"/>
      <c r="AJ60" s="2258"/>
      <c r="AK60" s="2258"/>
      <c r="AL60" s="2258"/>
      <c r="AM60" s="2258"/>
      <c r="AN60" s="2258"/>
    </row>
    <row r="61" spans="1:40" ht="13.7" customHeight="1" thickTop="1">
      <c r="A61" s="2260"/>
      <c r="B61" s="2260"/>
      <c r="C61" s="2260"/>
      <c r="D61" s="2260"/>
      <c r="E61" s="2260"/>
      <c r="F61" s="2260"/>
      <c r="G61" s="2260"/>
      <c r="H61" s="2260"/>
      <c r="I61" s="2260"/>
      <c r="J61" s="2260"/>
      <c r="K61" s="2260"/>
      <c r="L61" s="2260"/>
      <c r="M61" s="2260"/>
      <c r="N61" s="2260"/>
      <c r="O61" s="2260"/>
      <c r="P61" s="2260"/>
      <c r="Q61" s="2260"/>
      <c r="R61" s="2260"/>
      <c r="S61" s="2260"/>
      <c r="T61" s="2260"/>
      <c r="U61" s="2260"/>
      <c r="V61" s="2260"/>
      <c r="W61" s="2260"/>
      <c r="X61" s="2260"/>
      <c r="Y61" s="2260"/>
      <c r="Z61" s="2260"/>
      <c r="AA61" s="2260"/>
      <c r="AB61" s="2260"/>
      <c r="AC61" s="2260"/>
      <c r="AD61" s="2260"/>
      <c r="AE61" s="2260"/>
      <c r="AF61" s="2260"/>
      <c r="AG61" s="2260"/>
      <c r="AH61" s="2260"/>
      <c r="AI61" s="2260"/>
      <c r="AJ61" s="2260"/>
      <c r="AK61" s="2260"/>
      <c r="AL61" s="2260"/>
      <c r="AM61" s="2260"/>
      <c r="AN61" s="2260"/>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62" t="s">
        <v>331</v>
      </c>
      <c r="Z62" s="2262"/>
      <c r="AA62" s="2262"/>
      <c r="AB62" s="2262"/>
      <c r="AC62" s="2262"/>
      <c r="AD62" s="2262" t="s">
        <v>46</v>
      </c>
      <c r="AE62" s="2262"/>
      <c r="AF62" s="2262"/>
      <c r="AG62" s="2262"/>
      <c r="AH62" s="2262"/>
      <c r="AI62" s="1"/>
      <c r="AJ62" s="1"/>
      <c r="AK62" s="1"/>
      <c r="AL62" s="1"/>
      <c r="AM62" s="1"/>
      <c r="AN62" s="1"/>
    </row>
    <row r="63" spans="1:40" ht="12.75">
      <c r="C63" s="330"/>
      <c r="D63" s="1264" t="s">
        <v>1375</v>
      </c>
      <c r="E63" s="800"/>
      <c r="F63" s="800"/>
      <c r="G63" s="800"/>
      <c r="H63" s="800"/>
      <c r="I63" s="800"/>
      <c r="J63" s="800"/>
      <c r="K63" s="800"/>
      <c r="L63" s="22"/>
      <c r="M63" s="22"/>
      <c r="N63" s="22"/>
      <c r="O63" s="22"/>
      <c r="P63" s="22"/>
      <c r="Q63" s="22"/>
      <c r="R63" s="22"/>
      <c r="S63" s="22"/>
      <c r="T63" s="22"/>
      <c r="U63" s="22"/>
      <c r="V63" s="22"/>
      <c r="W63" s="22"/>
      <c r="X63" s="22"/>
      <c r="Y63" s="1798">
        <f>Y28</f>
        <v>0</v>
      </c>
      <c r="Z63" s="2285"/>
      <c r="AA63" s="2285"/>
      <c r="AB63" s="2285"/>
      <c r="AC63" s="2285"/>
      <c r="AD63" s="1798">
        <f>AI28</f>
        <v>-2903906</v>
      </c>
      <c r="AE63" s="2285"/>
      <c r="AF63" s="2285"/>
      <c r="AG63" s="2285"/>
      <c r="AH63" s="2285"/>
    </row>
    <row r="64" spans="1:40" ht="15" customHeight="1">
      <c r="C64" s="6"/>
      <c r="E64" s="2259" t="s">
        <v>1426</v>
      </c>
      <c r="F64" s="2259"/>
      <c r="G64" s="2259"/>
      <c r="H64" s="2259"/>
      <c r="I64" s="2259"/>
      <c r="J64" s="2259"/>
      <c r="K64" s="2259"/>
      <c r="L64" s="2259"/>
      <c r="M64" s="2259"/>
      <c r="N64" s="2259"/>
      <c r="O64" s="2259"/>
      <c r="P64" s="2259"/>
      <c r="Q64" s="2259"/>
      <c r="R64" s="2259"/>
      <c r="S64" s="2259"/>
      <c r="T64" s="2259"/>
      <c r="U64" s="2259"/>
      <c r="V64" s="2259"/>
      <c r="W64" s="2259"/>
      <c r="X64" s="2259"/>
      <c r="Y64" s="2259"/>
      <c r="Z64" s="2259"/>
      <c r="AA64" s="2259"/>
      <c r="AB64" s="2259"/>
      <c r="AC64" s="2259"/>
      <c r="AD64" s="2259"/>
      <c r="AE64" s="2259"/>
      <c r="AF64" s="2259"/>
      <c r="AG64" s="2259"/>
      <c r="AH64" s="2259"/>
    </row>
    <row r="65" spans="1:40" ht="24.6" customHeight="1">
      <c r="C65" s="6"/>
      <c r="E65" s="2259"/>
      <c r="F65" s="2259"/>
      <c r="G65" s="2259"/>
      <c r="H65" s="2259"/>
      <c r="I65" s="2259"/>
      <c r="J65" s="2259"/>
      <c r="K65" s="2259"/>
      <c r="L65" s="2259"/>
      <c r="M65" s="2259"/>
      <c r="N65" s="2259"/>
      <c r="O65" s="2259"/>
      <c r="P65" s="2259"/>
      <c r="Q65" s="2259"/>
      <c r="R65" s="2259"/>
      <c r="S65" s="2259"/>
      <c r="T65" s="2259"/>
      <c r="U65" s="2259"/>
      <c r="V65" s="2259"/>
      <c r="W65" s="2259"/>
      <c r="X65" s="2259"/>
      <c r="Y65" s="2259"/>
      <c r="Z65" s="2259"/>
      <c r="AA65" s="2259"/>
      <c r="AB65" s="2259"/>
      <c r="AC65" s="2259"/>
      <c r="AD65" s="2259"/>
      <c r="AE65" s="2259"/>
      <c r="AF65" s="2259"/>
      <c r="AG65" s="2259"/>
      <c r="AH65" s="2259"/>
    </row>
    <row r="66" spans="1:40" ht="12.75">
      <c r="C66" s="6"/>
      <c r="D66" s="6" t="s">
        <v>219</v>
      </c>
      <c r="E66" s="1267"/>
      <c r="F66" s="1267"/>
      <c r="G66" s="1267"/>
      <c r="H66" s="1267"/>
      <c r="I66" s="1267"/>
      <c r="J66" s="1267"/>
      <c r="K66" s="1267"/>
      <c r="L66" s="1267"/>
      <c r="M66" s="1267"/>
      <c r="N66" s="1267"/>
      <c r="O66" s="1267"/>
      <c r="P66" s="1267"/>
      <c r="Q66" s="1267"/>
      <c r="R66" s="1267"/>
      <c r="S66" s="1267"/>
      <c r="T66" s="1267"/>
      <c r="U66" s="1267"/>
      <c r="V66" s="1267"/>
      <c r="W66" s="1267"/>
      <c r="X66" s="1267"/>
      <c r="Y66" s="2281">
        <v>0.3</v>
      </c>
      <c r="Z66" s="2281"/>
      <c r="AA66" s="2281"/>
      <c r="AB66" s="2281"/>
      <c r="AC66" s="2281"/>
      <c r="AD66" s="2281">
        <v>0.13</v>
      </c>
      <c r="AE66" s="2281"/>
      <c r="AF66" s="2281"/>
      <c r="AG66" s="2281"/>
      <c r="AH66" s="2281"/>
    </row>
    <row r="67" spans="1:40" ht="12.75">
      <c r="C67" s="6"/>
      <c r="D67" s="6" t="s">
        <v>1045</v>
      </c>
      <c r="Y67" s="1798">
        <f>ROUND(Y63*Y66,0)</f>
        <v>0</v>
      </c>
      <c r="Z67" s="2285"/>
      <c r="AA67" s="2285"/>
      <c r="AB67" s="2285"/>
      <c r="AC67" s="2285"/>
      <c r="AD67" s="1798" t="str">
        <f>IF(OR(Application!D211="At-Risk",Application!D211="At-Risk/Located in Rural Census Tract",Application!D214="At-Risk"),ROUND(AD63*AD66,0),"$0")</f>
        <v>$0</v>
      </c>
      <c r="AE67" s="2286"/>
      <c r="AF67" s="2286"/>
      <c r="AG67" s="2286"/>
      <c r="AH67" s="2286"/>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82"/>
      <c r="AC70" s="2283"/>
      <c r="AD70" s="2283"/>
      <c r="AE70" s="2283"/>
      <c r="AF70" s="2284"/>
      <c r="AG70" s="2"/>
      <c r="AH70" s="2"/>
      <c r="AI70" s="2"/>
      <c r="AJ70" s="2"/>
      <c r="AK70" s="2"/>
      <c r="AL70" s="2"/>
      <c r="AM70" s="2"/>
      <c r="AN70" s="2"/>
    </row>
    <row r="71" spans="1:40" ht="12.75" customHeight="1">
      <c r="A71" s="330"/>
      <c r="B71" s="2"/>
      <c r="C71" s="330"/>
      <c r="D71" s="330"/>
      <c r="E71" s="2287" t="s">
        <v>1972</v>
      </c>
      <c r="F71" s="2287"/>
      <c r="G71" s="2287"/>
      <c r="H71" s="2287"/>
      <c r="I71" s="2287"/>
      <c r="J71" s="2287"/>
      <c r="K71" s="2287"/>
      <c r="L71" s="2287"/>
      <c r="M71" s="2287"/>
      <c r="N71" s="2287"/>
      <c r="O71" s="2287"/>
      <c r="P71" s="2287"/>
      <c r="Q71" s="2287"/>
      <c r="R71" s="2287"/>
      <c r="S71" s="2287"/>
      <c r="T71" s="2287"/>
      <c r="U71" s="2287"/>
      <c r="V71" s="2287"/>
      <c r="W71" s="2287"/>
      <c r="X71" s="2287"/>
      <c r="Y71" s="2287"/>
      <c r="Z71" s="2287"/>
      <c r="AA71" s="801"/>
      <c r="AB71" s="801"/>
      <c r="AC71" s="801"/>
      <c r="AG71" s="2"/>
      <c r="AH71" s="2"/>
      <c r="AI71" s="2"/>
      <c r="AJ71" s="2"/>
      <c r="AK71" s="2"/>
      <c r="AL71" s="2"/>
      <c r="AM71" s="2"/>
      <c r="AN71" s="2"/>
    </row>
    <row r="72" spans="1:40" ht="12.75" customHeight="1">
      <c r="A72" s="330"/>
      <c r="B72" s="2"/>
      <c r="C72" s="330"/>
      <c r="D72" s="330"/>
      <c r="E72" s="2287"/>
      <c r="F72" s="2287"/>
      <c r="G72" s="2287"/>
      <c r="H72" s="2287"/>
      <c r="I72" s="2287"/>
      <c r="J72" s="2287"/>
      <c r="K72" s="2287"/>
      <c r="L72" s="2287"/>
      <c r="M72" s="2287"/>
      <c r="N72" s="2287"/>
      <c r="O72" s="2287"/>
      <c r="P72" s="2287"/>
      <c r="Q72" s="2287"/>
      <c r="R72" s="2287"/>
      <c r="S72" s="2287"/>
      <c r="T72" s="2287"/>
      <c r="U72" s="2287"/>
      <c r="V72" s="2287"/>
      <c r="W72" s="2287"/>
      <c r="X72" s="2287"/>
      <c r="Y72" s="2287"/>
      <c r="Z72" s="2287"/>
      <c r="AA72" s="801"/>
      <c r="AB72" s="801"/>
      <c r="AC72" s="801"/>
      <c r="AG72" s="2"/>
      <c r="AH72" s="2"/>
      <c r="AI72" s="2"/>
      <c r="AJ72" s="2"/>
      <c r="AK72" s="2"/>
      <c r="AL72" s="2"/>
      <c r="AM72" s="2"/>
      <c r="AN72" s="2"/>
    </row>
    <row r="73" spans="1:40" ht="12" customHeight="1">
      <c r="A73" s="330"/>
      <c r="B73" s="2"/>
      <c r="C73" s="330"/>
      <c r="D73" s="330"/>
      <c r="E73" s="2287"/>
      <c r="F73" s="2287"/>
      <c r="G73" s="2287"/>
      <c r="H73" s="2287"/>
      <c r="I73" s="2287"/>
      <c r="J73" s="2287"/>
      <c r="K73" s="2287"/>
      <c r="L73" s="2287"/>
      <c r="M73" s="2287"/>
      <c r="N73" s="2287"/>
      <c r="O73" s="2287"/>
      <c r="P73" s="2287"/>
      <c r="Q73" s="2287"/>
      <c r="R73" s="2287"/>
      <c r="S73" s="2287"/>
      <c r="T73" s="2287"/>
      <c r="U73" s="2287"/>
      <c r="V73" s="2287"/>
      <c r="W73" s="2287"/>
      <c r="X73" s="2287"/>
      <c r="Y73" s="2287"/>
      <c r="Z73" s="2287"/>
      <c r="AA73" s="801"/>
      <c r="AB73" s="801"/>
      <c r="AC73" s="801"/>
      <c r="AD73" s="426"/>
      <c r="AE73" s="426"/>
      <c r="AF73" s="426"/>
      <c r="AG73" s="2"/>
      <c r="AH73" s="2"/>
      <c r="AI73" s="2"/>
      <c r="AJ73" s="2"/>
      <c r="AK73" s="2"/>
      <c r="AL73" s="2"/>
      <c r="AM73" s="2"/>
      <c r="AN73" s="2"/>
    </row>
    <row r="74" spans="1:40" ht="12" customHeight="1">
      <c r="A74" s="330"/>
      <c r="B74" s="2"/>
      <c r="C74" s="330"/>
      <c r="D74" s="330"/>
      <c r="E74" s="516"/>
      <c r="F74" s="516"/>
      <c r="G74" s="516"/>
      <c r="H74" s="516"/>
      <c r="I74" s="516"/>
      <c r="J74" s="516"/>
      <c r="K74" s="516"/>
      <c r="L74" s="516"/>
      <c r="M74" s="516"/>
      <c r="N74" s="516"/>
      <c r="O74" s="516"/>
      <c r="P74" s="516"/>
      <c r="Q74" s="516"/>
      <c r="R74" s="516"/>
      <c r="S74" s="516"/>
      <c r="T74" s="516"/>
      <c r="U74" s="516"/>
      <c r="V74" s="516"/>
      <c r="W74" s="516"/>
      <c r="X74" s="516"/>
      <c r="Y74" s="516"/>
      <c r="Z74" s="516"/>
      <c r="AA74" s="1265"/>
      <c r="AG74" s="2"/>
      <c r="AH74" s="2"/>
      <c r="AI74" s="2"/>
      <c r="AJ74" s="2"/>
      <c r="AK74" s="2"/>
      <c r="AL74" s="2"/>
      <c r="AM74" s="2"/>
      <c r="AN74" s="2"/>
    </row>
    <row r="75" spans="1:40" ht="12" customHeight="1">
      <c r="C75" s="6"/>
      <c r="D75" s="6" t="s">
        <v>115</v>
      </c>
      <c r="AB75" s="2280">
        <f>ROUND(IF(ISERROR((AB58/AB70)),0,(AB58/AB70)),0)</f>
        <v>0</v>
      </c>
      <c r="AC75" s="2280"/>
      <c r="AD75" s="2280"/>
      <c r="AE75" s="2280"/>
      <c r="AF75" s="2280"/>
    </row>
    <row r="76" spans="1:40" ht="12.75" customHeight="1">
      <c r="C76" s="6"/>
      <c r="D76" s="6" t="s">
        <v>116</v>
      </c>
      <c r="AB76" s="2277">
        <f>IF((Y67+AD67&lt;AB75),Y67+AD67,AB75)</f>
        <v>0</v>
      </c>
      <c r="AC76" s="2278"/>
      <c r="AD76" s="2278"/>
      <c r="AE76" s="2278"/>
      <c r="AF76" s="2279"/>
    </row>
    <row r="77" spans="1:40" ht="12.75" customHeight="1">
      <c r="C77" s="6"/>
      <c r="D77" s="6" t="s">
        <v>1046</v>
      </c>
      <c r="AB77" s="2276">
        <f>AB76*AB70</f>
        <v>0</v>
      </c>
      <c r="AC77" s="2276"/>
      <c r="AD77" s="2276"/>
      <c r="AE77" s="2276"/>
      <c r="AF77" s="2276"/>
    </row>
    <row r="78" spans="1:40" ht="12.75" customHeight="1">
      <c r="C78" s="6"/>
      <c r="D78" s="6"/>
      <c r="AB78" s="932"/>
      <c r="AC78" s="932"/>
      <c r="AD78" s="932"/>
      <c r="AE78" s="932"/>
      <c r="AF78" s="932"/>
    </row>
    <row r="79" spans="1:40" ht="12.75" customHeight="1">
      <c r="A79" s="1"/>
      <c r="B79" s="1"/>
      <c r="C79" s="1"/>
      <c r="D79" s="6" t="s">
        <v>117</v>
      </c>
      <c r="AB79" s="2261">
        <f>AB48-(AB56+AB77)</f>
        <v>27294141</v>
      </c>
      <c r="AC79" s="2261"/>
      <c r="AD79" s="2261"/>
      <c r="AE79" s="2261"/>
      <c r="AF79" s="2261"/>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6" customWidth="1"/>
    <col min="2" max="2" width="0.85546875" style="1266" customWidth="1"/>
    <col min="3" max="18" width="2.42578125" style="1266" customWidth="1"/>
    <col min="19" max="19" width="4" style="1266" customWidth="1"/>
    <col min="20" max="39" width="2.42578125" style="1266" customWidth="1"/>
    <col min="40" max="40" width="1.42578125" style="1266" customWidth="1"/>
    <col min="41" max="16384" width="2.42578125" style="2" hidden="1"/>
  </cols>
  <sheetData>
    <row r="1" spans="1:40" ht="12.75" customHeight="1">
      <c r="A1" s="2295" t="s">
        <v>1507</v>
      </c>
      <c r="B1" s="2296"/>
      <c r="C1" s="2296"/>
      <c r="D1" s="2296"/>
      <c r="E1" s="2296"/>
      <c r="F1" s="2296"/>
      <c r="G1" s="2296"/>
      <c r="H1" s="2296"/>
      <c r="I1" s="2296"/>
      <c r="J1" s="2296"/>
      <c r="K1" s="2296"/>
      <c r="L1" s="2296"/>
      <c r="M1" s="2296"/>
      <c r="N1" s="2296"/>
      <c r="O1" s="2296"/>
      <c r="P1" s="2296"/>
      <c r="Q1" s="2296"/>
      <c r="R1" s="2296"/>
      <c r="S1" s="2296"/>
      <c r="T1" s="2296"/>
      <c r="U1" s="2296"/>
      <c r="V1" s="2296"/>
      <c r="W1" s="2296"/>
      <c r="X1" s="2296"/>
      <c r="Y1" s="2296"/>
      <c r="Z1" s="2296"/>
      <c r="AA1" s="2296"/>
      <c r="AB1" s="2296"/>
      <c r="AC1" s="2296"/>
      <c r="AD1" s="2296"/>
      <c r="AE1" s="2296"/>
      <c r="AF1" s="2296"/>
      <c r="AG1" s="2296"/>
      <c r="AH1" s="2296"/>
      <c r="AI1" s="2296"/>
      <c r="AJ1" s="2296"/>
      <c r="AK1" s="2296"/>
      <c r="AL1" s="2296"/>
      <c r="AM1" s="2296"/>
      <c r="AN1" s="2296"/>
    </row>
    <row r="2" spans="1:40" ht="13.5" thickBot="1">
      <c r="A2" s="2297"/>
      <c r="B2" s="2297"/>
      <c r="C2" s="2297"/>
      <c r="D2" s="2297"/>
      <c r="E2" s="2297"/>
      <c r="F2" s="2297"/>
      <c r="G2" s="2297"/>
      <c r="H2" s="2297"/>
      <c r="I2" s="2297"/>
      <c r="J2" s="2297"/>
      <c r="K2" s="2297"/>
      <c r="L2" s="2297"/>
      <c r="M2" s="2297"/>
      <c r="N2" s="2297"/>
      <c r="O2" s="2297"/>
      <c r="P2" s="2297"/>
      <c r="Q2" s="2297"/>
      <c r="R2" s="2297"/>
      <c r="S2" s="2297"/>
      <c r="T2" s="2297"/>
      <c r="U2" s="2297"/>
      <c r="V2" s="2297"/>
      <c r="W2" s="2297"/>
      <c r="X2" s="2297"/>
      <c r="Y2" s="2297"/>
      <c r="Z2" s="2297"/>
      <c r="AA2" s="2297"/>
      <c r="AB2" s="2297"/>
      <c r="AC2" s="2297"/>
      <c r="AD2" s="2297"/>
      <c r="AE2" s="2297"/>
      <c r="AF2" s="2297"/>
      <c r="AG2" s="2297"/>
      <c r="AH2" s="2297"/>
      <c r="AI2" s="2297"/>
      <c r="AJ2" s="2297"/>
      <c r="AK2" s="2297"/>
      <c r="AL2" s="2297"/>
      <c r="AM2" s="2297"/>
      <c r="AN2" s="2297"/>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5"/>
      <c r="AA6" s="2"/>
    </row>
    <row r="7" spans="1:40" ht="13.7" customHeight="1">
      <c r="B7" s="9"/>
      <c r="C7" s="10"/>
      <c r="D7" s="10"/>
      <c r="E7" s="10"/>
      <c r="F7" s="10"/>
      <c r="G7" s="10"/>
      <c r="H7" s="10"/>
      <c r="I7" s="10"/>
      <c r="J7" s="10"/>
      <c r="K7" s="10"/>
      <c r="L7" s="10"/>
      <c r="M7" s="10"/>
      <c r="N7" s="10"/>
      <c r="O7" s="10"/>
      <c r="P7" s="10"/>
      <c r="Q7" s="10"/>
      <c r="R7" s="10"/>
      <c r="S7" s="10"/>
      <c r="T7" s="2275" t="s">
        <v>1812</v>
      </c>
      <c r="U7" s="2275"/>
      <c r="V7" s="2275"/>
      <c r="W7" s="2275"/>
      <c r="X7" s="2275"/>
      <c r="Y7" s="2275" t="s">
        <v>1975</v>
      </c>
      <c r="Z7" s="2275"/>
      <c r="AA7" s="2275"/>
      <c r="AB7" s="2275"/>
      <c r="AC7" s="2275"/>
      <c r="AD7" s="2275" t="s">
        <v>1513</v>
      </c>
      <c r="AE7" s="2275"/>
      <c r="AF7" s="2275"/>
      <c r="AG7" s="2275"/>
      <c r="AH7" s="2275"/>
      <c r="AI7" s="2275" t="s">
        <v>1976</v>
      </c>
      <c r="AJ7" s="2275"/>
      <c r="AK7" s="2275"/>
      <c r="AL7" s="2275"/>
      <c r="AM7" s="2275"/>
    </row>
    <row r="8" spans="1:40" ht="12.75" customHeight="1">
      <c r="B8" s="337"/>
      <c r="C8" s="1"/>
      <c r="D8" s="1"/>
      <c r="E8" s="1"/>
      <c r="F8" s="1"/>
      <c r="G8" s="1"/>
      <c r="H8" s="1"/>
      <c r="I8" s="1"/>
      <c r="J8" s="1"/>
      <c r="K8" s="1"/>
      <c r="L8" s="1"/>
      <c r="M8" s="1"/>
      <c r="N8" s="1"/>
      <c r="O8" s="1"/>
      <c r="P8" s="1"/>
      <c r="Q8" s="1"/>
      <c r="R8" s="1"/>
      <c r="S8" s="1"/>
      <c r="T8" s="2275"/>
      <c r="U8" s="2275"/>
      <c r="V8" s="2275"/>
      <c r="W8" s="2275"/>
      <c r="X8" s="2275"/>
      <c r="Y8" s="2275"/>
      <c r="Z8" s="2275"/>
      <c r="AA8" s="2275"/>
      <c r="AB8" s="2275"/>
      <c r="AC8" s="2275"/>
      <c r="AD8" s="2275"/>
      <c r="AE8" s="2275"/>
      <c r="AF8" s="2275"/>
      <c r="AG8" s="2275"/>
      <c r="AH8" s="2275"/>
      <c r="AI8" s="2275"/>
      <c r="AJ8" s="2275"/>
      <c r="AK8" s="2275"/>
      <c r="AL8" s="2275"/>
      <c r="AM8" s="2275"/>
    </row>
    <row r="9" spans="1:40" ht="12.75">
      <c r="B9" s="337"/>
      <c r="C9" s="1"/>
      <c r="D9" s="1"/>
      <c r="E9" s="1"/>
      <c r="F9" s="1"/>
      <c r="G9" s="1"/>
      <c r="H9" s="1"/>
      <c r="I9" s="1"/>
      <c r="J9" s="1"/>
      <c r="K9" s="1"/>
      <c r="L9" s="1"/>
      <c r="M9" s="1"/>
      <c r="N9" s="1"/>
      <c r="O9" s="1"/>
      <c r="P9" s="1"/>
      <c r="Q9" s="1"/>
      <c r="R9" s="1"/>
      <c r="S9" s="1"/>
      <c r="T9" s="2275"/>
      <c r="U9" s="2275"/>
      <c r="V9" s="2275"/>
      <c r="W9" s="2275"/>
      <c r="X9" s="2275"/>
      <c r="Y9" s="2275"/>
      <c r="Z9" s="2275"/>
      <c r="AA9" s="2275"/>
      <c r="AB9" s="2275"/>
      <c r="AC9" s="2275"/>
      <c r="AD9" s="2275"/>
      <c r="AE9" s="2275"/>
      <c r="AF9" s="2275"/>
      <c r="AG9" s="2275"/>
      <c r="AH9" s="2275"/>
      <c r="AI9" s="2275"/>
      <c r="AJ9" s="2275"/>
      <c r="AK9" s="2275"/>
      <c r="AL9" s="2275"/>
      <c r="AM9" s="2275"/>
    </row>
    <row r="10" spans="1:40" ht="41.45" customHeight="1">
      <c r="B10" s="277"/>
      <c r="C10" s="278"/>
      <c r="D10" s="278"/>
      <c r="E10" s="278"/>
      <c r="F10" s="278"/>
      <c r="G10" s="278"/>
      <c r="H10" s="278"/>
      <c r="I10" s="278"/>
      <c r="J10" s="278"/>
      <c r="K10" s="278"/>
      <c r="L10" s="278"/>
      <c r="M10" s="278"/>
      <c r="N10" s="278"/>
      <c r="O10" s="278"/>
      <c r="P10" s="278"/>
      <c r="Q10" s="278"/>
      <c r="R10" s="278"/>
      <c r="S10" s="278"/>
      <c r="T10" s="2275"/>
      <c r="U10" s="2275"/>
      <c r="V10" s="2275"/>
      <c r="W10" s="2275"/>
      <c r="X10" s="2275"/>
      <c r="Y10" s="2275"/>
      <c r="Z10" s="2275"/>
      <c r="AA10" s="2275"/>
      <c r="AB10" s="2275"/>
      <c r="AC10" s="2275"/>
      <c r="AD10" s="2275"/>
      <c r="AE10" s="2275"/>
      <c r="AF10" s="2275"/>
      <c r="AG10" s="2275"/>
      <c r="AH10" s="2275"/>
      <c r="AI10" s="2275"/>
      <c r="AJ10" s="2275"/>
      <c r="AK10" s="2275"/>
      <c r="AL10" s="2275"/>
      <c r="AM10" s="2275"/>
    </row>
    <row r="11" spans="1:40" ht="12.75">
      <c r="B11" s="2272" t="s">
        <v>566</v>
      </c>
      <c r="C11" s="2273"/>
      <c r="D11" s="2273"/>
      <c r="E11" s="2273"/>
      <c r="F11" s="2273"/>
      <c r="G11" s="2273"/>
      <c r="H11" s="2273"/>
      <c r="I11" s="2273"/>
      <c r="J11" s="2273"/>
      <c r="K11" s="2273"/>
      <c r="L11" s="2273"/>
      <c r="M11" s="2273"/>
      <c r="N11" s="2273"/>
      <c r="O11" s="2273"/>
      <c r="P11" s="2273"/>
      <c r="Q11" s="2273"/>
      <c r="R11" s="2273"/>
      <c r="S11" s="2274"/>
      <c r="T11" s="2312">
        <f>IF('Sources and Basis Breakdown'!F105=0,'Sources and Basis Breakdown'!E105,'Sources and Basis Breakdown'!F105)</f>
        <v>24271427</v>
      </c>
      <c r="U11" s="2300"/>
      <c r="V11" s="2300"/>
      <c r="W11" s="2300"/>
      <c r="X11" s="2300"/>
      <c r="Y11" s="2299">
        <f>IF('Sources and Basis Breakdown'!G105+'Sources and Basis Breakdown'!F105='Sources and Basis Breakdown'!E105,'Sources and Basis Breakdown'!G105,0)</f>
        <v>0</v>
      </c>
      <c r="Z11" s="2300"/>
      <c r="AA11" s="2300"/>
      <c r="AB11" s="2300"/>
      <c r="AC11" s="2300"/>
      <c r="AD11" s="2300">
        <f>IF('Sources and Basis Breakdown'!I105=0,'Sources and Basis Breakdown'!H105,'Sources and Basis Breakdown'!I105)</f>
        <v>0</v>
      </c>
      <c r="AE11" s="2300"/>
      <c r="AF11" s="2300"/>
      <c r="AG11" s="2300"/>
      <c r="AH11" s="2300"/>
      <c r="AI11" s="2300">
        <f>IF('Sources and Basis Breakdown'!I105+'Sources and Basis Breakdown'!J105='Sources and Basis Breakdown'!H105,'Sources and Basis Breakdown'!J105,0)</f>
        <v>0</v>
      </c>
      <c r="AJ11" s="2300"/>
      <c r="AK11" s="2300"/>
      <c r="AL11" s="2300"/>
      <c r="AM11" s="2300"/>
    </row>
    <row r="12" spans="1:40" ht="12.75">
      <c r="B12" s="2305" t="s">
        <v>496</v>
      </c>
      <c r="C12" s="2306"/>
      <c r="D12" s="2306"/>
      <c r="E12" s="2306"/>
      <c r="F12" s="2306"/>
      <c r="G12" s="2306"/>
      <c r="H12" s="2306"/>
      <c r="I12" s="2306"/>
      <c r="J12" s="2306"/>
      <c r="K12" s="2306"/>
      <c r="L12" s="2306"/>
      <c r="M12" s="2306"/>
      <c r="N12" s="2306"/>
      <c r="O12" s="2306"/>
      <c r="P12" s="2306"/>
      <c r="Q12" s="2306"/>
      <c r="R12" s="2306"/>
      <c r="S12" s="2307"/>
      <c r="T12" s="2302"/>
      <c r="U12" s="2303"/>
      <c r="V12" s="2303"/>
      <c r="W12" s="2303"/>
      <c r="X12" s="2304"/>
      <c r="Y12" s="2302"/>
      <c r="Z12" s="2303"/>
      <c r="AA12" s="2303"/>
      <c r="AB12" s="2303"/>
      <c r="AC12" s="2304"/>
      <c r="AD12" s="2302"/>
      <c r="AE12" s="2303"/>
      <c r="AF12" s="2303"/>
      <c r="AG12" s="2303"/>
      <c r="AH12" s="2304"/>
      <c r="AI12" s="2302"/>
      <c r="AJ12" s="2303"/>
      <c r="AK12" s="2303"/>
      <c r="AL12" s="2303"/>
      <c r="AM12" s="2304"/>
    </row>
    <row r="13" spans="1:40" ht="12.75">
      <c r="B13" s="11"/>
      <c r="C13" s="2308" t="s">
        <v>1930</v>
      </c>
      <c r="D13" s="2309"/>
      <c r="E13" s="2309"/>
      <c r="F13" s="2309"/>
      <c r="G13" s="2309"/>
      <c r="H13" s="2309"/>
      <c r="I13" s="2309"/>
      <c r="J13" s="2309"/>
      <c r="K13" s="2309"/>
      <c r="L13" s="2309"/>
      <c r="M13" s="2309"/>
      <c r="N13" s="2309"/>
      <c r="O13" s="2309"/>
      <c r="P13" s="2309"/>
      <c r="Q13" s="2309"/>
      <c r="R13" s="2309"/>
      <c r="S13" s="2310"/>
      <c r="T13" s="2301">
        <f>'Basis &amp; Credits'!T13</f>
        <v>0</v>
      </c>
      <c r="U13" s="2298"/>
      <c r="V13" s="2298"/>
      <c r="W13" s="2298"/>
      <c r="X13" s="2298"/>
      <c r="Y13" s="2301">
        <f>'Basis &amp; Credits'!Y13</f>
        <v>0</v>
      </c>
      <c r="Z13" s="2298"/>
      <c r="AA13" s="2298"/>
      <c r="AB13" s="2298"/>
      <c r="AC13" s="2298"/>
      <c r="AD13" s="2298">
        <f>'Basis &amp; Credits'!AD13</f>
        <v>0</v>
      </c>
      <c r="AE13" s="2298"/>
      <c r="AF13" s="2298"/>
      <c r="AG13" s="2298"/>
      <c r="AH13" s="2298"/>
      <c r="AI13" s="2298">
        <f>'Basis &amp; Credits'!AI13</f>
        <v>0</v>
      </c>
      <c r="AJ13" s="2298"/>
      <c r="AK13" s="2298"/>
      <c r="AL13" s="2298"/>
      <c r="AM13" s="2298"/>
    </row>
    <row r="14" spans="1:40" ht="12.75">
      <c r="B14" s="11"/>
      <c r="C14" s="2309" t="s">
        <v>841</v>
      </c>
      <c r="D14" s="2309"/>
      <c r="E14" s="2309"/>
      <c r="F14" s="2309"/>
      <c r="G14" s="2309"/>
      <c r="H14" s="2309"/>
      <c r="I14" s="2309"/>
      <c r="J14" s="2309"/>
      <c r="K14" s="2309"/>
      <c r="L14" s="2309"/>
      <c r="M14" s="2309"/>
      <c r="N14" s="2309"/>
      <c r="O14" s="2309"/>
      <c r="P14" s="2309"/>
      <c r="Q14" s="2309"/>
      <c r="R14" s="2309"/>
      <c r="S14" s="2310"/>
      <c r="T14" s="1783">
        <f>'Basis &amp; Credits'!T14</f>
        <v>0</v>
      </c>
      <c r="U14" s="1799"/>
      <c r="V14" s="1799"/>
      <c r="W14" s="1799"/>
      <c r="X14" s="1799"/>
      <c r="Y14" s="1783">
        <f>'Basis &amp; Credits'!Y14</f>
        <v>0</v>
      </c>
      <c r="Z14" s="1799"/>
      <c r="AA14" s="1799"/>
      <c r="AB14" s="1799"/>
      <c r="AC14" s="1799"/>
      <c r="AD14" s="1799">
        <f>'Basis &amp; Credits'!AD14</f>
        <v>0</v>
      </c>
      <c r="AE14" s="1799"/>
      <c r="AF14" s="1799"/>
      <c r="AG14" s="1799"/>
      <c r="AH14" s="1799"/>
      <c r="AI14" s="1799">
        <f>'Basis &amp; Credits'!AI14</f>
        <v>0</v>
      </c>
      <c r="AJ14" s="1799"/>
      <c r="AK14" s="1799"/>
      <c r="AL14" s="1799"/>
      <c r="AM14" s="1799"/>
    </row>
    <row r="15" spans="1:40" ht="12.75">
      <c r="B15" s="11"/>
      <c r="C15" s="2309" t="s">
        <v>842</v>
      </c>
      <c r="D15" s="2309"/>
      <c r="E15" s="2309"/>
      <c r="F15" s="2309"/>
      <c r="G15" s="2309"/>
      <c r="H15" s="2309"/>
      <c r="I15" s="2309"/>
      <c r="J15" s="2309"/>
      <c r="K15" s="2309"/>
      <c r="L15" s="2309"/>
      <c r="M15" s="2309"/>
      <c r="N15" s="2309"/>
      <c r="O15" s="2309"/>
      <c r="P15" s="2309"/>
      <c r="Q15" s="2309"/>
      <c r="R15" s="2309"/>
      <c r="S15" s="2310"/>
      <c r="T15" s="1783">
        <f>'Basis &amp; Credits'!T15</f>
        <v>0</v>
      </c>
      <c r="U15" s="1799"/>
      <c r="V15" s="1799"/>
      <c r="W15" s="1799"/>
      <c r="X15" s="1799"/>
      <c r="Y15" s="1783">
        <f>'Basis &amp; Credits'!Y15</f>
        <v>0</v>
      </c>
      <c r="Z15" s="1799"/>
      <c r="AA15" s="1799"/>
      <c r="AB15" s="1799"/>
      <c r="AC15" s="1799"/>
      <c r="AD15" s="1799">
        <f>'Basis &amp; Credits'!AD15</f>
        <v>0</v>
      </c>
      <c r="AE15" s="1799"/>
      <c r="AF15" s="1799"/>
      <c r="AG15" s="1799"/>
      <c r="AH15" s="1799"/>
      <c r="AI15" s="1799">
        <f>'Basis &amp; Credits'!AI15</f>
        <v>0</v>
      </c>
      <c r="AJ15" s="1799"/>
      <c r="AK15" s="1799"/>
      <c r="AL15" s="1799"/>
      <c r="AM15" s="1799"/>
    </row>
    <row r="16" spans="1:40" ht="12.75">
      <c r="B16" s="11"/>
      <c r="C16" s="2308" t="s">
        <v>1117</v>
      </c>
      <c r="D16" s="2308"/>
      <c r="E16" s="2308"/>
      <c r="F16" s="2308"/>
      <c r="G16" s="2308"/>
      <c r="H16" s="2308"/>
      <c r="I16" s="2308"/>
      <c r="J16" s="2308"/>
      <c r="K16" s="2308"/>
      <c r="L16" s="2308"/>
      <c r="M16" s="2308"/>
      <c r="N16" s="2308"/>
      <c r="O16" s="2308"/>
      <c r="P16" s="2308"/>
      <c r="Q16" s="2308"/>
      <c r="R16" s="2308"/>
      <c r="S16" s="2311"/>
      <c r="T16" s="1783">
        <f>'Basis &amp; Credits'!T16</f>
        <v>0</v>
      </c>
      <c r="U16" s="1799"/>
      <c r="V16" s="1799"/>
      <c r="W16" s="1799"/>
      <c r="X16" s="1799"/>
      <c r="Y16" s="1783">
        <f>'Basis &amp; Credits'!Y16</f>
        <v>0</v>
      </c>
      <c r="Z16" s="1799"/>
      <c r="AA16" s="1799"/>
      <c r="AB16" s="1799"/>
      <c r="AC16" s="1799"/>
      <c r="AD16" s="1799">
        <f>'Basis &amp; Credits'!AD16</f>
        <v>0</v>
      </c>
      <c r="AE16" s="1799"/>
      <c r="AF16" s="1799"/>
      <c r="AG16" s="1799"/>
      <c r="AH16" s="1799"/>
      <c r="AI16" s="1799">
        <f>'Basis &amp; Credits'!AI16</f>
        <v>0</v>
      </c>
      <c r="AJ16" s="1799"/>
      <c r="AK16" s="1799"/>
      <c r="AL16" s="1799"/>
      <c r="AM16" s="1799"/>
    </row>
    <row r="17" spans="1:39" ht="12.75">
      <c r="B17" s="11"/>
      <c r="C17" s="2309" t="s">
        <v>843</v>
      </c>
      <c r="D17" s="2309"/>
      <c r="E17" s="2309"/>
      <c r="F17" s="2309"/>
      <c r="G17" s="2309"/>
      <c r="H17" s="2309"/>
      <c r="I17" s="2309"/>
      <c r="J17" s="2309"/>
      <c r="K17" s="2309"/>
      <c r="L17" s="2309"/>
      <c r="M17" s="2309"/>
      <c r="N17" s="2309"/>
      <c r="O17" s="2309"/>
      <c r="P17" s="2309"/>
      <c r="Q17" s="2309"/>
      <c r="R17" s="2309"/>
      <c r="S17" s="2310"/>
      <c r="T17" s="1783">
        <f>'Basis &amp; Credits'!T17</f>
        <v>0</v>
      </c>
      <c r="U17" s="1799"/>
      <c r="V17" s="1799"/>
      <c r="W17" s="1799"/>
      <c r="X17" s="1799"/>
      <c r="Y17" s="1783">
        <f>'Basis &amp; Credits'!Y17</f>
        <v>0</v>
      </c>
      <c r="Z17" s="1799"/>
      <c r="AA17" s="1799"/>
      <c r="AB17" s="1799"/>
      <c r="AC17" s="1799"/>
      <c r="AD17" s="1799">
        <f>'Basis &amp; Credits'!AD17</f>
        <v>0</v>
      </c>
      <c r="AE17" s="1799"/>
      <c r="AF17" s="1799"/>
      <c r="AG17" s="1799"/>
      <c r="AH17" s="1799"/>
      <c r="AI17" s="1799">
        <f>'Basis &amp; Credits'!AI17</f>
        <v>0</v>
      </c>
      <c r="AJ17" s="1799"/>
      <c r="AK17" s="1799"/>
      <c r="AL17" s="1799"/>
      <c r="AM17" s="1799"/>
    </row>
    <row r="18" spans="1:39" ht="12.75">
      <c r="B18" s="927"/>
      <c r="C18" s="2308" t="s">
        <v>1518</v>
      </c>
      <c r="D18" s="2309"/>
      <c r="E18" s="2309"/>
      <c r="F18" s="2309"/>
      <c r="G18" s="2309"/>
      <c r="H18" s="2309"/>
      <c r="I18" s="2309"/>
      <c r="J18" s="2309"/>
      <c r="K18" s="2309"/>
      <c r="L18" s="2309"/>
      <c r="M18" s="2309"/>
      <c r="N18" s="2309"/>
      <c r="O18" s="2309"/>
      <c r="P18" s="2309"/>
      <c r="Q18" s="2309"/>
      <c r="R18" s="2309"/>
      <c r="S18" s="2310"/>
      <c r="T18" s="1781">
        <f>'Basis &amp; Credits'!T18</f>
        <v>0</v>
      </c>
      <c r="U18" s="1782"/>
      <c r="V18" s="1782"/>
      <c r="W18" s="1782"/>
      <c r="X18" s="1783"/>
      <c r="Y18" s="1783">
        <f>'Basis &amp; Credits'!Y18</f>
        <v>0</v>
      </c>
      <c r="Z18" s="1799"/>
      <c r="AA18" s="1799"/>
      <c r="AB18" s="1799"/>
      <c r="AC18" s="1799"/>
      <c r="AD18" s="1799">
        <f>'Basis &amp; Credits'!AD18</f>
        <v>0</v>
      </c>
      <c r="AE18" s="1799"/>
      <c r="AF18" s="1799"/>
      <c r="AG18" s="1799"/>
      <c r="AH18" s="1799"/>
      <c r="AI18" s="1799">
        <f>'Basis &amp; Credits'!AI18</f>
        <v>0</v>
      </c>
      <c r="AJ18" s="1799"/>
      <c r="AK18" s="1799"/>
      <c r="AL18" s="1799"/>
      <c r="AM18" s="1799"/>
    </row>
    <row r="19" spans="1:39" ht="12.75">
      <c r="B19" s="766"/>
      <c r="C19" s="1982" t="str">
        <f>'Basis &amp; Credits'!C19:S19</f>
        <v>Subtract (specify other ineligible amounts):</v>
      </c>
      <c r="D19" s="1982"/>
      <c r="E19" s="1982"/>
      <c r="F19" s="1982"/>
      <c r="G19" s="1982"/>
      <c r="H19" s="1982"/>
      <c r="I19" s="1982"/>
      <c r="J19" s="1982"/>
      <c r="K19" s="1982"/>
      <c r="L19" s="1982"/>
      <c r="M19" s="1982"/>
      <c r="N19" s="1982"/>
      <c r="O19" s="1982"/>
      <c r="P19" s="1982"/>
      <c r="Q19" s="1982"/>
      <c r="R19" s="1982"/>
      <c r="S19" s="1983"/>
      <c r="T19" s="1783">
        <f>'Basis &amp; Credits'!T19</f>
        <v>0</v>
      </c>
      <c r="U19" s="1799"/>
      <c r="V19" s="1799"/>
      <c r="W19" s="1799"/>
      <c r="X19" s="1799"/>
      <c r="Y19" s="1783">
        <f>'Basis &amp; Credits'!Y19</f>
        <v>0</v>
      </c>
      <c r="Z19" s="1799"/>
      <c r="AA19" s="1799"/>
      <c r="AB19" s="1799"/>
      <c r="AC19" s="1799"/>
      <c r="AD19" s="1799">
        <f>'Basis &amp; Credits'!AD19</f>
        <v>0</v>
      </c>
      <c r="AE19" s="1799"/>
      <c r="AF19" s="1799"/>
      <c r="AG19" s="1799"/>
      <c r="AH19" s="1799"/>
      <c r="AI19" s="1799">
        <f>'Basis &amp; Credits'!AI19</f>
        <v>0</v>
      </c>
      <c r="AJ19" s="1799"/>
      <c r="AK19" s="1799"/>
      <c r="AL19" s="1799"/>
      <c r="AM19" s="1799"/>
    </row>
    <row r="20" spans="1:39" ht="12.75">
      <c r="B20" s="2272" t="s">
        <v>844</v>
      </c>
      <c r="C20" s="2273"/>
      <c r="D20" s="2273"/>
      <c r="E20" s="2273"/>
      <c r="F20" s="2273"/>
      <c r="G20" s="2273"/>
      <c r="H20" s="2273"/>
      <c r="I20" s="2273"/>
      <c r="J20" s="2273"/>
      <c r="K20" s="2273"/>
      <c r="L20" s="2273"/>
      <c r="M20" s="2273"/>
      <c r="N20" s="2273"/>
      <c r="O20" s="2273"/>
      <c r="P20" s="2273"/>
      <c r="Q20" s="2273"/>
      <c r="R20" s="2273"/>
      <c r="S20" s="2274"/>
      <c r="T20" s="2267">
        <f>SUM(T13:X19)</f>
        <v>0</v>
      </c>
      <c r="U20" s="2268"/>
      <c r="V20" s="2268"/>
      <c r="W20" s="2268"/>
      <c r="X20" s="2268"/>
      <c r="Y20" s="2267">
        <f>SUM(Y13:AC19)</f>
        <v>0</v>
      </c>
      <c r="Z20" s="2268"/>
      <c r="AA20" s="2268"/>
      <c r="AB20" s="2268"/>
      <c r="AC20" s="2268"/>
      <c r="AD20" s="2268">
        <f>SUM(AD13:AH19)</f>
        <v>0</v>
      </c>
      <c r="AE20" s="2268"/>
      <c r="AF20" s="2268"/>
      <c r="AG20" s="2268"/>
      <c r="AH20" s="2268"/>
      <c r="AI20" s="2268">
        <f>SUM(AI13:AM19)</f>
        <v>0</v>
      </c>
      <c r="AJ20" s="2268"/>
      <c r="AK20" s="2268"/>
      <c r="AL20" s="2268"/>
      <c r="AM20" s="2268"/>
    </row>
    <row r="21" spans="1:39" ht="12.75">
      <c r="B21" s="2272" t="s">
        <v>1929</v>
      </c>
      <c r="C21" s="2273"/>
      <c r="D21" s="2273"/>
      <c r="E21" s="2273"/>
      <c r="F21" s="2273"/>
      <c r="G21" s="2273"/>
      <c r="H21" s="2273"/>
      <c r="I21" s="2273"/>
      <c r="J21" s="2273"/>
      <c r="K21" s="2273"/>
      <c r="L21" s="2273"/>
      <c r="M21" s="2273"/>
      <c r="N21" s="2273"/>
      <c r="O21" s="2273"/>
      <c r="P21" s="2273"/>
      <c r="Q21" s="2273"/>
      <c r="R21" s="2273"/>
      <c r="S21" s="2274"/>
      <c r="T21" s="1783">
        <f>'Basis &amp; Credits'!T21</f>
        <v>2903906</v>
      </c>
      <c r="U21" s="1799"/>
      <c r="V21" s="1799"/>
      <c r="W21" s="1799"/>
      <c r="X21" s="1799"/>
      <c r="Y21" s="1783">
        <f>'Basis &amp; Credits'!Y21</f>
        <v>0</v>
      </c>
      <c r="Z21" s="1799"/>
      <c r="AA21" s="1799"/>
      <c r="AB21" s="1799"/>
      <c r="AC21" s="1799"/>
      <c r="AD21" s="1799">
        <f>'Basis &amp; Credits'!AD21</f>
        <v>0</v>
      </c>
      <c r="AE21" s="1799"/>
      <c r="AF21" s="1799"/>
      <c r="AG21" s="1799"/>
      <c r="AH21" s="1799"/>
      <c r="AI21" s="1799">
        <f>'Basis &amp; Credits'!AI21</f>
        <v>0</v>
      </c>
      <c r="AJ21" s="1799"/>
      <c r="AK21" s="1799"/>
      <c r="AL21" s="1799"/>
      <c r="AM21" s="1799"/>
    </row>
    <row r="22" spans="1:39" ht="12.75">
      <c r="B22" s="2272" t="s">
        <v>845</v>
      </c>
      <c r="C22" s="2273"/>
      <c r="D22" s="2273"/>
      <c r="E22" s="2273"/>
      <c r="F22" s="2273"/>
      <c r="G22" s="2273"/>
      <c r="H22" s="2273"/>
      <c r="I22" s="2273"/>
      <c r="J22" s="2273"/>
      <c r="K22" s="2273"/>
      <c r="L22" s="2273"/>
      <c r="M22" s="2273"/>
      <c r="N22" s="2273"/>
      <c r="O22" s="2273"/>
      <c r="P22" s="2273"/>
      <c r="Q22" s="2273"/>
      <c r="R22" s="2273"/>
      <c r="S22" s="2274"/>
      <c r="T22" s="2313">
        <f>(T20+T21)*-1</f>
        <v>-2903906</v>
      </c>
      <c r="U22" s="2314"/>
      <c r="V22" s="2314"/>
      <c r="W22" s="2314"/>
      <c r="X22" s="2314"/>
      <c r="Y22" s="2313">
        <f>(Y20+Y21)*-1</f>
        <v>0</v>
      </c>
      <c r="Z22" s="2314"/>
      <c r="AA22" s="2314"/>
      <c r="AB22" s="2314"/>
      <c r="AC22" s="2314"/>
      <c r="AD22" s="2313">
        <f>(AD20+AD21)*-1</f>
        <v>0</v>
      </c>
      <c r="AE22" s="2314"/>
      <c r="AF22" s="2314"/>
      <c r="AG22" s="2314"/>
      <c r="AH22" s="2314"/>
      <c r="AI22" s="2313">
        <f>(AI20+AI21)*-1</f>
        <v>0</v>
      </c>
      <c r="AJ22" s="2314"/>
      <c r="AK22" s="2314"/>
      <c r="AL22" s="2314"/>
      <c r="AM22" s="2314"/>
    </row>
    <row r="23" spans="1:39" ht="12.75">
      <c r="A23" s="2"/>
      <c r="B23" s="2330" t="s">
        <v>846</v>
      </c>
      <c r="C23" s="2331"/>
      <c r="D23" s="2331"/>
      <c r="E23" s="2331"/>
      <c r="F23" s="2331"/>
      <c r="G23" s="2331"/>
      <c r="H23" s="2331"/>
      <c r="I23" s="2331"/>
      <c r="J23" s="2331"/>
      <c r="K23" s="2331"/>
      <c r="L23" s="2331"/>
      <c r="M23" s="2331"/>
      <c r="N23" s="2331"/>
      <c r="O23" s="2331"/>
      <c r="P23" s="2331"/>
      <c r="Q23" s="2331"/>
      <c r="R23" s="2331"/>
      <c r="S23" s="2332"/>
      <c r="T23" s="2267">
        <f>T11+T22</f>
        <v>21367521</v>
      </c>
      <c r="U23" s="2268"/>
      <c r="V23" s="2268"/>
      <c r="W23" s="2268"/>
      <c r="X23" s="2268"/>
      <c r="Y23" s="2267">
        <f>Y11+Y22</f>
        <v>0</v>
      </c>
      <c r="Z23" s="2268"/>
      <c r="AA23" s="2268"/>
      <c r="AB23" s="2268"/>
      <c r="AC23" s="2268"/>
      <c r="AD23" s="2267">
        <f>AD11+AD22</f>
        <v>0</v>
      </c>
      <c r="AE23" s="2268"/>
      <c r="AF23" s="2268"/>
      <c r="AG23" s="2268"/>
      <c r="AH23" s="2268"/>
      <c r="AI23" s="2267">
        <f>AI11+AI22</f>
        <v>0</v>
      </c>
      <c r="AJ23" s="2268"/>
      <c r="AK23" s="2268"/>
      <c r="AL23" s="2268"/>
      <c r="AM23" s="2268"/>
    </row>
    <row r="24" spans="1:39" ht="12.75">
      <c r="B24" s="2272" t="s">
        <v>1349</v>
      </c>
      <c r="C24" s="2273"/>
      <c r="D24" s="2273"/>
      <c r="E24" s="2273"/>
      <c r="F24" s="2273"/>
      <c r="G24" s="2273"/>
      <c r="H24" s="2273"/>
      <c r="I24" s="2273"/>
      <c r="J24" s="2273"/>
      <c r="K24" s="2273"/>
      <c r="L24" s="2273"/>
      <c r="M24" s="2273"/>
      <c r="N24" s="2273"/>
      <c r="O24" s="2273"/>
      <c r="P24" s="2273"/>
      <c r="Q24" s="2273"/>
      <c r="R24" s="2273"/>
      <c r="S24" s="2274"/>
      <c r="T24" s="2333">
        <f>Application!AD993</f>
        <v>0</v>
      </c>
      <c r="U24" s="2334"/>
      <c r="V24" s="2334"/>
      <c r="W24" s="2334"/>
      <c r="X24" s="2334"/>
      <c r="Y24" s="2334"/>
      <c r="Z24" s="2334"/>
      <c r="AA24" s="2334"/>
      <c r="AB24" s="2334"/>
      <c r="AC24" s="2334"/>
      <c r="AD24" s="2334"/>
      <c r="AE24" s="2334"/>
      <c r="AF24" s="2334"/>
      <c r="AG24" s="2334"/>
      <c r="AH24" s="2334"/>
      <c r="AI24" s="2334"/>
      <c r="AJ24" s="2334"/>
      <c r="AK24" s="2334"/>
      <c r="AL24" s="2334"/>
      <c r="AM24" s="2267"/>
    </row>
    <row r="25" spans="1:39" ht="12.75">
      <c r="B25" s="2324" t="s">
        <v>1974</v>
      </c>
      <c r="C25" s="2325"/>
      <c r="D25" s="2325"/>
      <c r="E25" s="2325"/>
      <c r="F25" s="2325"/>
      <c r="G25" s="2325"/>
      <c r="H25" s="2325"/>
      <c r="I25" s="2325"/>
      <c r="J25" s="2325"/>
      <c r="K25" s="2325"/>
      <c r="L25" s="2325"/>
      <c r="M25" s="2325"/>
      <c r="N25" s="2325"/>
      <c r="O25" s="2325"/>
      <c r="P25" s="2325"/>
      <c r="Q25" s="2325"/>
      <c r="R25" s="2325"/>
      <c r="S25" s="2326"/>
      <c r="T25" s="2315">
        <v>1</v>
      </c>
      <c r="U25" s="2316"/>
      <c r="V25" s="2316"/>
      <c r="W25" s="2316"/>
      <c r="X25" s="2316"/>
      <c r="Y25" s="2315">
        <v>1</v>
      </c>
      <c r="Z25" s="2316"/>
      <c r="AA25" s="2316"/>
      <c r="AB25" s="2316"/>
      <c r="AC25" s="2319"/>
      <c r="AD25" s="2315">
        <v>1</v>
      </c>
      <c r="AE25" s="2316"/>
      <c r="AF25" s="2316"/>
      <c r="AG25" s="2316"/>
      <c r="AH25" s="2319"/>
      <c r="AI25" s="2315">
        <v>1</v>
      </c>
      <c r="AJ25" s="2316"/>
      <c r="AK25" s="2316"/>
      <c r="AL25" s="2316"/>
      <c r="AM25" s="2319"/>
    </row>
    <row r="26" spans="1:39" ht="12.75">
      <c r="B26" s="2272" t="s">
        <v>847</v>
      </c>
      <c r="C26" s="2273"/>
      <c r="D26" s="2273"/>
      <c r="E26" s="2273"/>
      <c r="F26" s="2273"/>
      <c r="G26" s="2273"/>
      <c r="H26" s="2273"/>
      <c r="I26" s="2273"/>
      <c r="J26" s="2273"/>
      <c r="K26" s="2273"/>
      <c r="L26" s="2273"/>
      <c r="M26" s="2273"/>
      <c r="N26" s="2273"/>
      <c r="O26" s="2273"/>
      <c r="P26" s="2273"/>
      <c r="Q26" s="2273"/>
      <c r="R26" s="2273"/>
      <c r="S26" s="2274"/>
      <c r="T26" s="2320">
        <f>T23*T25</f>
        <v>21367521</v>
      </c>
      <c r="U26" s="2321"/>
      <c r="V26" s="2321"/>
      <c r="W26" s="2321"/>
      <c r="X26" s="2321"/>
      <c r="Y26" s="2320">
        <f>Y23*Y25</f>
        <v>0</v>
      </c>
      <c r="Z26" s="2321"/>
      <c r="AA26" s="2321"/>
      <c r="AB26" s="2321"/>
      <c r="AC26" s="2321"/>
      <c r="AD26" s="2320">
        <f>AD23*AD25</f>
        <v>0</v>
      </c>
      <c r="AE26" s="2321"/>
      <c r="AF26" s="2321"/>
      <c r="AG26" s="2321"/>
      <c r="AH26" s="2321"/>
      <c r="AI26" s="2320">
        <f>AI23*AI25</f>
        <v>0</v>
      </c>
      <c r="AJ26" s="2321"/>
      <c r="AK26" s="2321"/>
      <c r="AL26" s="2321"/>
      <c r="AM26" s="2321"/>
    </row>
    <row r="27" spans="1:39" ht="12.75">
      <c r="A27" s="7"/>
      <c r="B27" s="2327" t="s">
        <v>978</v>
      </c>
      <c r="C27" s="2328"/>
      <c r="D27" s="2328"/>
      <c r="E27" s="2328"/>
      <c r="F27" s="2328"/>
      <c r="G27" s="2328"/>
      <c r="H27" s="2328"/>
      <c r="I27" s="2328"/>
      <c r="J27" s="2328"/>
      <c r="K27" s="2328"/>
      <c r="L27" s="2328"/>
      <c r="M27" s="2328"/>
      <c r="N27" s="2328"/>
      <c r="O27" s="2328"/>
      <c r="P27" s="2328"/>
      <c r="Q27" s="2328"/>
      <c r="R27" s="2328"/>
      <c r="S27" s="2329"/>
      <c r="T27" s="2317">
        <f>Application!AG438</f>
        <v>1</v>
      </c>
      <c r="U27" s="2318"/>
      <c r="V27" s="2318"/>
      <c r="W27" s="2318"/>
      <c r="X27" s="2318"/>
      <c r="Y27" s="2317">
        <f>Application!AG438</f>
        <v>1</v>
      </c>
      <c r="Z27" s="2318"/>
      <c r="AA27" s="2318"/>
      <c r="AB27" s="2318"/>
      <c r="AC27" s="2318"/>
      <c r="AD27" s="2317">
        <f>Application!AG438</f>
        <v>1</v>
      </c>
      <c r="AE27" s="2318"/>
      <c r="AF27" s="2318"/>
      <c r="AG27" s="2318"/>
      <c r="AH27" s="2318"/>
      <c r="AI27" s="2317">
        <f>Application!AG438</f>
        <v>1</v>
      </c>
      <c r="AJ27" s="2318"/>
      <c r="AK27" s="2318"/>
      <c r="AL27" s="2318"/>
      <c r="AM27" s="2318"/>
    </row>
    <row r="28" spans="1:39" ht="12.75" customHeight="1">
      <c r="A28" s="6"/>
      <c r="B28" s="2272" t="s">
        <v>925</v>
      </c>
      <c r="C28" s="2273"/>
      <c r="D28" s="2273"/>
      <c r="E28" s="2273"/>
      <c r="F28" s="2273"/>
      <c r="G28" s="2273"/>
      <c r="H28" s="2273"/>
      <c r="I28" s="2273"/>
      <c r="J28" s="2273"/>
      <c r="K28" s="2273"/>
      <c r="L28" s="2273"/>
      <c r="M28" s="2273"/>
      <c r="N28" s="2273"/>
      <c r="O28" s="2273"/>
      <c r="P28" s="2273"/>
      <c r="Q28" s="2273"/>
      <c r="R28" s="2273"/>
      <c r="S28" s="2274"/>
      <c r="T28" s="1793">
        <f>IF(ISERROR((T26*T27)),0,(T26*T27))</f>
        <v>21367521</v>
      </c>
      <c r="U28" s="2289"/>
      <c r="V28" s="2289"/>
      <c r="W28" s="2289"/>
      <c r="X28" s="2289"/>
      <c r="Y28" s="1793">
        <f>IF(ISERROR((Y26*Y27)),0,(Y26*Y27))</f>
        <v>0</v>
      </c>
      <c r="Z28" s="2289"/>
      <c r="AA28" s="2289"/>
      <c r="AB28" s="2289"/>
      <c r="AC28" s="2289"/>
      <c r="AD28" s="1793">
        <f>IF(ISERROR((AD26*AD27)),0,(AD26*AD27))</f>
        <v>0</v>
      </c>
      <c r="AE28" s="2289"/>
      <c r="AF28" s="2289"/>
      <c r="AG28" s="2289"/>
      <c r="AH28" s="2289"/>
      <c r="AI28" s="1793">
        <f>IF(ISERROR((AI26*AI27)),0,(AI26*AI27))</f>
        <v>0</v>
      </c>
      <c r="AJ28" s="2289"/>
      <c r="AK28" s="2289"/>
      <c r="AL28" s="2289"/>
      <c r="AM28" s="2289"/>
    </row>
    <row r="29" spans="1:39" ht="12.75">
      <c r="B29" s="2272" t="s">
        <v>689</v>
      </c>
      <c r="C29" s="2273"/>
      <c r="D29" s="2273"/>
      <c r="E29" s="2273"/>
      <c r="F29" s="2273"/>
      <c r="G29" s="2273"/>
      <c r="H29" s="2273"/>
      <c r="I29" s="2273"/>
      <c r="J29" s="2273"/>
      <c r="K29" s="2273"/>
      <c r="L29" s="2273"/>
      <c r="M29" s="2273"/>
      <c r="N29" s="2273"/>
      <c r="O29" s="2273"/>
      <c r="P29" s="2273"/>
      <c r="Q29" s="2273"/>
      <c r="R29" s="2273"/>
      <c r="S29" s="2274"/>
      <c r="T29" s="2333">
        <f>T28+Y28+AD28+AI28</f>
        <v>21367521</v>
      </c>
      <c r="U29" s="2334"/>
      <c r="V29" s="2334"/>
      <c r="W29" s="2334"/>
      <c r="X29" s="2334"/>
      <c r="Y29" s="2334"/>
      <c r="Z29" s="2334"/>
      <c r="AA29" s="2334"/>
      <c r="AB29" s="2334"/>
      <c r="AC29" s="2334"/>
      <c r="AD29" s="2334"/>
      <c r="AE29" s="2334"/>
      <c r="AF29" s="2334"/>
      <c r="AG29" s="2334"/>
      <c r="AH29" s="2334"/>
      <c r="AI29" s="2334"/>
      <c r="AJ29" s="2334"/>
      <c r="AK29" s="2334"/>
      <c r="AL29" s="2334"/>
      <c r="AM29" s="2267"/>
    </row>
    <row r="30" spans="1:39" ht="12.75" customHeight="1">
      <c r="B30" s="2714"/>
      <c r="C30" s="2714"/>
      <c r="D30" s="2714"/>
      <c r="E30" s="2714"/>
      <c r="F30" s="2714"/>
      <c r="G30" s="2714"/>
      <c r="H30" s="2714"/>
      <c r="I30" s="2714"/>
      <c r="J30" s="2714"/>
      <c r="K30" s="2714"/>
      <c r="L30" s="2714"/>
      <c r="M30" s="2714"/>
      <c r="N30" s="2714"/>
      <c r="O30" s="2714"/>
      <c r="P30" s="2714"/>
      <c r="Q30" s="2714"/>
      <c r="R30" s="2714"/>
      <c r="S30" s="2714"/>
      <c r="T30" s="2714"/>
      <c r="U30" s="2714"/>
      <c r="V30" s="2714"/>
      <c r="W30" s="2714"/>
      <c r="X30" s="2714"/>
      <c r="Y30" s="2714"/>
      <c r="Z30" s="2714"/>
      <c r="AA30" s="2714"/>
      <c r="AB30" s="2714"/>
      <c r="AC30" s="2714"/>
      <c r="AD30" s="2714"/>
      <c r="AE30" s="2714"/>
      <c r="AF30" s="2714"/>
      <c r="AG30" s="2714"/>
      <c r="AH30" s="2714"/>
      <c r="AI30" s="2714"/>
      <c r="AJ30" s="2714"/>
      <c r="AK30" s="2714"/>
      <c r="AL30" s="2714"/>
      <c r="AM30" s="2714"/>
    </row>
    <row r="31" spans="1:39" ht="12.75">
      <c r="C31" s="544"/>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75" t="s">
        <v>1811</v>
      </c>
      <c r="Z35" s="2275"/>
      <c r="AA35" s="2275"/>
      <c r="AB35" s="2275"/>
      <c r="AC35" s="2275"/>
      <c r="AD35" s="2257" t="s">
        <v>46</v>
      </c>
      <c r="AE35" s="2257"/>
      <c r="AF35" s="2257"/>
      <c r="AG35" s="2257"/>
      <c r="AH35" s="2257"/>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5"/>
      <c r="Z36" s="2275"/>
      <c r="AA36" s="2275"/>
      <c r="AB36" s="2275"/>
      <c r="AC36" s="2275"/>
      <c r="AD36" s="2257"/>
      <c r="AE36" s="2257"/>
      <c r="AF36" s="2257"/>
      <c r="AG36" s="2257"/>
      <c r="AH36" s="2257"/>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5"/>
      <c r="Z37" s="2275"/>
      <c r="AA37" s="2275"/>
      <c r="AB37" s="2275"/>
      <c r="AC37" s="2275"/>
      <c r="AD37" s="2257"/>
      <c r="AE37" s="2257"/>
      <c r="AF37" s="2257"/>
      <c r="AG37" s="2257"/>
      <c r="AH37" s="2257"/>
    </row>
    <row r="38" spans="1:40" ht="12.75" customHeight="1">
      <c r="A38" s="6"/>
      <c r="B38" s="2272" t="s">
        <v>925</v>
      </c>
      <c r="C38" s="2273"/>
      <c r="D38" s="2273"/>
      <c r="E38" s="2273"/>
      <c r="F38" s="2273"/>
      <c r="G38" s="2273"/>
      <c r="H38" s="2273"/>
      <c r="I38" s="2273"/>
      <c r="J38" s="2273"/>
      <c r="K38" s="2273"/>
      <c r="L38" s="2273"/>
      <c r="M38" s="2273"/>
      <c r="N38" s="2273"/>
      <c r="O38" s="2273"/>
      <c r="P38" s="2273"/>
      <c r="Q38" s="2273"/>
      <c r="R38" s="2273"/>
      <c r="S38" s="2273"/>
      <c r="T38" s="2273"/>
      <c r="U38" s="2273"/>
      <c r="V38" s="2273"/>
      <c r="W38" s="2273"/>
      <c r="X38" s="2274"/>
      <c r="Y38" s="2268">
        <f>IF(T24&gt;=(T23+Y23+AD23+AI23),T28+Y28,0)</f>
        <v>0</v>
      </c>
      <c r="Z38" s="2268"/>
      <c r="AA38" s="2268"/>
      <c r="AB38" s="2268"/>
      <c r="AC38" s="2268"/>
      <c r="AD38" s="2268">
        <f>IF(T24&gt;=(T23+Y23+AD23+AI23),AD28+AI28,0)</f>
        <v>0</v>
      </c>
      <c r="AE38" s="2268"/>
      <c r="AF38" s="2268"/>
      <c r="AG38" s="2268"/>
      <c r="AH38" s="2268"/>
    </row>
    <row r="39" spans="1:40" ht="12.75">
      <c r="B39" s="2272" t="s">
        <v>837</v>
      </c>
      <c r="C39" s="2273"/>
      <c r="D39" s="2273"/>
      <c r="E39" s="2273"/>
      <c r="F39" s="2273"/>
      <c r="G39" s="2273"/>
      <c r="H39" s="2273"/>
      <c r="I39" s="2273"/>
      <c r="J39" s="2273"/>
      <c r="K39" s="2273"/>
      <c r="L39" s="2273"/>
      <c r="M39" s="2273"/>
      <c r="N39" s="2273"/>
      <c r="O39" s="2273"/>
      <c r="P39" s="2273"/>
      <c r="Q39" s="2273"/>
      <c r="R39" s="2273"/>
      <c r="S39" s="2273"/>
      <c r="T39" s="2273"/>
      <c r="U39" s="2273"/>
      <c r="V39" s="2273"/>
      <c r="W39" s="2273"/>
      <c r="X39" s="2274"/>
      <c r="Y39" s="2266">
        <v>0.09</v>
      </c>
      <c r="Z39" s="2266"/>
      <c r="AA39" s="2266"/>
      <c r="AB39" s="2266"/>
      <c r="AC39" s="2266"/>
      <c r="AD39" s="2266">
        <f>'Basis &amp; Credits'!AD39:AH39</f>
        <v>0.04</v>
      </c>
      <c r="AE39" s="2266"/>
      <c r="AF39" s="2266"/>
      <c r="AG39" s="2266"/>
      <c r="AH39" s="2266"/>
    </row>
    <row r="40" spans="1:40" ht="12.75" customHeight="1">
      <c r="A40" s="6"/>
      <c r="B40" s="2272" t="s">
        <v>26</v>
      </c>
      <c r="C40" s="2273"/>
      <c r="D40" s="2273"/>
      <c r="E40" s="2273"/>
      <c r="F40" s="2273"/>
      <c r="G40" s="2273"/>
      <c r="H40" s="2273"/>
      <c r="I40" s="2273"/>
      <c r="J40" s="2273"/>
      <c r="K40" s="2273"/>
      <c r="L40" s="2273"/>
      <c r="M40" s="2273"/>
      <c r="N40" s="2273"/>
      <c r="O40" s="2273"/>
      <c r="P40" s="2273"/>
      <c r="Q40" s="2273"/>
      <c r="R40" s="2273"/>
      <c r="S40" s="2273"/>
      <c r="T40" s="2273"/>
      <c r="U40" s="2273"/>
      <c r="V40" s="2273"/>
      <c r="W40" s="2273"/>
      <c r="X40" s="2274"/>
      <c r="Y40" s="2268">
        <f>ROUND(Y38*Y39,0)</f>
        <v>0</v>
      </c>
      <c r="Z40" s="2268"/>
      <c r="AA40" s="2268"/>
      <c r="AB40" s="2268"/>
      <c r="AC40" s="2268"/>
      <c r="AD40" s="2267">
        <f>ROUND(AD38*AD39,0)</f>
        <v>0</v>
      </c>
      <c r="AE40" s="2268"/>
      <c r="AF40" s="2268"/>
      <c r="AG40" s="2268"/>
      <c r="AH40" s="2268"/>
    </row>
    <row r="41" spans="1:40" ht="12.75">
      <c r="B41" s="2272" t="s">
        <v>683</v>
      </c>
      <c r="C41" s="2273"/>
      <c r="D41" s="2273"/>
      <c r="E41" s="2273"/>
      <c r="F41" s="2273"/>
      <c r="G41" s="2273"/>
      <c r="H41" s="2273"/>
      <c r="I41" s="2273"/>
      <c r="J41" s="2273"/>
      <c r="K41" s="2273"/>
      <c r="L41" s="2273"/>
      <c r="M41" s="2273"/>
      <c r="N41" s="2273"/>
      <c r="O41" s="2273"/>
      <c r="P41" s="2273"/>
      <c r="Q41" s="2273"/>
      <c r="R41" s="2273"/>
      <c r="S41" s="2273"/>
      <c r="T41" s="2273"/>
      <c r="U41" s="2273"/>
      <c r="V41" s="2273"/>
      <c r="W41" s="2273"/>
      <c r="X41" s="2274"/>
      <c r="Y41" s="2269">
        <f>IF((Y40+AD40)&gt;2500000,2500000,Y40+AD40)</f>
        <v>0</v>
      </c>
      <c r="Z41" s="2270"/>
      <c r="AA41" s="2270"/>
      <c r="AB41" s="2270"/>
      <c r="AC41" s="2270"/>
      <c r="AD41" s="2270"/>
      <c r="AE41" s="2270"/>
      <c r="AF41" s="2270"/>
      <c r="AG41" s="2270"/>
      <c r="AH41" s="2271"/>
    </row>
    <row r="42" spans="1:40" ht="12.75" customHeight="1">
      <c r="A42" s="6"/>
      <c r="B42" s="2288" t="s">
        <v>1288</v>
      </c>
      <c r="C42" s="2288"/>
      <c r="D42" s="2288"/>
      <c r="E42" s="2288"/>
      <c r="F42" s="2288"/>
      <c r="G42" s="2288"/>
      <c r="H42" s="2288"/>
      <c r="I42" s="2288"/>
      <c r="J42" s="2288"/>
      <c r="K42" s="2288"/>
      <c r="L42" s="2288"/>
      <c r="M42" s="2288"/>
      <c r="N42" s="2288"/>
      <c r="O42" s="2288"/>
      <c r="P42" s="2288"/>
      <c r="Q42" s="2288"/>
      <c r="R42" s="2288"/>
      <c r="S42" s="2288"/>
      <c r="T42" s="2288"/>
      <c r="U42" s="2288"/>
      <c r="V42" s="2288"/>
      <c r="W42" s="2288"/>
      <c r="X42" s="2288"/>
      <c r="Y42" s="2288"/>
      <c r="Z42" s="2288"/>
      <c r="AA42" s="2288"/>
      <c r="AB42" s="2288"/>
      <c r="AC42" s="2288"/>
      <c r="AD42" s="2288"/>
      <c r="AE42" s="2288"/>
      <c r="AF42" s="2288"/>
      <c r="AG42" s="2288"/>
      <c r="AH42" s="2288"/>
      <c r="AI42" s="947"/>
      <c r="AJ42" s="947"/>
      <c r="AK42" s="947"/>
      <c r="AL42" s="947"/>
      <c r="AM42" s="947"/>
      <c r="AN42" s="947"/>
    </row>
    <row r="43" spans="1:40" ht="12.75">
      <c r="B43" s="931"/>
      <c r="C43" s="931"/>
      <c r="D43" s="931"/>
      <c r="E43" s="931"/>
      <c r="F43" s="931"/>
      <c r="G43" s="931"/>
      <c r="H43" s="931"/>
      <c r="I43" s="931"/>
      <c r="J43" s="931"/>
      <c r="K43" s="931"/>
      <c r="L43" s="931"/>
      <c r="M43" s="931"/>
      <c r="N43" s="931"/>
      <c r="O43" s="931"/>
      <c r="P43" s="931"/>
      <c r="Q43" s="931"/>
      <c r="R43" s="931"/>
      <c r="S43" s="931"/>
      <c r="T43" s="931"/>
      <c r="U43" s="931"/>
      <c r="V43" s="931"/>
      <c r="W43" s="931"/>
      <c r="X43" s="931"/>
      <c r="Y43" s="931"/>
      <c r="Z43" s="931"/>
      <c r="AA43" s="931"/>
      <c r="AB43" s="931"/>
      <c r="AC43" s="931"/>
      <c r="AD43" s="931"/>
      <c r="AE43" s="931"/>
      <c r="AF43" s="931"/>
      <c r="AG43" s="931"/>
      <c r="AH43" s="931"/>
    </row>
    <row r="44" spans="1:40" ht="12.75">
      <c r="A44" s="6"/>
      <c r="B44" s="931"/>
      <c r="C44" s="931"/>
      <c r="D44" s="931"/>
      <c r="E44" s="931"/>
      <c r="F44" s="931"/>
      <c r="G44" s="931"/>
      <c r="H44" s="931"/>
      <c r="I44" s="931"/>
      <c r="J44" s="931"/>
      <c r="K44" s="931"/>
      <c r="L44" s="931"/>
      <c r="M44" s="931"/>
      <c r="N44" s="931"/>
      <c r="O44" s="931"/>
      <c r="P44" s="931"/>
      <c r="Q44" s="931"/>
      <c r="R44" s="931"/>
      <c r="S44" s="931"/>
      <c r="T44" s="931"/>
      <c r="U44" s="931"/>
      <c r="V44" s="931"/>
      <c r="W44" s="931"/>
      <c r="X44" s="931"/>
      <c r="Y44" s="931"/>
      <c r="Z44" s="931"/>
      <c r="AA44" s="931"/>
      <c r="AB44" s="931"/>
      <c r="AC44" s="931"/>
      <c r="AD44" s="931"/>
      <c r="AE44" s="931"/>
      <c r="AF44" s="931"/>
      <c r="AG44" s="931"/>
      <c r="AH44" s="931"/>
    </row>
    <row r="45" spans="1:40" ht="12.75">
      <c r="A45" s="6" t="s">
        <v>131</v>
      </c>
      <c r="C45" s="6" t="s">
        <v>281</v>
      </c>
    </row>
    <row r="46" spans="1:40" ht="12.75">
      <c r="D46" s="6" t="s">
        <v>282</v>
      </c>
      <c r="AB46" s="2263">
        <f>'Sources and Uses Budget'!B104-'Sources and Uses Budget'!$B$15</f>
        <v>27294141</v>
      </c>
      <c r="AC46" s="2264"/>
      <c r="AD46" s="2264"/>
      <c r="AE46" s="2264"/>
      <c r="AF46" s="2265"/>
    </row>
    <row r="47" spans="1:40" ht="12.75" customHeight="1">
      <c r="D47" s="6" t="s">
        <v>919</v>
      </c>
      <c r="AB47" s="2263">
        <f>Application!AG644-MIN('Sources and Uses Budget'!B15,Application!AG385)</f>
        <v>0</v>
      </c>
      <c r="AC47" s="2264"/>
      <c r="AD47" s="2264"/>
      <c r="AE47" s="2264"/>
      <c r="AF47" s="2265"/>
    </row>
    <row r="48" spans="1:40" ht="12.75">
      <c r="D48" s="6" t="s">
        <v>422</v>
      </c>
      <c r="AB48" s="2263">
        <f>AB46-AB47</f>
        <v>27294141</v>
      </c>
      <c r="AC48" s="2264"/>
      <c r="AD48" s="2264"/>
      <c r="AE48" s="2264"/>
      <c r="AF48" s="2265"/>
    </row>
    <row r="49" spans="1:40" ht="12.75">
      <c r="D49" s="6" t="s">
        <v>958</v>
      </c>
      <c r="X49" s="2"/>
      <c r="Y49" s="2"/>
      <c r="Z49" s="2"/>
      <c r="AA49" s="409"/>
      <c r="AB49" s="2282"/>
      <c r="AC49" s="2283"/>
      <c r="AD49" s="2283"/>
      <c r="AE49" s="2283"/>
      <c r="AF49" s="2284"/>
    </row>
    <row r="50" spans="1:40" s="514" customFormat="1" ht="15" customHeight="1">
      <c r="A50" s="2"/>
      <c r="B50" s="2"/>
      <c r="C50" s="2"/>
      <c r="D50" s="272"/>
      <c r="E50" s="2293" t="s">
        <v>1506</v>
      </c>
      <c r="F50" s="2293"/>
      <c r="G50" s="2293"/>
      <c r="H50" s="2293"/>
      <c r="I50" s="2293"/>
      <c r="J50" s="2293"/>
      <c r="K50" s="2293"/>
      <c r="L50" s="2293"/>
      <c r="M50" s="2293"/>
      <c r="N50" s="2293"/>
      <c r="O50" s="2293"/>
      <c r="P50" s="2293"/>
      <c r="Q50" s="2293"/>
      <c r="R50" s="2293"/>
      <c r="S50" s="2293"/>
      <c r="T50" s="2293"/>
      <c r="U50" s="2293"/>
      <c r="V50" s="2293"/>
      <c r="W50" s="2293"/>
      <c r="X50" s="2293"/>
      <c r="Y50" s="2293"/>
      <c r="Z50" s="2293"/>
      <c r="AA50" s="776"/>
      <c r="AB50" s="776"/>
      <c r="AC50" s="776"/>
      <c r="AD50" s="776"/>
      <c r="AE50" s="776"/>
      <c r="AF50" s="776"/>
      <c r="AG50" s="2"/>
      <c r="AH50" s="2"/>
      <c r="AI50" s="2"/>
      <c r="AJ50" s="2"/>
      <c r="AK50" s="2"/>
      <c r="AL50" s="2"/>
      <c r="AM50" s="2"/>
      <c r="AN50" s="2"/>
    </row>
    <row r="51" spans="1:40" s="514" customFormat="1" ht="12" customHeight="1">
      <c r="A51" s="2"/>
      <c r="B51" s="2"/>
      <c r="C51" s="2"/>
      <c r="D51" s="272"/>
      <c r="E51" s="2293"/>
      <c r="F51" s="2293"/>
      <c r="G51" s="2293"/>
      <c r="H51" s="2293"/>
      <c r="I51" s="2293"/>
      <c r="J51" s="2293"/>
      <c r="K51" s="2293"/>
      <c r="L51" s="2293"/>
      <c r="M51" s="2293"/>
      <c r="N51" s="2293"/>
      <c r="O51" s="2293"/>
      <c r="P51" s="2293"/>
      <c r="Q51" s="2293"/>
      <c r="R51" s="2293"/>
      <c r="S51" s="2293"/>
      <c r="T51" s="2293"/>
      <c r="U51" s="2293"/>
      <c r="V51" s="2293"/>
      <c r="W51" s="2293"/>
      <c r="X51" s="2293"/>
      <c r="Y51" s="2293"/>
      <c r="Z51" s="2293"/>
      <c r="AA51" s="777"/>
      <c r="AB51" s="777"/>
      <c r="AC51" s="777"/>
      <c r="AD51" s="777"/>
      <c r="AE51" s="777"/>
      <c r="AF51" s="777"/>
      <c r="AG51" s="515"/>
      <c r="AH51" s="2"/>
      <c r="AI51" s="2"/>
      <c r="AJ51" s="2"/>
      <c r="AK51" s="2"/>
      <c r="AL51" s="2"/>
      <c r="AM51" s="2"/>
      <c r="AN51" s="2"/>
    </row>
    <row r="52" spans="1:40" ht="12" customHeight="1">
      <c r="A52" s="2"/>
      <c r="B52" s="2"/>
      <c r="C52" s="2"/>
      <c r="D52" s="272"/>
      <c r="E52" s="509"/>
      <c r="F52" s="509"/>
      <c r="G52" s="509"/>
      <c r="H52" s="509"/>
      <c r="I52" s="509"/>
      <c r="J52" s="509"/>
      <c r="K52" s="509"/>
      <c r="L52" s="509"/>
      <c r="M52" s="509"/>
      <c r="N52" s="509"/>
      <c r="O52" s="509"/>
      <c r="P52" s="509"/>
      <c r="Q52" s="509"/>
      <c r="R52" s="509"/>
      <c r="S52" s="509"/>
      <c r="T52" s="509"/>
      <c r="U52" s="509"/>
      <c r="V52" s="509"/>
      <c r="W52" s="509"/>
      <c r="X52" s="509"/>
      <c r="Y52" s="509"/>
      <c r="Z52" s="509"/>
      <c r="AA52" s="2"/>
      <c r="AB52" s="2"/>
      <c r="AC52" s="2"/>
      <c r="AD52" s="2"/>
      <c r="AE52" s="2"/>
      <c r="AF52" s="2"/>
      <c r="AG52" s="2"/>
      <c r="AH52" s="2"/>
      <c r="AI52" s="2"/>
      <c r="AJ52" s="2"/>
      <c r="AK52" s="2"/>
      <c r="AL52" s="2"/>
      <c r="AM52" s="2"/>
      <c r="AN52" s="2"/>
    </row>
    <row r="53" spans="1:40" ht="15" customHeight="1">
      <c r="D53" s="6" t="s">
        <v>27</v>
      </c>
      <c r="AB53" s="2263">
        <f>ROUND(IF(ISERROR((AB48/AB49)),0,(AB48/AB49)),0)</f>
        <v>0</v>
      </c>
      <c r="AC53" s="2264"/>
      <c r="AD53" s="2264"/>
      <c r="AE53" s="2264"/>
      <c r="AF53" s="2265"/>
    </row>
    <row r="54" spans="1:40" ht="12.75" customHeight="1">
      <c r="D54" s="6" t="s">
        <v>621</v>
      </c>
      <c r="AB54" s="2263">
        <f>(AB53/10)</f>
        <v>0</v>
      </c>
      <c r="AC54" s="2264"/>
      <c r="AD54" s="2264"/>
      <c r="AE54" s="2264"/>
      <c r="AF54" s="2265"/>
    </row>
    <row r="55" spans="1:40" ht="12.75">
      <c r="D55" s="6" t="s">
        <v>379</v>
      </c>
      <c r="AB55" s="2290">
        <f>(IF((Y41&lt;AB54),Y41,AB54))</f>
        <v>0</v>
      </c>
      <c r="AC55" s="2291"/>
      <c r="AD55" s="2291"/>
      <c r="AE55" s="2291"/>
      <c r="AF55" s="2292"/>
    </row>
    <row r="56" spans="1:40" ht="12.75">
      <c r="D56" s="6" t="s">
        <v>118</v>
      </c>
      <c r="AB56" s="2263">
        <f>ROUND((10*AB55*AB49),0)</f>
        <v>0</v>
      </c>
      <c r="AC56" s="2264"/>
      <c r="AD56" s="2264"/>
      <c r="AE56" s="2264"/>
      <c r="AF56" s="226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61">
        <f>AB48-AB56</f>
        <v>27294141</v>
      </c>
      <c r="AC58" s="2261"/>
      <c r="AD58" s="2261"/>
      <c r="AE58" s="2261"/>
      <c r="AF58" s="2261"/>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58" t="s">
        <v>1977</v>
      </c>
      <c r="B60" s="2258"/>
      <c r="C60" s="2258"/>
      <c r="D60" s="2258"/>
      <c r="E60" s="2258"/>
      <c r="F60" s="2258"/>
      <c r="G60" s="2258"/>
      <c r="H60" s="2258"/>
      <c r="I60" s="2258"/>
      <c r="J60" s="2258"/>
      <c r="K60" s="2258"/>
      <c r="L60" s="2258"/>
      <c r="M60" s="2258"/>
      <c r="N60" s="2258"/>
      <c r="O60" s="2258"/>
      <c r="P60" s="2258"/>
      <c r="Q60" s="2258"/>
      <c r="R60" s="2258"/>
      <c r="S60" s="2258"/>
      <c r="T60" s="2258"/>
      <c r="U60" s="2258"/>
      <c r="V60" s="2258"/>
      <c r="W60" s="2258"/>
      <c r="X60" s="2258"/>
      <c r="Y60" s="2258"/>
      <c r="Z60" s="2258"/>
      <c r="AA60" s="2258"/>
      <c r="AB60" s="2258"/>
      <c r="AC60" s="2258"/>
      <c r="AD60" s="2258"/>
      <c r="AE60" s="2258"/>
      <c r="AF60" s="2258"/>
      <c r="AG60" s="2258"/>
      <c r="AH60" s="2258"/>
      <c r="AI60" s="2258"/>
      <c r="AJ60" s="2258"/>
      <c r="AK60" s="2258"/>
      <c r="AL60" s="2258"/>
      <c r="AM60" s="2258"/>
      <c r="AN60" s="2258"/>
    </row>
    <row r="61" spans="1:40" ht="13.7" customHeight="1" thickTop="1">
      <c r="A61" s="2260"/>
      <c r="B61" s="2260"/>
      <c r="C61" s="2260"/>
      <c r="D61" s="2260"/>
      <c r="E61" s="2260"/>
      <c r="F61" s="2260"/>
      <c r="G61" s="2260"/>
      <c r="H61" s="2260"/>
      <c r="I61" s="2260"/>
      <c r="J61" s="2260"/>
      <c r="K61" s="2260"/>
      <c r="L61" s="2260"/>
      <c r="M61" s="2260"/>
      <c r="N61" s="2260"/>
      <c r="O61" s="2260"/>
      <c r="P61" s="2260"/>
      <c r="Q61" s="2260"/>
      <c r="R61" s="2260"/>
      <c r="S61" s="2260"/>
      <c r="T61" s="2260"/>
      <c r="U61" s="2260"/>
      <c r="V61" s="2260"/>
      <c r="W61" s="2260"/>
      <c r="X61" s="2260"/>
      <c r="Y61" s="2260"/>
      <c r="Z61" s="2260"/>
      <c r="AA61" s="2260"/>
      <c r="AB61" s="2260"/>
      <c r="AC61" s="2260"/>
      <c r="AD61" s="2260"/>
      <c r="AE61" s="2260"/>
      <c r="AF61" s="2260"/>
      <c r="AG61" s="2260"/>
      <c r="AH61" s="2260"/>
      <c r="AI61" s="2260"/>
      <c r="AJ61" s="2260"/>
      <c r="AK61" s="2260"/>
      <c r="AL61" s="2260"/>
      <c r="AM61" s="2260"/>
      <c r="AN61" s="2260"/>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62" t="s">
        <v>331</v>
      </c>
      <c r="Z62" s="2262"/>
      <c r="AA62" s="2262"/>
      <c r="AB62" s="2262"/>
      <c r="AC62" s="2262"/>
      <c r="AD62" s="2262" t="s">
        <v>46</v>
      </c>
      <c r="AE62" s="2262"/>
      <c r="AF62" s="2262"/>
      <c r="AG62" s="2262"/>
      <c r="AH62" s="2262"/>
      <c r="AI62" s="1"/>
      <c r="AJ62" s="1"/>
      <c r="AK62" s="1"/>
      <c r="AL62" s="1"/>
      <c r="AM62" s="1"/>
      <c r="AN62" s="1"/>
    </row>
    <row r="63" spans="1:40" ht="12.75">
      <c r="C63" s="330"/>
      <c r="D63" s="1264" t="s">
        <v>1375</v>
      </c>
      <c r="E63" s="800"/>
      <c r="F63" s="800"/>
      <c r="G63" s="800"/>
      <c r="H63" s="800"/>
      <c r="I63" s="800"/>
      <c r="J63" s="800"/>
      <c r="K63" s="800"/>
      <c r="L63" s="22"/>
      <c r="M63" s="22"/>
      <c r="N63" s="22"/>
      <c r="O63" s="22"/>
      <c r="P63" s="22"/>
      <c r="Q63" s="22"/>
      <c r="R63" s="22"/>
      <c r="S63" s="22"/>
      <c r="T63" s="22"/>
      <c r="U63" s="22"/>
      <c r="V63" s="22"/>
      <c r="W63" s="22"/>
      <c r="X63" s="22"/>
      <c r="Y63" s="1798">
        <f>Y28</f>
        <v>0</v>
      </c>
      <c r="Z63" s="2285"/>
      <c r="AA63" s="2285"/>
      <c r="AB63" s="2285"/>
      <c r="AC63" s="2285"/>
      <c r="AD63" s="1798">
        <f>AI28</f>
        <v>0</v>
      </c>
      <c r="AE63" s="2285"/>
      <c r="AF63" s="2285"/>
      <c r="AG63" s="2285"/>
      <c r="AH63" s="2285"/>
    </row>
    <row r="64" spans="1:40" ht="15" customHeight="1">
      <c r="C64" s="6"/>
      <c r="E64" s="2259" t="s">
        <v>1426</v>
      </c>
      <c r="F64" s="2259"/>
      <c r="G64" s="2259"/>
      <c r="H64" s="2259"/>
      <c r="I64" s="2259"/>
      <c r="J64" s="2259"/>
      <c r="K64" s="2259"/>
      <c r="L64" s="2259"/>
      <c r="M64" s="2259"/>
      <c r="N64" s="2259"/>
      <c r="O64" s="2259"/>
      <c r="P64" s="2259"/>
      <c r="Q64" s="2259"/>
      <c r="R64" s="2259"/>
      <c r="S64" s="2259"/>
      <c r="T64" s="2259"/>
      <c r="U64" s="2259"/>
      <c r="V64" s="2259"/>
      <c r="W64" s="2259"/>
      <c r="X64" s="2259"/>
      <c r="Y64" s="2259"/>
      <c r="Z64" s="2259"/>
      <c r="AA64" s="2259"/>
      <c r="AB64" s="2259"/>
      <c r="AC64" s="2259"/>
      <c r="AD64" s="2259"/>
      <c r="AE64" s="2259"/>
      <c r="AF64" s="2259"/>
      <c r="AG64" s="2259"/>
      <c r="AH64" s="2259"/>
    </row>
    <row r="65" spans="1:40" ht="24.6" customHeight="1">
      <c r="C65" s="6"/>
      <c r="E65" s="2259"/>
      <c r="F65" s="2259"/>
      <c r="G65" s="2259"/>
      <c r="H65" s="2259"/>
      <c r="I65" s="2259"/>
      <c r="J65" s="2259"/>
      <c r="K65" s="2259"/>
      <c r="L65" s="2259"/>
      <c r="M65" s="2259"/>
      <c r="N65" s="2259"/>
      <c r="O65" s="2259"/>
      <c r="P65" s="2259"/>
      <c r="Q65" s="2259"/>
      <c r="R65" s="2259"/>
      <c r="S65" s="2259"/>
      <c r="T65" s="2259"/>
      <c r="U65" s="2259"/>
      <c r="V65" s="2259"/>
      <c r="W65" s="2259"/>
      <c r="X65" s="2259"/>
      <c r="Y65" s="2259"/>
      <c r="Z65" s="2259"/>
      <c r="AA65" s="2259"/>
      <c r="AB65" s="2259"/>
      <c r="AC65" s="2259"/>
      <c r="AD65" s="2259"/>
      <c r="AE65" s="2259"/>
      <c r="AF65" s="2259"/>
      <c r="AG65" s="2259"/>
      <c r="AH65" s="2259"/>
    </row>
    <row r="66" spans="1:40" ht="12.75">
      <c r="C66" s="6"/>
      <c r="D66" s="6" t="s">
        <v>219</v>
      </c>
      <c r="E66" s="1267"/>
      <c r="F66" s="1267"/>
      <c r="G66" s="1267"/>
      <c r="H66" s="1267"/>
      <c r="I66" s="1267"/>
      <c r="J66" s="1267"/>
      <c r="K66" s="1267"/>
      <c r="L66" s="1267"/>
      <c r="M66" s="1267"/>
      <c r="N66" s="1267"/>
      <c r="O66" s="1267"/>
      <c r="P66" s="1267"/>
      <c r="Q66" s="1267"/>
      <c r="R66" s="1267"/>
      <c r="S66" s="1267"/>
      <c r="T66" s="1267"/>
      <c r="U66" s="1267"/>
      <c r="V66" s="1267"/>
      <c r="W66" s="1267"/>
      <c r="X66" s="1267"/>
      <c r="Y66" s="2281">
        <v>0.3</v>
      </c>
      <c r="Z66" s="2281"/>
      <c r="AA66" s="2281"/>
      <c r="AB66" s="2281"/>
      <c r="AC66" s="2281"/>
      <c r="AD66" s="2281">
        <v>0.13</v>
      </c>
      <c r="AE66" s="2281"/>
      <c r="AF66" s="2281"/>
      <c r="AG66" s="2281"/>
      <c r="AH66" s="2281"/>
    </row>
    <row r="67" spans="1:40" ht="12.75">
      <c r="C67" s="6"/>
      <c r="D67" s="6" t="s">
        <v>1045</v>
      </c>
      <c r="Y67" s="1798">
        <f>ROUND(Y63*Y66,0)</f>
        <v>0</v>
      </c>
      <c r="Z67" s="2285"/>
      <c r="AA67" s="2285"/>
      <c r="AB67" s="2285"/>
      <c r="AC67" s="2285"/>
      <c r="AD67" s="1798" t="str">
        <f>IF(OR(Application!D211="At-Risk",Application!D211="At-Risk/Located in Rural Census Tract",Application!D214="At-Risk"),ROUND(AD63*AD66,0),"$0")</f>
        <v>$0</v>
      </c>
      <c r="AE67" s="2286"/>
      <c r="AF67" s="2286"/>
      <c r="AG67" s="2286"/>
      <c r="AH67" s="2286"/>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82"/>
      <c r="AC70" s="2283"/>
      <c r="AD70" s="2283"/>
      <c r="AE70" s="2283"/>
      <c r="AF70" s="2284"/>
      <c r="AG70" s="2"/>
      <c r="AH70" s="2"/>
      <c r="AI70" s="2"/>
      <c r="AJ70" s="2"/>
      <c r="AK70" s="2"/>
      <c r="AL70" s="2"/>
      <c r="AM70" s="2"/>
      <c r="AN70" s="2"/>
    </row>
    <row r="71" spans="1:40" ht="12.75" customHeight="1">
      <c r="A71" s="330"/>
      <c r="B71" s="2"/>
      <c r="C71" s="330"/>
      <c r="D71" s="330"/>
      <c r="E71" s="2287" t="s">
        <v>1972</v>
      </c>
      <c r="F71" s="2287"/>
      <c r="G71" s="2287"/>
      <c r="H71" s="2287"/>
      <c r="I71" s="2287"/>
      <c r="J71" s="2287"/>
      <c r="K71" s="2287"/>
      <c r="L71" s="2287"/>
      <c r="M71" s="2287"/>
      <c r="N71" s="2287"/>
      <c r="O71" s="2287"/>
      <c r="P71" s="2287"/>
      <c r="Q71" s="2287"/>
      <c r="R71" s="2287"/>
      <c r="S71" s="2287"/>
      <c r="T71" s="2287"/>
      <c r="U71" s="2287"/>
      <c r="V71" s="2287"/>
      <c r="W71" s="2287"/>
      <c r="X71" s="2287"/>
      <c r="Y71" s="2287"/>
      <c r="Z71" s="2287"/>
      <c r="AA71" s="801"/>
      <c r="AB71" s="801"/>
      <c r="AC71" s="801"/>
      <c r="AG71" s="2"/>
      <c r="AH71" s="2"/>
      <c r="AI71" s="2"/>
      <c r="AJ71" s="2"/>
      <c r="AK71" s="2"/>
      <c r="AL71" s="2"/>
      <c r="AM71" s="2"/>
      <c r="AN71" s="2"/>
    </row>
    <row r="72" spans="1:40" ht="12.75" customHeight="1">
      <c r="A72" s="330"/>
      <c r="B72" s="2"/>
      <c r="C72" s="330"/>
      <c r="D72" s="330"/>
      <c r="E72" s="2287"/>
      <c r="F72" s="2287"/>
      <c r="G72" s="2287"/>
      <c r="H72" s="2287"/>
      <c r="I72" s="2287"/>
      <c r="J72" s="2287"/>
      <c r="K72" s="2287"/>
      <c r="L72" s="2287"/>
      <c r="M72" s="2287"/>
      <c r="N72" s="2287"/>
      <c r="O72" s="2287"/>
      <c r="P72" s="2287"/>
      <c r="Q72" s="2287"/>
      <c r="R72" s="2287"/>
      <c r="S72" s="2287"/>
      <c r="T72" s="2287"/>
      <c r="U72" s="2287"/>
      <c r="V72" s="2287"/>
      <c r="W72" s="2287"/>
      <c r="X72" s="2287"/>
      <c r="Y72" s="2287"/>
      <c r="Z72" s="2287"/>
      <c r="AA72" s="801"/>
      <c r="AB72" s="801"/>
      <c r="AC72" s="801"/>
      <c r="AG72" s="2"/>
      <c r="AH72" s="2"/>
      <c r="AI72" s="2"/>
      <c r="AJ72" s="2"/>
      <c r="AK72" s="2"/>
      <c r="AL72" s="2"/>
      <c r="AM72" s="2"/>
      <c r="AN72" s="2"/>
    </row>
    <row r="73" spans="1:40" ht="12" customHeight="1">
      <c r="A73" s="330"/>
      <c r="B73" s="2"/>
      <c r="C73" s="330"/>
      <c r="D73" s="330"/>
      <c r="E73" s="2287"/>
      <c r="F73" s="2287"/>
      <c r="G73" s="2287"/>
      <c r="H73" s="2287"/>
      <c r="I73" s="2287"/>
      <c r="J73" s="2287"/>
      <c r="K73" s="2287"/>
      <c r="L73" s="2287"/>
      <c r="M73" s="2287"/>
      <c r="N73" s="2287"/>
      <c r="O73" s="2287"/>
      <c r="P73" s="2287"/>
      <c r="Q73" s="2287"/>
      <c r="R73" s="2287"/>
      <c r="S73" s="2287"/>
      <c r="T73" s="2287"/>
      <c r="U73" s="2287"/>
      <c r="V73" s="2287"/>
      <c r="W73" s="2287"/>
      <c r="X73" s="2287"/>
      <c r="Y73" s="2287"/>
      <c r="Z73" s="2287"/>
      <c r="AA73" s="801"/>
      <c r="AB73" s="801"/>
      <c r="AC73" s="801"/>
      <c r="AD73" s="426"/>
      <c r="AE73" s="426"/>
      <c r="AF73" s="426"/>
      <c r="AG73" s="2"/>
      <c r="AH73" s="2"/>
      <c r="AI73" s="2"/>
      <c r="AJ73" s="2"/>
      <c r="AK73" s="2"/>
      <c r="AL73" s="2"/>
      <c r="AM73" s="2"/>
      <c r="AN73" s="2"/>
    </row>
    <row r="74" spans="1:40" ht="12" customHeight="1">
      <c r="A74" s="330"/>
      <c r="B74" s="2"/>
      <c r="C74" s="330"/>
      <c r="D74" s="330"/>
      <c r="E74" s="516"/>
      <c r="F74" s="516"/>
      <c r="G74" s="516"/>
      <c r="H74" s="516"/>
      <c r="I74" s="516"/>
      <c r="J74" s="516"/>
      <c r="K74" s="516"/>
      <c r="L74" s="516"/>
      <c r="M74" s="516"/>
      <c r="N74" s="516"/>
      <c r="O74" s="516"/>
      <c r="P74" s="516"/>
      <c r="Q74" s="516"/>
      <c r="R74" s="516"/>
      <c r="S74" s="516"/>
      <c r="T74" s="516"/>
      <c r="U74" s="516"/>
      <c r="V74" s="516"/>
      <c r="W74" s="516"/>
      <c r="X74" s="516"/>
      <c r="Y74" s="516"/>
      <c r="Z74" s="516"/>
      <c r="AA74" s="1265"/>
      <c r="AG74" s="2"/>
      <c r="AH74" s="2"/>
      <c r="AI74" s="2"/>
      <c r="AJ74" s="2"/>
      <c r="AK74" s="2"/>
      <c r="AL74" s="2"/>
      <c r="AM74" s="2"/>
      <c r="AN74" s="2"/>
    </row>
    <row r="75" spans="1:40" ht="12" customHeight="1">
      <c r="C75" s="6"/>
      <c r="D75" s="6" t="s">
        <v>115</v>
      </c>
      <c r="AB75" s="2280">
        <f>ROUND(IF(ISERROR((AB58/AB70)),0,(AB58/AB70)),0)</f>
        <v>0</v>
      </c>
      <c r="AC75" s="2280"/>
      <c r="AD75" s="2280"/>
      <c r="AE75" s="2280"/>
      <c r="AF75" s="2280"/>
    </row>
    <row r="76" spans="1:40" ht="12.75" customHeight="1">
      <c r="C76" s="6"/>
      <c r="D76" s="6" t="s">
        <v>116</v>
      </c>
      <c r="AB76" s="2277">
        <f>IF((Y67+AD67&lt;AB75),Y67+AD67,AB75)</f>
        <v>0</v>
      </c>
      <c r="AC76" s="2278"/>
      <c r="AD76" s="2278"/>
      <c r="AE76" s="2278"/>
      <c r="AF76" s="2279"/>
    </row>
    <row r="77" spans="1:40" ht="12.75" customHeight="1">
      <c r="C77" s="6"/>
      <c r="D77" s="6" t="s">
        <v>1046</v>
      </c>
      <c r="AB77" s="2276">
        <f>AB76*AB70</f>
        <v>0</v>
      </c>
      <c r="AC77" s="2276"/>
      <c r="AD77" s="2276"/>
      <c r="AE77" s="2276"/>
      <c r="AF77" s="2276"/>
    </row>
    <row r="78" spans="1:40" ht="12.75" customHeight="1">
      <c r="C78" s="6"/>
      <c r="D78" s="6"/>
      <c r="AB78" s="932"/>
      <c r="AC78" s="932"/>
      <c r="AD78" s="932"/>
      <c r="AE78" s="932"/>
      <c r="AF78" s="932"/>
    </row>
    <row r="79" spans="1:40" ht="12.75" customHeight="1">
      <c r="A79" s="1"/>
      <c r="B79" s="1"/>
      <c r="C79" s="1"/>
      <c r="D79" s="6" t="s">
        <v>117</v>
      </c>
      <c r="AB79" s="2261">
        <f>AB48-(AB56+AB77)</f>
        <v>27294141</v>
      </c>
      <c r="AC79" s="2261"/>
      <c r="AD79" s="2261"/>
      <c r="AE79" s="2261"/>
      <c r="AF79" s="2261"/>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42578125" style="526" customWidth="1"/>
    <col min="2" max="2" width="14.42578125" style="564" customWidth="1"/>
    <col min="3" max="4" width="14.42578125" style="527" customWidth="1"/>
    <col min="5" max="5" width="14.42578125" style="564" customWidth="1"/>
    <col min="6" max="6" width="50.42578125" style="527" customWidth="1"/>
    <col min="7" max="7" width="9.140625" style="527" customWidth="1"/>
    <col min="8" max="8" width="0.42578125" style="527" hidden="1" customWidth="1"/>
    <col min="9" max="16383" width="11.42578125" style="527" hidden="1"/>
    <col min="16384" max="16384" width="0.42578125" style="527" customWidth="1"/>
  </cols>
  <sheetData>
    <row r="1" spans="1:7" ht="18" customHeight="1">
      <c r="A1" s="1122" t="s">
        <v>1361</v>
      </c>
      <c r="G1" s="897"/>
    </row>
    <row r="2" spans="1:7" ht="12.75">
      <c r="A2" s="399" t="s">
        <v>1056</v>
      </c>
      <c r="B2" s="352"/>
      <c r="C2" s="517"/>
      <c r="D2" s="517"/>
      <c r="E2" s="352"/>
      <c r="F2" s="518"/>
      <c r="G2" s="518"/>
    </row>
    <row r="3" spans="1:7" s="898" customFormat="1" ht="80.25" customHeight="1">
      <c r="A3" s="529"/>
      <c r="B3" s="519" t="s">
        <v>1055</v>
      </c>
      <c r="C3" s="519" t="s">
        <v>1303</v>
      </c>
      <c r="D3" s="519" t="s">
        <v>1058</v>
      </c>
      <c r="E3" s="519" t="s">
        <v>1059</v>
      </c>
      <c r="F3" s="513" t="s">
        <v>1057</v>
      </c>
      <c r="G3" s="519"/>
    </row>
    <row r="4" spans="1:7" s="900" customFormat="1" ht="12.75">
      <c r="A4" s="1490" t="s">
        <v>381</v>
      </c>
      <c r="B4" s="520"/>
      <c r="C4" s="520"/>
      <c r="D4" s="520"/>
      <c r="E4" s="520"/>
      <c r="F4" s="520"/>
      <c r="G4" s="520"/>
    </row>
    <row r="5" spans="1:7" s="900" customFormat="1" ht="12.75">
      <c r="A5" s="1491" t="s">
        <v>1060</v>
      </c>
      <c r="B5" s="522">
        <f>'Sources and Uses Budget'!C4</f>
        <v>1755789</v>
      </c>
      <c r="C5" s="522">
        <f>'Sources and Uses Budget'!C4</f>
        <v>1755789</v>
      </c>
      <c r="D5" s="522">
        <f>'Sources and Uses Budget'!C4</f>
        <v>1755789</v>
      </c>
      <c r="E5" s="524">
        <f>C5-B5</f>
        <v>0</v>
      </c>
      <c r="F5" s="523"/>
      <c r="G5" s="523"/>
    </row>
    <row r="6" spans="1:7" s="900" customFormat="1" ht="12.75">
      <c r="A6" s="1491" t="s">
        <v>1061</v>
      </c>
      <c r="B6" s="522">
        <f>'Sources and Uses Budget'!C5</f>
        <v>50000</v>
      </c>
      <c r="C6" s="522">
        <f>'Sources and Uses Budget'!C5</f>
        <v>50000</v>
      </c>
      <c r="D6" s="522">
        <f>'Sources and Uses Budget'!C5</f>
        <v>50000</v>
      </c>
      <c r="E6" s="524">
        <f t="shared" ref="E6:E73" si="0">C6-B6</f>
        <v>0</v>
      </c>
      <c r="F6" s="523"/>
      <c r="G6" s="523"/>
    </row>
    <row r="7" spans="1:7" s="900" customFormat="1" ht="12.75">
      <c r="A7" s="1491" t="s">
        <v>382</v>
      </c>
      <c r="B7" s="522">
        <f>'Sources and Uses Budget'!C6</f>
        <v>10000</v>
      </c>
      <c r="C7" s="522">
        <f>'Sources and Uses Budget'!C6</f>
        <v>10000</v>
      </c>
      <c r="D7" s="522">
        <f>'Sources and Uses Budget'!C6</f>
        <v>10000</v>
      </c>
      <c r="E7" s="524">
        <f t="shared" si="0"/>
        <v>0</v>
      </c>
      <c r="F7" s="523"/>
      <c r="G7" s="523"/>
    </row>
    <row r="8" spans="1:7" s="900" customFormat="1" ht="12.75">
      <c r="A8" s="1491" t="s">
        <v>310</v>
      </c>
      <c r="B8" s="522">
        <f>'Sources and Uses Budget'!C7</f>
        <v>0</v>
      </c>
      <c r="C8" s="522">
        <f>'Sources and Uses Budget'!C7</f>
        <v>0</v>
      </c>
      <c r="D8" s="522">
        <f>'Sources and Uses Budget'!C7</f>
        <v>0</v>
      </c>
      <c r="E8" s="524">
        <f t="shared" si="0"/>
        <v>0</v>
      </c>
      <c r="F8" s="523"/>
      <c r="G8" s="523"/>
    </row>
    <row r="9" spans="1:7" s="900" customFormat="1" ht="12.75">
      <c r="A9" s="1492" t="s">
        <v>1062</v>
      </c>
      <c r="B9" s="524">
        <f>SUM(B5:B8)</f>
        <v>1815789</v>
      </c>
      <c r="C9" s="524">
        <f>SUM(C5:C8)</f>
        <v>1815789</v>
      </c>
      <c r="D9" s="524">
        <f>SUM(D5:D8)</f>
        <v>1815789</v>
      </c>
      <c r="E9" s="524">
        <f t="shared" si="0"/>
        <v>0</v>
      </c>
      <c r="F9" s="523"/>
      <c r="G9" s="523"/>
    </row>
    <row r="10" spans="1:7" s="900" customFormat="1" ht="12.75">
      <c r="A10" s="1491" t="s">
        <v>645</v>
      </c>
      <c r="B10" s="522">
        <f>'Sources and Uses Budget'!C9</f>
        <v>0</v>
      </c>
      <c r="C10" s="522">
        <f>'Sources and Uses Budget'!C9</f>
        <v>0</v>
      </c>
      <c r="D10" s="522">
        <f>'Sources and Uses Budget'!C9</f>
        <v>0</v>
      </c>
      <c r="E10" s="524">
        <f t="shared" si="0"/>
        <v>0</v>
      </c>
      <c r="F10" s="523"/>
      <c r="G10" s="523"/>
    </row>
    <row r="11" spans="1:7" s="900" customFormat="1" ht="12.75">
      <c r="A11" s="1491" t="s">
        <v>1063</v>
      </c>
      <c r="B11" s="522">
        <f>'Sources and Uses Budget'!C10</f>
        <v>490000</v>
      </c>
      <c r="C11" s="522">
        <f>'Sources and Uses Budget'!C10</f>
        <v>490000</v>
      </c>
      <c r="D11" s="522">
        <f>'Sources and Uses Budget'!C10</f>
        <v>490000</v>
      </c>
      <c r="E11" s="524">
        <f t="shared" si="0"/>
        <v>0</v>
      </c>
      <c r="F11" s="523"/>
      <c r="G11" s="523"/>
    </row>
    <row r="12" spans="1:7" s="900" customFormat="1" ht="12.75">
      <c r="A12" s="1492" t="s">
        <v>646</v>
      </c>
      <c r="B12" s="524">
        <f>SUM(B10:B11)</f>
        <v>490000</v>
      </c>
      <c r="C12" s="524">
        <f>SUM(C10:C11)</f>
        <v>490000</v>
      </c>
      <c r="D12" s="524">
        <f>SUM(D10:D11)</f>
        <v>490000</v>
      </c>
      <c r="E12" s="524">
        <f t="shared" si="0"/>
        <v>0</v>
      </c>
      <c r="F12" s="523"/>
      <c r="G12" s="523"/>
    </row>
    <row r="13" spans="1:7" s="900" customFormat="1" ht="12.75">
      <c r="A13" s="1492" t="s">
        <v>778</v>
      </c>
      <c r="B13" s="524">
        <f>SUM(B9+B12)</f>
        <v>2305789</v>
      </c>
      <c r="C13" s="524">
        <f>SUM(C9+C12)</f>
        <v>2305789</v>
      </c>
      <c r="D13" s="524">
        <f>SUM(D9+D12)</f>
        <v>2305789</v>
      </c>
      <c r="E13" s="524">
        <f t="shared" si="0"/>
        <v>0</v>
      </c>
      <c r="F13" s="523"/>
      <c r="G13" s="523"/>
    </row>
    <row r="14" spans="1:7" s="900" customFormat="1" ht="12.75">
      <c r="A14" s="1493" t="s">
        <v>1229</v>
      </c>
      <c r="B14" s="522">
        <f>'Sources and Uses Budget'!C13</f>
        <v>0</v>
      </c>
      <c r="C14" s="522">
        <f>'Sources and Uses Budget'!C13</f>
        <v>0</v>
      </c>
      <c r="D14" s="522">
        <f>'Sources and Uses Budget'!C13</f>
        <v>0</v>
      </c>
      <c r="E14" s="524">
        <f t="shared" si="0"/>
        <v>0</v>
      </c>
      <c r="F14" s="523"/>
      <c r="G14" s="523"/>
    </row>
    <row r="15" spans="1:7" s="900" customFormat="1" ht="24">
      <c r="A15" s="1494" t="s">
        <v>1264</v>
      </c>
      <c r="B15" s="522">
        <f>'Sources and Uses Budget'!C14</f>
        <v>0</v>
      </c>
      <c r="C15" s="522">
        <f>'Sources and Uses Budget'!C14</f>
        <v>0</v>
      </c>
      <c r="D15" s="522">
        <f>'Sources and Uses Budget'!C14</f>
        <v>0</v>
      </c>
      <c r="E15" s="524">
        <f t="shared" si="0"/>
        <v>0</v>
      </c>
      <c r="F15" s="523"/>
      <c r="G15" s="523"/>
    </row>
    <row r="16" spans="1:7" s="900" customFormat="1" ht="12.75">
      <c r="A16" s="1494" t="s">
        <v>1895</v>
      </c>
      <c r="B16" s="522">
        <f>'Sources and Uses Budget'!C15</f>
        <v>0</v>
      </c>
      <c r="C16" s="522">
        <f>'Sources and Uses Budget'!C15</f>
        <v>0</v>
      </c>
      <c r="D16" s="522">
        <f>'Sources and Uses Budget'!C15</f>
        <v>0</v>
      </c>
      <c r="E16" s="524">
        <f t="shared" si="0"/>
        <v>0</v>
      </c>
      <c r="F16" s="523"/>
      <c r="G16" s="523"/>
    </row>
    <row r="17" spans="1:7" s="900" customFormat="1" ht="12.75">
      <c r="A17" s="1490" t="s">
        <v>1013</v>
      </c>
      <c r="B17" s="520"/>
      <c r="C17" s="520"/>
      <c r="D17" s="520"/>
      <c r="E17" s="520"/>
      <c r="F17" s="520"/>
      <c r="G17" s="520"/>
    </row>
    <row r="18" spans="1:7" s="900" customFormat="1" ht="12.75">
      <c r="A18" s="369" t="s">
        <v>1014</v>
      </c>
      <c r="B18" s="522">
        <f>'Sources and Uses Budget'!C17</f>
        <v>0</v>
      </c>
      <c r="C18" s="522">
        <f>'Sources and Uses Budget'!C17</f>
        <v>0</v>
      </c>
      <c r="D18" s="522">
        <f>'Sources and Uses Budget'!C17</f>
        <v>0</v>
      </c>
      <c r="E18" s="524">
        <f t="shared" si="0"/>
        <v>0</v>
      </c>
      <c r="F18" s="523"/>
      <c r="G18" s="523"/>
    </row>
    <row r="19" spans="1:7" s="900" customFormat="1" ht="12.75">
      <c r="A19" s="369" t="s">
        <v>1015</v>
      </c>
      <c r="B19" s="522">
        <f>'Sources and Uses Budget'!C18</f>
        <v>0</v>
      </c>
      <c r="C19" s="522">
        <f>'Sources and Uses Budget'!C18</f>
        <v>0</v>
      </c>
      <c r="D19" s="522">
        <f>'Sources and Uses Budget'!C18</f>
        <v>0</v>
      </c>
      <c r="E19" s="524">
        <f t="shared" ref="E19:E26" si="1">C19-B19</f>
        <v>0</v>
      </c>
      <c r="F19" s="523"/>
      <c r="G19" s="523"/>
    </row>
    <row r="20" spans="1:7" s="900" customFormat="1" ht="12.75">
      <c r="A20" s="369" t="s">
        <v>1016</v>
      </c>
      <c r="B20" s="522">
        <f>'Sources and Uses Budget'!C19</f>
        <v>0</v>
      </c>
      <c r="C20" s="522">
        <f>'Sources and Uses Budget'!C19</f>
        <v>0</v>
      </c>
      <c r="D20" s="522">
        <f>'Sources and Uses Budget'!C19</f>
        <v>0</v>
      </c>
      <c r="E20" s="524">
        <f t="shared" si="1"/>
        <v>0</v>
      </c>
      <c r="F20" s="523"/>
      <c r="G20" s="523"/>
    </row>
    <row r="21" spans="1:7" s="900" customFormat="1" ht="12.75">
      <c r="A21" s="369" t="s">
        <v>1017</v>
      </c>
      <c r="B21" s="522">
        <f>'Sources and Uses Budget'!C20</f>
        <v>0</v>
      </c>
      <c r="C21" s="522">
        <f>'Sources and Uses Budget'!C20</f>
        <v>0</v>
      </c>
      <c r="D21" s="522">
        <f>'Sources and Uses Budget'!C20</f>
        <v>0</v>
      </c>
      <c r="E21" s="524">
        <f t="shared" si="1"/>
        <v>0</v>
      </c>
      <c r="F21" s="523"/>
      <c r="G21" s="523"/>
    </row>
    <row r="22" spans="1:7" s="900" customFormat="1" ht="12.75">
      <c r="A22" s="369" t="s">
        <v>1018</v>
      </c>
      <c r="B22" s="522">
        <f>'Sources and Uses Budget'!C21</f>
        <v>0</v>
      </c>
      <c r="C22" s="522">
        <f>'Sources and Uses Budget'!C21</f>
        <v>0</v>
      </c>
      <c r="D22" s="522">
        <f>'Sources and Uses Budget'!C21</f>
        <v>0</v>
      </c>
      <c r="E22" s="524">
        <f t="shared" si="1"/>
        <v>0</v>
      </c>
      <c r="F22" s="523"/>
      <c r="G22" s="523"/>
    </row>
    <row r="23" spans="1:7" s="900" customFormat="1" ht="12.75">
      <c r="A23" s="369" t="s">
        <v>1019</v>
      </c>
      <c r="B23" s="522">
        <f>'Sources and Uses Budget'!C22</f>
        <v>0</v>
      </c>
      <c r="C23" s="522">
        <f>'Sources and Uses Budget'!C22</f>
        <v>0</v>
      </c>
      <c r="D23" s="522">
        <f>'Sources and Uses Budget'!C22</f>
        <v>0</v>
      </c>
      <c r="E23" s="524">
        <f t="shared" si="1"/>
        <v>0</v>
      </c>
      <c r="F23" s="523"/>
      <c r="G23" s="523"/>
    </row>
    <row r="24" spans="1:7" s="900" customFormat="1" ht="12.75">
      <c r="A24" s="369" t="s">
        <v>1020</v>
      </c>
      <c r="B24" s="522">
        <f>'Sources and Uses Budget'!C23</f>
        <v>0</v>
      </c>
      <c r="C24" s="522">
        <f>'Sources and Uses Budget'!C23</f>
        <v>0</v>
      </c>
      <c r="D24" s="522">
        <f>'Sources and Uses Budget'!C23</f>
        <v>0</v>
      </c>
      <c r="E24" s="524">
        <f t="shared" si="1"/>
        <v>0</v>
      </c>
      <c r="F24" s="523"/>
      <c r="G24" s="523"/>
    </row>
    <row r="25" spans="1:7" s="900" customFormat="1" ht="12.75">
      <c r="A25" s="380" t="s">
        <v>2240</v>
      </c>
      <c r="B25" s="522">
        <f>'Sources and Uses Budget'!C24</f>
        <v>0</v>
      </c>
      <c r="C25" s="522">
        <f>'Sources and Uses Budget'!C24</f>
        <v>0</v>
      </c>
      <c r="D25" s="522">
        <f>'Sources and Uses Budget'!C24</f>
        <v>0</v>
      </c>
      <c r="E25" s="524">
        <f t="shared" si="1"/>
        <v>0</v>
      </c>
      <c r="F25" s="523"/>
      <c r="G25" s="523"/>
    </row>
    <row r="26" spans="1:7" s="900" customFormat="1" ht="12.75">
      <c r="A26" s="380" t="s">
        <v>592</v>
      </c>
      <c r="B26" s="522">
        <f>'Sources and Uses Budget'!C25</f>
        <v>0</v>
      </c>
      <c r="C26" s="522">
        <f>'Sources and Uses Budget'!C25</f>
        <v>0</v>
      </c>
      <c r="D26" s="522">
        <f>'Sources and Uses Budget'!C25</f>
        <v>0</v>
      </c>
      <c r="E26" s="524">
        <f t="shared" si="1"/>
        <v>0</v>
      </c>
      <c r="F26" s="523"/>
      <c r="G26" s="523"/>
    </row>
    <row r="27" spans="1:7" s="900" customFormat="1" ht="12.75">
      <c r="A27" s="525" t="s">
        <v>248</v>
      </c>
      <c r="B27" s="1502">
        <f>'Sources and Uses Budget'!C26</f>
        <v>0</v>
      </c>
      <c r="C27" s="1502">
        <f>'Sources and Uses Budget'!C26</f>
        <v>0</v>
      </c>
      <c r="D27" s="1502">
        <f>'Sources and Uses Budget'!C26</f>
        <v>0</v>
      </c>
      <c r="E27" s="524">
        <f>C27-B27</f>
        <v>0</v>
      </c>
      <c r="F27" s="523"/>
      <c r="G27" s="523"/>
    </row>
    <row r="28" spans="1:7" s="900" customFormat="1" ht="12.75">
      <c r="A28" s="1495" t="s">
        <v>1021</v>
      </c>
      <c r="B28" s="522">
        <f>'Sources and Uses Budget'!C27</f>
        <v>0</v>
      </c>
      <c r="C28" s="522">
        <f>'Sources and Uses Budget'!C27</f>
        <v>0</v>
      </c>
      <c r="D28" s="522">
        <f>'Sources and Uses Budget'!C27</f>
        <v>0</v>
      </c>
      <c r="E28" s="524">
        <f>C28-B28</f>
        <v>0</v>
      </c>
      <c r="F28" s="523"/>
      <c r="G28" s="523"/>
    </row>
    <row r="29" spans="1:7" s="900" customFormat="1" ht="12.75">
      <c r="A29" s="1490" t="s">
        <v>1022</v>
      </c>
      <c r="B29" s="520"/>
      <c r="C29" s="520"/>
      <c r="D29" s="520"/>
      <c r="E29" s="520"/>
      <c r="F29" s="520"/>
      <c r="G29" s="520"/>
    </row>
    <row r="30" spans="1:7" s="900" customFormat="1" ht="12.75">
      <c r="A30" s="369" t="s">
        <v>1014</v>
      </c>
      <c r="B30" s="522">
        <f>'Sources and Uses Budget'!C29</f>
        <v>849057</v>
      </c>
      <c r="C30" s="522">
        <f>'Sources and Uses Budget'!C29</f>
        <v>849057</v>
      </c>
      <c r="D30" s="522">
        <f>'Sources and Uses Budget'!C29</f>
        <v>849057</v>
      </c>
      <c r="E30" s="524">
        <f t="shared" si="0"/>
        <v>0</v>
      </c>
      <c r="F30" s="523"/>
      <c r="G30" s="523"/>
    </row>
    <row r="31" spans="1:7" s="900" customFormat="1" ht="12.75">
      <c r="A31" s="369" t="s">
        <v>1015</v>
      </c>
      <c r="B31" s="522">
        <f>'Sources and Uses Budget'!C30</f>
        <v>13819851</v>
      </c>
      <c r="C31" s="522">
        <f>'Sources and Uses Budget'!C30</f>
        <v>13819851</v>
      </c>
      <c r="D31" s="522">
        <f>'Sources and Uses Budget'!C30</f>
        <v>13819851</v>
      </c>
      <c r="E31" s="524">
        <f t="shared" si="0"/>
        <v>0</v>
      </c>
      <c r="F31" s="523"/>
      <c r="G31" s="523"/>
    </row>
    <row r="32" spans="1:7" s="900" customFormat="1" ht="12.75">
      <c r="A32" s="369" t="s">
        <v>1016</v>
      </c>
      <c r="B32" s="522">
        <f>'Sources and Uses Budget'!C31</f>
        <v>270566</v>
      </c>
      <c r="C32" s="522">
        <f>'Sources and Uses Budget'!C31</f>
        <v>270566</v>
      </c>
      <c r="D32" s="522">
        <f>'Sources and Uses Budget'!C31</f>
        <v>270566</v>
      </c>
      <c r="E32" s="524">
        <f t="shared" si="0"/>
        <v>0</v>
      </c>
      <c r="F32" s="523"/>
      <c r="G32" s="523"/>
    </row>
    <row r="33" spans="1:7" s="900" customFormat="1" ht="12.75">
      <c r="A33" s="369" t="s">
        <v>1017</v>
      </c>
      <c r="B33" s="522">
        <f>'Sources and Uses Budget'!C32</f>
        <v>811698</v>
      </c>
      <c r="C33" s="522">
        <f>'Sources and Uses Budget'!C32</f>
        <v>811698</v>
      </c>
      <c r="D33" s="522">
        <f>'Sources and Uses Budget'!C32</f>
        <v>811698</v>
      </c>
      <c r="E33" s="524">
        <f t="shared" si="0"/>
        <v>0</v>
      </c>
      <c r="F33" s="523"/>
      <c r="G33" s="523"/>
    </row>
    <row r="34" spans="1:7" s="900" customFormat="1" ht="12.75">
      <c r="A34" s="369" t="s">
        <v>1018</v>
      </c>
      <c r="B34" s="522">
        <f>'Sources and Uses Budget'!C33</f>
        <v>811698</v>
      </c>
      <c r="C34" s="522">
        <f>'Sources and Uses Budget'!C33</f>
        <v>811698</v>
      </c>
      <c r="D34" s="522">
        <f>'Sources and Uses Budget'!C33</f>
        <v>811698</v>
      </c>
      <c r="E34" s="524">
        <f t="shared" si="0"/>
        <v>0</v>
      </c>
      <c r="F34" s="523"/>
      <c r="G34" s="523"/>
    </row>
    <row r="35" spans="1:7" s="900" customFormat="1" ht="12.75">
      <c r="A35" s="369" t="s">
        <v>1019</v>
      </c>
      <c r="B35" s="522">
        <f>'Sources and Uses Budget'!C34</f>
        <v>0</v>
      </c>
      <c r="C35" s="522">
        <f>'Sources and Uses Budget'!C34</f>
        <v>0</v>
      </c>
      <c r="D35" s="522">
        <f>'Sources and Uses Budget'!C34</f>
        <v>0</v>
      </c>
      <c r="E35" s="524">
        <f t="shared" si="0"/>
        <v>0</v>
      </c>
      <c r="F35" s="523"/>
      <c r="G35" s="523"/>
    </row>
    <row r="36" spans="1:7" s="900" customFormat="1" ht="12.75">
      <c r="A36" s="369" t="s">
        <v>1020</v>
      </c>
      <c r="B36" s="522">
        <f>'Sources and Uses Budget'!C35</f>
        <v>113207</v>
      </c>
      <c r="C36" s="522">
        <f>'Sources and Uses Budget'!C35</f>
        <v>113207</v>
      </c>
      <c r="D36" s="522">
        <f>'Sources and Uses Budget'!C35</f>
        <v>113207</v>
      </c>
      <c r="E36" s="524">
        <f t="shared" si="0"/>
        <v>0</v>
      </c>
      <c r="F36" s="523"/>
      <c r="G36" s="523"/>
    </row>
    <row r="37" spans="1:7" s="900" customFormat="1" ht="12.75">
      <c r="A37" s="721" t="s">
        <v>2240</v>
      </c>
      <c r="B37" s="522">
        <f>'Sources and Uses Budget'!C36</f>
        <v>0</v>
      </c>
      <c r="C37" s="522">
        <f>'Sources and Uses Budget'!C36</f>
        <v>0</v>
      </c>
      <c r="D37" s="522">
        <f>'Sources and Uses Budget'!C36</f>
        <v>0</v>
      </c>
      <c r="E37" s="524">
        <f t="shared" si="0"/>
        <v>0</v>
      </c>
      <c r="F37" s="523"/>
      <c r="G37" s="523"/>
    </row>
    <row r="38" spans="1:7" s="900" customFormat="1" ht="12.75">
      <c r="A38" s="380" t="s">
        <v>592</v>
      </c>
      <c r="B38" s="522">
        <f>'Sources and Uses Budget'!C37</f>
        <v>202925</v>
      </c>
      <c r="C38" s="522">
        <f>'Sources and Uses Budget'!C37</f>
        <v>202925</v>
      </c>
      <c r="D38" s="522">
        <f>'Sources and Uses Budget'!C37</f>
        <v>202925</v>
      </c>
      <c r="E38" s="524">
        <f>C38-B38</f>
        <v>0</v>
      </c>
      <c r="F38" s="523"/>
      <c r="G38" s="523"/>
    </row>
    <row r="39" spans="1:7" s="900" customFormat="1" ht="12.75">
      <c r="A39" s="1495" t="s">
        <v>1023</v>
      </c>
      <c r="B39" s="1502">
        <f>'Sources and Uses Budget'!C38</f>
        <v>16879002</v>
      </c>
      <c r="C39" s="1502">
        <f>'Sources and Uses Budget'!C38</f>
        <v>16879002</v>
      </c>
      <c r="D39" s="1502">
        <f>'Sources and Uses Budget'!C38</f>
        <v>16879002</v>
      </c>
      <c r="E39" s="524">
        <f>C39-B39</f>
        <v>0</v>
      </c>
      <c r="F39" s="523"/>
      <c r="G39" s="523"/>
    </row>
    <row r="40" spans="1:7" s="900" customFormat="1" ht="12.75">
      <c r="A40" s="1490" t="s">
        <v>1024</v>
      </c>
      <c r="B40" s="520"/>
      <c r="C40" s="520"/>
      <c r="D40" s="520"/>
      <c r="E40" s="520"/>
      <c r="F40" s="520"/>
      <c r="G40" s="520"/>
    </row>
    <row r="41" spans="1:7" s="900" customFormat="1" ht="12.75">
      <c r="A41" s="1496" t="s">
        <v>1025</v>
      </c>
      <c r="B41" s="522">
        <f>'Sources and Uses Budget'!C40</f>
        <v>427358</v>
      </c>
      <c r="C41" s="522">
        <f>'Sources and Uses Budget'!C40</f>
        <v>427358</v>
      </c>
      <c r="D41" s="522">
        <f>'Sources and Uses Budget'!C40</f>
        <v>427358</v>
      </c>
      <c r="E41" s="524">
        <f>C41-B41</f>
        <v>0</v>
      </c>
      <c r="F41" s="523"/>
      <c r="G41" s="523"/>
    </row>
    <row r="42" spans="1:7" s="900" customFormat="1" ht="12.75">
      <c r="A42" s="1496" t="s">
        <v>1026</v>
      </c>
      <c r="B42" s="522">
        <f>'Sources and Uses Budget'!C41</f>
        <v>0</v>
      </c>
      <c r="C42" s="522">
        <f>'Sources and Uses Budget'!C41</f>
        <v>0</v>
      </c>
      <c r="D42" s="522">
        <f>'Sources and Uses Budget'!C41</f>
        <v>0</v>
      </c>
      <c r="E42" s="524">
        <f>C42-B42</f>
        <v>0</v>
      </c>
      <c r="F42" s="523"/>
      <c r="G42" s="523"/>
    </row>
    <row r="43" spans="1:7" s="900" customFormat="1" ht="12" customHeight="1">
      <c r="A43" s="1495" t="s">
        <v>1027</v>
      </c>
      <c r="B43" s="1502">
        <f>'Sources and Uses Budget'!C42</f>
        <v>427358</v>
      </c>
      <c r="C43" s="1502">
        <f>'Sources and Uses Budget'!C42</f>
        <v>427358</v>
      </c>
      <c r="D43" s="1502">
        <f>'Sources and Uses Budget'!C42</f>
        <v>427358</v>
      </c>
      <c r="E43" s="524">
        <f>C43-B43</f>
        <v>0</v>
      </c>
      <c r="F43" s="523"/>
      <c r="G43" s="523"/>
    </row>
    <row r="44" spans="1:7" s="900" customFormat="1" ht="12.75">
      <c r="A44" s="1495" t="s">
        <v>1028</v>
      </c>
      <c r="B44" s="522">
        <f>'Sources and Uses Budget'!C43</f>
        <v>113207</v>
      </c>
      <c r="C44" s="522">
        <f>'Sources and Uses Budget'!C43</f>
        <v>113207</v>
      </c>
      <c r="D44" s="522">
        <f>'Sources and Uses Budget'!C43</f>
        <v>113207</v>
      </c>
      <c r="E44" s="524">
        <f>C44-B44</f>
        <v>0</v>
      </c>
      <c r="F44" s="523"/>
      <c r="G44" s="523"/>
    </row>
    <row r="45" spans="1:7" s="900" customFormat="1" ht="12.75">
      <c r="A45" s="365" t="s">
        <v>1029</v>
      </c>
      <c r="B45" s="520"/>
      <c r="C45" s="520"/>
      <c r="D45" s="520"/>
      <c r="E45" s="520"/>
      <c r="F45" s="520"/>
      <c r="G45" s="520"/>
    </row>
    <row r="46" spans="1:7" s="900" customFormat="1" ht="12" customHeight="1">
      <c r="A46" s="369" t="s">
        <v>1030</v>
      </c>
      <c r="B46" s="522">
        <f>'Sources and Uses Budget'!C45</f>
        <v>1085453</v>
      </c>
      <c r="C46" s="522">
        <f>'Sources and Uses Budget'!C45</f>
        <v>1085453</v>
      </c>
      <c r="D46" s="522">
        <f>'Sources and Uses Budget'!C45</f>
        <v>1085453</v>
      </c>
      <c r="E46" s="524">
        <f t="shared" si="0"/>
        <v>0</v>
      </c>
      <c r="F46" s="523"/>
      <c r="G46" s="523"/>
    </row>
    <row r="47" spans="1:7" s="900" customFormat="1" ht="12.75">
      <c r="A47" s="369" t="s">
        <v>1031</v>
      </c>
      <c r="B47" s="522">
        <f>'Sources and Uses Budget'!C46</f>
        <v>189586</v>
      </c>
      <c r="C47" s="522">
        <f>'Sources and Uses Budget'!C46</f>
        <v>189586</v>
      </c>
      <c r="D47" s="522">
        <f>'Sources and Uses Budget'!C46</f>
        <v>189586</v>
      </c>
      <c r="E47" s="524">
        <f t="shared" si="0"/>
        <v>0</v>
      </c>
      <c r="F47" s="523"/>
      <c r="G47" s="523"/>
    </row>
    <row r="48" spans="1:7" s="900" customFormat="1" ht="12.75">
      <c r="A48" s="369" t="s">
        <v>1032</v>
      </c>
      <c r="B48" s="522">
        <f>'Sources and Uses Budget'!C47</f>
        <v>0</v>
      </c>
      <c r="C48" s="522">
        <f>'Sources and Uses Budget'!C47</f>
        <v>0</v>
      </c>
      <c r="D48" s="522">
        <f>'Sources and Uses Budget'!C47</f>
        <v>0</v>
      </c>
      <c r="E48" s="524">
        <f t="shared" si="0"/>
        <v>0</v>
      </c>
      <c r="F48" s="523"/>
      <c r="G48" s="523"/>
    </row>
    <row r="49" spans="1:7" s="900" customFormat="1" ht="12.75">
      <c r="A49" s="369" t="s">
        <v>1033</v>
      </c>
      <c r="B49" s="522">
        <f>'Sources and Uses Budget'!C48</f>
        <v>0</v>
      </c>
      <c r="C49" s="522">
        <f>'Sources and Uses Budget'!C48</f>
        <v>0</v>
      </c>
      <c r="D49" s="522">
        <f>'Sources and Uses Budget'!C48</f>
        <v>0</v>
      </c>
      <c r="E49" s="524">
        <f t="shared" si="0"/>
        <v>0</v>
      </c>
      <c r="F49" s="523"/>
      <c r="G49" s="523"/>
    </row>
    <row r="50" spans="1:7" s="900" customFormat="1" ht="12.75">
      <c r="A50" s="369" t="s">
        <v>1036</v>
      </c>
      <c r="B50" s="522">
        <f>'Sources and Uses Budget'!C49</f>
        <v>39500</v>
      </c>
      <c r="C50" s="522">
        <f>'Sources and Uses Budget'!C49</f>
        <v>39500</v>
      </c>
      <c r="D50" s="522">
        <f>'Sources and Uses Budget'!C49</f>
        <v>39500</v>
      </c>
      <c r="E50" s="524">
        <f t="shared" si="0"/>
        <v>0</v>
      </c>
      <c r="F50" s="523"/>
      <c r="G50" s="523"/>
    </row>
    <row r="51" spans="1:7" s="900" customFormat="1" ht="12.75">
      <c r="A51" s="369" t="s">
        <v>1034</v>
      </c>
      <c r="B51" s="522">
        <f>'Sources and Uses Budget'!C50</f>
        <v>43500</v>
      </c>
      <c r="C51" s="522">
        <f>'Sources and Uses Budget'!C50</f>
        <v>43500</v>
      </c>
      <c r="D51" s="522">
        <f>'Sources and Uses Budget'!C50</f>
        <v>43500</v>
      </c>
      <c r="E51" s="524">
        <f t="shared" si="0"/>
        <v>0</v>
      </c>
      <c r="F51" s="523"/>
      <c r="G51" s="523"/>
    </row>
    <row r="52" spans="1:7" s="901" customFormat="1" ht="12.75">
      <c r="A52" s="369" t="s">
        <v>1035</v>
      </c>
      <c r="B52" s="522">
        <f>'Sources and Uses Budget'!C51</f>
        <v>31500</v>
      </c>
      <c r="C52" s="522">
        <f>'Sources and Uses Budget'!C51</f>
        <v>31500</v>
      </c>
      <c r="D52" s="522">
        <f>'Sources and Uses Budget'!C51</f>
        <v>31500</v>
      </c>
      <c r="E52" s="524">
        <f t="shared" si="0"/>
        <v>0</v>
      </c>
      <c r="F52" s="523"/>
      <c r="G52" s="523"/>
    </row>
    <row r="53" spans="1:7" s="900" customFormat="1" ht="12.75">
      <c r="A53" s="376" t="s">
        <v>592</v>
      </c>
      <c r="B53" s="522">
        <f>'Sources and Uses Budget'!C52</f>
        <v>45000</v>
      </c>
      <c r="C53" s="522">
        <f>'Sources and Uses Budget'!C52</f>
        <v>45000</v>
      </c>
      <c r="D53" s="522">
        <f>'Sources and Uses Budget'!C52</f>
        <v>45000</v>
      </c>
      <c r="E53" s="524">
        <f t="shared" si="0"/>
        <v>0</v>
      </c>
      <c r="F53" s="523"/>
      <c r="G53" s="523"/>
    </row>
    <row r="54" spans="1:7" s="900" customFormat="1" ht="12.75">
      <c r="A54" s="373" t="s">
        <v>1037</v>
      </c>
      <c r="B54" s="1502">
        <f>'Sources and Uses Budget'!C53</f>
        <v>1434539</v>
      </c>
      <c r="C54" s="1502">
        <f>'Sources and Uses Budget'!C53</f>
        <v>1434539</v>
      </c>
      <c r="D54" s="1502">
        <f>'Sources and Uses Budget'!C53</f>
        <v>1434539</v>
      </c>
      <c r="E54" s="524">
        <f t="shared" si="0"/>
        <v>0</v>
      </c>
      <c r="F54" s="523"/>
      <c r="G54" s="523"/>
    </row>
    <row r="55" spans="1:7" s="900" customFormat="1" ht="12" customHeight="1">
      <c r="A55" s="1490" t="s">
        <v>749</v>
      </c>
      <c r="B55" s="520"/>
      <c r="C55" s="520"/>
      <c r="D55" s="520"/>
      <c r="E55" s="520"/>
      <c r="F55" s="520"/>
      <c r="G55" s="520"/>
    </row>
    <row r="56" spans="1:7" s="900" customFormat="1" ht="12.75">
      <c r="A56" s="1496" t="s">
        <v>1038</v>
      </c>
      <c r="B56" s="522">
        <f>'Sources and Uses Budget'!C55</f>
        <v>0</v>
      </c>
      <c r="C56" s="522">
        <f>'Sources and Uses Budget'!C55</f>
        <v>0</v>
      </c>
      <c r="D56" s="522">
        <f>'Sources and Uses Budget'!C55</f>
        <v>0</v>
      </c>
      <c r="E56" s="524">
        <f t="shared" si="0"/>
        <v>0</v>
      </c>
      <c r="F56" s="523"/>
      <c r="G56" s="523"/>
    </row>
    <row r="57" spans="1:7" s="900" customFormat="1" ht="12.75">
      <c r="A57" s="1496" t="s">
        <v>1032</v>
      </c>
      <c r="B57" s="522">
        <f>'Sources and Uses Budget'!C56</f>
        <v>0</v>
      </c>
      <c r="C57" s="522">
        <f>'Sources and Uses Budget'!C56</f>
        <v>0</v>
      </c>
      <c r="D57" s="522">
        <f>'Sources and Uses Budget'!C56</f>
        <v>0</v>
      </c>
      <c r="E57" s="524">
        <f t="shared" si="0"/>
        <v>0</v>
      </c>
      <c r="F57" s="523"/>
      <c r="G57" s="523"/>
    </row>
    <row r="58" spans="1:7" s="900" customFormat="1" ht="12.75">
      <c r="A58" s="1496" t="s">
        <v>1036</v>
      </c>
      <c r="B58" s="522">
        <f>'Sources and Uses Budget'!C57</f>
        <v>0</v>
      </c>
      <c r="C58" s="522">
        <f>'Sources and Uses Budget'!C57</f>
        <v>0</v>
      </c>
      <c r="D58" s="522">
        <f>'Sources and Uses Budget'!C57</f>
        <v>0</v>
      </c>
      <c r="E58" s="524">
        <f t="shared" si="0"/>
        <v>0</v>
      </c>
      <c r="F58" s="523"/>
      <c r="G58" s="523"/>
    </row>
    <row r="59" spans="1:7" s="900" customFormat="1" ht="12.75">
      <c r="A59" s="1496" t="s">
        <v>1034</v>
      </c>
      <c r="B59" s="522">
        <f>'Sources and Uses Budget'!C58</f>
        <v>0</v>
      </c>
      <c r="C59" s="522">
        <f>'Sources and Uses Budget'!C58</f>
        <v>0</v>
      </c>
      <c r="D59" s="522">
        <f>'Sources and Uses Budget'!C58</f>
        <v>0</v>
      </c>
      <c r="E59" s="524">
        <f t="shared" si="0"/>
        <v>0</v>
      </c>
      <c r="F59" s="523"/>
      <c r="G59" s="523"/>
    </row>
    <row r="60" spans="1:7" s="900" customFormat="1" ht="12.75">
      <c r="A60" s="1496" t="s">
        <v>1035</v>
      </c>
      <c r="B60" s="522">
        <f>'Sources and Uses Budget'!C59</f>
        <v>0</v>
      </c>
      <c r="C60" s="522">
        <f>'Sources and Uses Budget'!C59</f>
        <v>0</v>
      </c>
      <c r="D60" s="522">
        <f>'Sources and Uses Budget'!C59</f>
        <v>0</v>
      </c>
      <c r="E60" s="524">
        <f t="shared" si="0"/>
        <v>0</v>
      </c>
      <c r="F60" s="523"/>
      <c r="G60" s="523"/>
    </row>
    <row r="61" spans="1:7" s="900" customFormat="1" ht="14.1" customHeight="1">
      <c r="A61" s="1497" t="s">
        <v>592</v>
      </c>
      <c r="B61" s="522">
        <f>'Sources and Uses Budget'!C60</f>
        <v>0</v>
      </c>
      <c r="C61" s="522">
        <f>'Sources and Uses Budget'!C60</f>
        <v>0</v>
      </c>
      <c r="D61" s="522">
        <f>'Sources and Uses Budget'!C60</f>
        <v>0</v>
      </c>
      <c r="E61" s="524">
        <f t="shared" si="0"/>
        <v>0</v>
      </c>
      <c r="F61" s="523"/>
      <c r="G61" s="523"/>
    </row>
    <row r="62" spans="1:7" s="900" customFormat="1" ht="12.75">
      <c r="A62" s="1495" t="s">
        <v>549</v>
      </c>
      <c r="B62" s="1502">
        <f>'Sources and Uses Budget'!C61</f>
        <v>0</v>
      </c>
      <c r="C62" s="1502">
        <f>'Sources and Uses Budget'!C61</f>
        <v>0</v>
      </c>
      <c r="D62" s="1502">
        <f>'Sources and Uses Budget'!C61</f>
        <v>0</v>
      </c>
      <c r="E62" s="524">
        <f t="shared" si="0"/>
        <v>0</v>
      </c>
      <c r="F62" s="523"/>
      <c r="G62" s="523"/>
    </row>
    <row r="63" spans="1:7" s="900" customFormat="1" ht="12.75">
      <c r="A63" s="1498" t="s">
        <v>550</v>
      </c>
      <c r="B63" s="1502">
        <f>'Sources and Uses Budget'!C62</f>
        <v>21159895</v>
      </c>
      <c r="C63" s="1502">
        <f>'Sources and Uses Budget'!C62</f>
        <v>21159895</v>
      </c>
      <c r="D63" s="1502">
        <f>'Sources and Uses Budget'!C62</f>
        <v>21159895</v>
      </c>
      <c r="E63" s="524">
        <f t="shared" si="0"/>
        <v>0</v>
      </c>
      <c r="F63" s="523"/>
      <c r="G63" s="523"/>
    </row>
    <row r="64" spans="1:7" s="900" customFormat="1" ht="24">
      <c r="A64" s="365" t="s">
        <v>2241</v>
      </c>
      <c r="B64" s="520"/>
      <c r="C64" s="520"/>
      <c r="D64" s="520"/>
      <c r="E64" s="520"/>
      <c r="F64" s="520"/>
      <c r="G64" s="520"/>
    </row>
    <row r="65" spans="1:7" s="900" customFormat="1" ht="12.75">
      <c r="A65" s="369" t="s">
        <v>312</v>
      </c>
      <c r="B65" s="522">
        <f>'Sources and Uses Budget'!C64</f>
        <v>55000</v>
      </c>
      <c r="C65" s="522">
        <f>'Sources and Uses Budget'!C64</f>
        <v>55000</v>
      </c>
      <c r="D65" s="522">
        <f>'Sources and Uses Budget'!C64</f>
        <v>55000</v>
      </c>
      <c r="E65" s="524">
        <f t="shared" si="0"/>
        <v>0</v>
      </c>
      <c r="F65" s="523"/>
      <c r="G65" s="523"/>
    </row>
    <row r="66" spans="1:7" s="900" customFormat="1" ht="24">
      <c r="A66" s="369" t="s">
        <v>2242</v>
      </c>
      <c r="B66" s="522">
        <f>'Sources and Uses Budget'!C65</f>
        <v>0</v>
      </c>
      <c r="C66" s="522">
        <f>'Sources and Uses Budget'!C65</f>
        <v>0</v>
      </c>
      <c r="D66" s="522">
        <f>'Sources and Uses Budget'!C65</f>
        <v>0</v>
      </c>
      <c r="E66" s="524">
        <f t="shared" si="0"/>
        <v>0</v>
      </c>
      <c r="F66" s="523"/>
      <c r="G66" s="523"/>
    </row>
    <row r="67" spans="1:7" s="900" customFormat="1" ht="24">
      <c r="A67" s="369" t="s">
        <v>2243</v>
      </c>
      <c r="B67" s="522">
        <f>'Sources and Uses Budget'!C66</f>
        <v>0</v>
      </c>
      <c r="C67" s="522">
        <f>'Sources and Uses Budget'!C66</f>
        <v>0</v>
      </c>
      <c r="D67" s="522">
        <f>'Sources and Uses Budget'!C66</f>
        <v>0</v>
      </c>
      <c r="E67" s="524">
        <f t="shared" si="0"/>
        <v>0</v>
      </c>
      <c r="F67" s="523"/>
      <c r="G67" s="523"/>
    </row>
    <row r="68" spans="1:7" s="900" customFormat="1" ht="12.75">
      <c r="A68" s="369" t="s">
        <v>2244</v>
      </c>
      <c r="B68" s="522">
        <f>'Sources and Uses Budget'!C67</f>
        <v>0</v>
      </c>
      <c r="C68" s="522">
        <f>'Sources and Uses Budget'!C67</f>
        <v>0</v>
      </c>
      <c r="D68" s="522">
        <f>'Sources and Uses Budget'!C67</f>
        <v>0</v>
      </c>
      <c r="E68" s="524">
        <f t="shared" si="0"/>
        <v>0</v>
      </c>
      <c r="F68" s="523"/>
      <c r="G68" s="523"/>
    </row>
    <row r="69" spans="1:7" s="900" customFormat="1" ht="12.75">
      <c r="A69" s="380" t="s">
        <v>2313</v>
      </c>
      <c r="B69" s="522">
        <f>'Sources and Uses Budget'!C68</f>
        <v>110000</v>
      </c>
      <c r="C69" s="522">
        <f>'Sources and Uses Budget'!C68</f>
        <v>110000</v>
      </c>
      <c r="D69" s="522">
        <f>'Sources and Uses Budget'!C68</f>
        <v>110000</v>
      </c>
      <c r="E69" s="524">
        <f t="shared" si="0"/>
        <v>0</v>
      </c>
      <c r="F69" s="523"/>
      <c r="G69" s="523"/>
    </row>
    <row r="70" spans="1:7" s="900" customFormat="1" ht="12.75">
      <c r="A70" s="373" t="s">
        <v>2245</v>
      </c>
      <c r="B70" s="1502">
        <f>'Sources and Uses Budget'!C69</f>
        <v>165000</v>
      </c>
      <c r="C70" s="1502">
        <f>'Sources and Uses Budget'!C69</f>
        <v>165000</v>
      </c>
      <c r="D70" s="1502">
        <f>'Sources and Uses Budget'!C69</f>
        <v>165000</v>
      </c>
      <c r="E70" s="524">
        <f t="shared" si="0"/>
        <v>0</v>
      </c>
      <c r="F70" s="523"/>
      <c r="G70" s="523"/>
    </row>
    <row r="71" spans="1:7" s="900" customFormat="1" ht="12.75">
      <c r="A71" s="1490" t="s">
        <v>313</v>
      </c>
      <c r="B71" s="520"/>
      <c r="C71" s="520"/>
      <c r="D71" s="520"/>
      <c r="E71" s="520"/>
      <c r="F71" s="520"/>
      <c r="G71" s="520"/>
    </row>
    <row r="72" spans="1:7" s="900" customFormat="1" ht="12.75">
      <c r="A72" s="1496" t="s">
        <v>314</v>
      </c>
      <c r="B72" s="522">
        <f>'Sources and Uses Budget'!C71</f>
        <v>0</v>
      </c>
      <c r="C72" s="522">
        <f>'Sources and Uses Budget'!C71</f>
        <v>0</v>
      </c>
      <c r="D72" s="522">
        <f>'Sources and Uses Budget'!C71</f>
        <v>0</v>
      </c>
      <c r="E72" s="524">
        <f t="shared" si="0"/>
        <v>0</v>
      </c>
      <c r="F72" s="523"/>
      <c r="G72" s="523"/>
    </row>
    <row r="73" spans="1:7" s="900" customFormat="1" ht="12.75">
      <c r="A73" s="1496" t="s">
        <v>315</v>
      </c>
      <c r="B73" s="522">
        <f>'Sources and Uses Budget'!C72</f>
        <v>0</v>
      </c>
      <c r="C73" s="522">
        <f>'Sources and Uses Budget'!C72</f>
        <v>0</v>
      </c>
      <c r="D73" s="522">
        <f>'Sources and Uses Budget'!C72</f>
        <v>0</v>
      </c>
      <c r="E73" s="524">
        <f t="shared" si="0"/>
        <v>0</v>
      </c>
      <c r="F73" s="523"/>
      <c r="G73" s="523"/>
    </row>
    <row r="74" spans="1:7" s="900" customFormat="1" ht="12.75">
      <c r="A74" s="1499" t="s">
        <v>1373</v>
      </c>
      <c r="B74" s="522">
        <f>'Sources and Uses Budget'!C73</f>
        <v>0</v>
      </c>
      <c r="C74" s="522">
        <f>'Sources and Uses Budget'!C73</f>
        <v>0</v>
      </c>
      <c r="D74" s="522">
        <f>'Sources and Uses Budget'!C73</f>
        <v>0</v>
      </c>
      <c r="E74" s="524">
        <f>C74-B74</f>
        <v>0</v>
      </c>
      <c r="F74" s="523"/>
      <c r="G74" s="523"/>
    </row>
    <row r="75" spans="1:7" s="900" customFormat="1" ht="12.75">
      <c r="A75" s="1496" t="s">
        <v>316</v>
      </c>
      <c r="B75" s="522">
        <f>'Sources and Uses Budget'!C74</f>
        <v>267720</v>
      </c>
      <c r="C75" s="522">
        <f>'Sources and Uses Budget'!C74</f>
        <v>267720</v>
      </c>
      <c r="D75" s="522">
        <f>'Sources and Uses Budget'!C74</f>
        <v>267720</v>
      </c>
      <c r="E75" s="524">
        <f>C75-B75</f>
        <v>0</v>
      </c>
      <c r="F75" s="523"/>
      <c r="G75" s="523"/>
    </row>
    <row r="76" spans="1:7" s="900" customFormat="1" ht="12.75">
      <c r="A76" s="1500" t="s">
        <v>592</v>
      </c>
      <c r="B76" s="522">
        <f>'Sources and Uses Budget'!C75</f>
        <v>0</v>
      </c>
      <c r="C76" s="522">
        <f>'Sources and Uses Budget'!C75</f>
        <v>0</v>
      </c>
      <c r="D76" s="522">
        <f>'Sources and Uses Budget'!C75</f>
        <v>0</v>
      </c>
      <c r="E76" s="524">
        <f>C76-B76</f>
        <v>0</v>
      </c>
      <c r="F76" s="523"/>
      <c r="G76" s="523"/>
    </row>
    <row r="77" spans="1:7" s="900" customFormat="1" ht="12.75">
      <c r="A77" s="1495" t="s">
        <v>317</v>
      </c>
      <c r="B77" s="1502">
        <f>'Sources and Uses Budget'!C76</f>
        <v>267720</v>
      </c>
      <c r="C77" s="1502">
        <f>'Sources and Uses Budget'!C76</f>
        <v>267720</v>
      </c>
      <c r="D77" s="1502">
        <f>'Sources and Uses Budget'!C76</f>
        <v>267720</v>
      </c>
      <c r="E77" s="524">
        <f>C77-B77</f>
        <v>0</v>
      </c>
      <c r="F77" s="523"/>
      <c r="G77" s="523"/>
    </row>
    <row r="78" spans="1:7" s="900" customFormat="1" ht="12.75">
      <c r="A78" s="1490" t="s">
        <v>1970</v>
      </c>
      <c r="B78" s="520"/>
      <c r="C78" s="520"/>
      <c r="D78" s="520"/>
      <c r="E78" s="520"/>
      <c r="F78" s="520"/>
      <c r="G78" s="520"/>
    </row>
    <row r="79" spans="1:7" s="900" customFormat="1" ht="14.1" customHeight="1">
      <c r="A79" s="1496" t="s">
        <v>1968</v>
      </c>
      <c r="B79" s="522">
        <f>'Sources and Uses Budget'!C78</f>
        <v>1707745</v>
      </c>
      <c r="C79" s="522">
        <f>'Sources and Uses Budget'!C78</f>
        <v>1707745</v>
      </c>
      <c r="D79" s="522">
        <f>'Sources and Uses Budget'!C78</f>
        <v>1707745</v>
      </c>
      <c r="E79" s="524">
        <f t="shared" ref="E79:E105" si="2">C79-B79</f>
        <v>0</v>
      </c>
      <c r="F79" s="523"/>
      <c r="G79" s="523"/>
    </row>
    <row r="80" spans="1:7" s="900" customFormat="1" ht="12.75">
      <c r="A80" s="1496" t="s">
        <v>597</v>
      </c>
      <c r="B80" s="522">
        <f>'Sources and Uses Budget'!C79</f>
        <v>80483</v>
      </c>
      <c r="C80" s="522">
        <f>'Sources and Uses Budget'!C79</f>
        <v>80483</v>
      </c>
      <c r="D80" s="522">
        <f>'Sources and Uses Budget'!C79</f>
        <v>80483</v>
      </c>
      <c r="E80" s="524">
        <f t="shared" si="2"/>
        <v>0</v>
      </c>
      <c r="F80" s="523"/>
      <c r="G80" s="523"/>
    </row>
    <row r="81" spans="1:7" s="900" customFormat="1" ht="12.75">
      <c r="A81" s="1495" t="s">
        <v>1969</v>
      </c>
      <c r="B81" s="1502">
        <f>'Sources and Uses Budget'!C80</f>
        <v>1788228</v>
      </c>
      <c r="C81" s="1502">
        <f>'Sources and Uses Budget'!C80</f>
        <v>1788228</v>
      </c>
      <c r="D81" s="1502">
        <f>'Sources and Uses Budget'!C80</f>
        <v>1788228</v>
      </c>
      <c r="E81" s="524">
        <f t="shared" si="2"/>
        <v>0</v>
      </c>
      <c r="F81" s="523"/>
      <c r="G81" s="523"/>
    </row>
    <row r="82" spans="1:7" s="900" customFormat="1" ht="12.75">
      <c r="A82" s="1490" t="s">
        <v>573</v>
      </c>
      <c r="B82" s="520"/>
      <c r="C82" s="520"/>
      <c r="D82" s="520"/>
      <c r="E82" s="520"/>
      <c r="F82" s="520"/>
      <c r="G82" s="520"/>
    </row>
    <row r="83" spans="1:7" s="900" customFormat="1" ht="12.75">
      <c r="A83" s="369" t="s">
        <v>574</v>
      </c>
      <c r="B83" s="522">
        <f>'Sources and Uses Budget'!C82</f>
        <v>126600</v>
      </c>
      <c r="C83" s="522">
        <f>'Sources and Uses Budget'!C82</f>
        <v>126600</v>
      </c>
      <c r="D83" s="522">
        <f>'Sources and Uses Budget'!C82</f>
        <v>126600</v>
      </c>
      <c r="E83" s="524">
        <f t="shared" si="2"/>
        <v>0</v>
      </c>
      <c r="F83" s="523"/>
      <c r="G83" s="523"/>
    </row>
    <row r="84" spans="1:7" s="900" customFormat="1" ht="12.75">
      <c r="A84" s="369" t="s">
        <v>575</v>
      </c>
      <c r="B84" s="522">
        <f>'Sources and Uses Budget'!C83</f>
        <v>15000</v>
      </c>
      <c r="C84" s="522">
        <f>'Sources and Uses Budget'!C83</f>
        <v>15000</v>
      </c>
      <c r="D84" s="522">
        <f>'Sources and Uses Budget'!C83</f>
        <v>15000</v>
      </c>
      <c r="E84" s="524">
        <f t="shared" si="2"/>
        <v>0</v>
      </c>
      <c r="F84" s="523"/>
      <c r="G84" s="523"/>
    </row>
    <row r="85" spans="1:7" s="900" customFormat="1" ht="12.75">
      <c r="A85" s="369" t="s">
        <v>576</v>
      </c>
      <c r="B85" s="522">
        <f>'Sources and Uses Budget'!C84</f>
        <v>1278798</v>
      </c>
      <c r="C85" s="522">
        <f>'Sources and Uses Budget'!C84</f>
        <v>1278798</v>
      </c>
      <c r="D85" s="522">
        <f>'Sources and Uses Budget'!C84</f>
        <v>1278798</v>
      </c>
      <c r="E85" s="524">
        <f t="shared" si="2"/>
        <v>0</v>
      </c>
      <c r="F85" s="523"/>
      <c r="G85" s="523"/>
    </row>
    <row r="86" spans="1:7" s="900" customFormat="1" ht="12.75">
      <c r="A86" s="369" t="s">
        <v>577</v>
      </c>
      <c r="B86" s="522">
        <f>'Sources and Uses Budget'!C85</f>
        <v>118900</v>
      </c>
      <c r="C86" s="522">
        <f>'Sources and Uses Budget'!C85</f>
        <v>118900</v>
      </c>
      <c r="D86" s="522">
        <f>'Sources and Uses Budget'!C85</f>
        <v>118900</v>
      </c>
      <c r="E86" s="524">
        <f t="shared" si="2"/>
        <v>0</v>
      </c>
      <c r="F86" s="523"/>
      <c r="G86" s="523"/>
    </row>
    <row r="87" spans="1:7" s="900" customFormat="1" ht="12.75">
      <c r="A87" s="369" t="s">
        <v>578</v>
      </c>
      <c r="B87" s="522">
        <f>'Sources and Uses Budget'!C86</f>
        <v>0</v>
      </c>
      <c r="C87" s="522">
        <f>'Sources and Uses Budget'!C86</f>
        <v>0</v>
      </c>
      <c r="D87" s="522">
        <f>'Sources and Uses Budget'!C86</f>
        <v>0</v>
      </c>
      <c r="E87" s="524">
        <f t="shared" si="2"/>
        <v>0</v>
      </c>
      <c r="F87" s="523"/>
      <c r="G87" s="523"/>
    </row>
    <row r="88" spans="1:7" s="900" customFormat="1" ht="12.75">
      <c r="A88" s="369" t="s">
        <v>579</v>
      </c>
      <c r="B88" s="522">
        <f>'Sources and Uses Budget'!C87</f>
        <v>20000</v>
      </c>
      <c r="C88" s="522">
        <f>'Sources and Uses Budget'!C87</f>
        <v>20000</v>
      </c>
      <c r="D88" s="522">
        <f>'Sources and Uses Budget'!C87</f>
        <v>20000</v>
      </c>
      <c r="E88" s="524">
        <f t="shared" si="2"/>
        <v>0</v>
      </c>
      <c r="F88" s="523"/>
      <c r="G88" s="523"/>
    </row>
    <row r="89" spans="1:7" s="900" customFormat="1" ht="12.75">
      <c r="A89" s="369" t="s">
        <v>580</v>
      </c>
      <c r="B89" s="522">
        <f>'Sources and Uses Budget'!C88</f>
        <v>56500</v>
      </c>
      <c r="C89" s="522">
        <f>'Sources and Uses Budget'!C88</f>
        <v>56500</v>
      </c>
      <c r="D89" s="522">
        <f>'Sources and Uses Budget'!C88</f>
        <v>56500</v>
      </c>
      <c r="E89" s="524">
        <f t="shared" si="2"/>
        <v>0</v>
      </c>
      <c r="F89" s="523"/>
      <c r="G89" s="523"/>
    </row>
    <row r="90" spans="1:7" s="900" customFormat="1" ht="12.75">
      <c r="A90" s="369" t="s">
        <v>581</v>
      </c>
      <c r="B90" s="522">
        <f>'Sources and Uses Budget'!C89</f>
        <v>5000</v>
      </c>
      <c r="C90" s="522">
        <f>'Sources and Uses Budget'!C89</f>
        <v>5000</v>
      </c>
      <c r="D90" s="522">
        <f>'Sources and Uses Budget'!C89</f>
        <v>5000</v>
      </c>
      <c r="E90" s="524">
        <f t="shared" si="2"/>
        <v>0</v>
      </c>
      <c r="F90" s="523"/>
      <c r="G90" s="523"/>
    </row>
    <row r="91" spans="1:7" s="900" customFormat="1" ht="12.75">
      <c r="A91" s="380" t="s">
        <v>1455</v>
      </c>
      <c r="B91" s="522">
        <f>'Sources and Uses Budget'!C90</f>
        <v>0</v>
      </c>
      <c r="C91" s="522">
        <f>'Sources and Uses Budget'!C90</f>
        <v>0</v>
      </c>
      <c r="D91" s="522">
        <f>'Sources and Uses Budget'!C90</f>
        <v>0</v>
      </c>
      <c r="E91" s="524">
        <f t="shared" si="2"/>
        <v>0</v>
      </c>
      <c r="F91" s="523"/>
      <c r="G91" s="523"/>
    </row>
    <row r="92" spans="1:7" s="900" customFormat="1" ht="12.75">
      <c r="A92" s="380" t="s">
        <v>1967</v>
      </c>
      <c r="B92" s="522">
        <f>'Sources and Uses Budget'!C91</f>
        <v>2500</v>
      </c>
      <c r="C92" s="522">
        <f>'Sources and Uses Budget'!C91</f>
        <v>2500</v>
      </c>
      <c r="D92" s="522">
        <f>'Sources and Uses Budget'!C91</f>
        <v>2500</v>
      </c>
      <c r="E92" s="524">
        <f t="shared" si="2"/>
        <v>0</v>
      </c>
      <c r="F92" s="523"/>
      <c r="G92" s="523"/>
    </row>
    <row r="93" spans="1:7" s="900" customFormat="1" ht="12.75">
      <c r="A93" s="376" t="s">
        <v>592</v>
      </c>
      <c r="B93" s="522">
        <f>'Sources and Uses Budget'!C92</f>
        <v>15000</v>
      </c>
      <c r="C93" s="522">
        <f>'Sources and Uses Budget'!C92</f>
        <v>15000</v>
      </c>
      <c r="D93" s="522">
        <f>'Sources and Uses Budget'!C92</f>
        <v>15000</v>
      </c>
      <c r="E93" s="524">
        <f t="shared" si="2"/>
        <v>0</v>
      </c>
      <c r="F93" s="523"/>
      <c r="G93" s="523"/>
    </row>
    <row r="94" spans="1:7" s="900" customFormat="1" ht="12.75">
      <c r="A94" s="376" t="s">
        <v>592</v>
      </c>
      <c r="B94" s="522">
        <f>'Sources and Uses Budget'!C93</f>
        <v>50000</v>
      </c>
      <c r="C94" s="522">
        <f>'Sources and Uses Budget'!C93</f>
        <v>50000</v>
      </c>
      <c r="D94" s="522">
        <f>'Sources and Uses Budget'!C93</f>
        <v>50000</v>
      </c>
      <c r="E94" s="524">
        <f t="shared" si="2"/>
        <v>0</v>
      </c>
      <c r="F94" s="523"/>
      <c r="G94" s="523"/>
    </row>
    <row r="95" spans="1:7" s="900" customFormat="1" ht="12.75">
      <c r="A95" s="376" t="s">
        <v>592</v>
      </c>
      <c r="B95" s="522">
        <f>'Sources and Uses Budget'!C94</f>
        <v>25000</v>
      </c>
      <c r="C95" s="522">
        <f>'Sources and Uses Budget'!C94</f>
        <v>25000</v>
      </c>
      <c r="D95" s="522">
        <f>'Sources and Uses Budget'!C94</f>
        <v>25000</v>
      </c>
      <c r="E95" s="524">
        <f t="shared" si="2"/>
        <v>0</v>
      </c>
      <c r="F95" s="523"/>
      <c r="G95" s="523"/>
    </row>
    <row r="96" spans="1:7" s="900" customFormat="1" ht="12.75">
      <c r="A96" s="373" t="s">
        <v>582</v>
      </c>
      <c r="B96" s="1502">
        <f>'Sources and Uses Budget'!C95</f>
        <v>1713298</v>
      </c>
      <c r="C96" s="1502">
        <f>'Sources and Uses Budget'!C95</f>
        <v>1713298</v>
      </c>
      <c r="D96" s="1502">
        <f>'Sources and Uses Budget'!C95</f>
        <v>1713298</v>
      </c>
      <c r="E96" s="524">
        <f t="shared" si="2"/>
        <v>0</v>
      </c>
      <c r="F96" s="523"/>
      <c r="G96" s="523"/>
    </row>
    <row r="97" spans="1:7" s="899" customFormat="1" ht="12.75">
      <c r="A97" s="373" t="s">
        <v>583</v>
      </c>
      <c r="B97" s="1502">
        <f>'Sources and Uses Budget'!C96</f>
        <v>25094141</v>
      </c>
      <c r="C97" s="1502">
        <f>'Sources and Uses Budget'!C96</f>
        <v>25094141</v>
      </c>
      <c r="D97" s="1502">
        <f>'Sources and Uses Budget'!C96</f>
        <v>25094141</v>
      </c>
      <c r="E97" s="524">
        <f t="shared" si="2"/>
        <v>0</v>
      </c>
      <c r="F97" s="523"/>
      <c r="G97" s="523"/>
    </row>
    <row r="98" spans="1:7" s="899" customFormat="1" ht="12.75">
      <c r="A98" s="1490" t="s">
        <v>584</v>
      </c>
      <c r="B98" s="520"/>
      <c r="C98" s="520"/>
      <c r="D98" s="520"/>
      <c r="E98" s="520"/>
      <c r="F98" s="520"/>
      <c r="G98" s="520"/>
    </row>
    <row r="99" spans="1:7" s="899" customFormat="1" ht="12.75">
      <c r="A99" s="369" t="s">
        <v>585</v>
      </c>
      <c r="B99" s="522">
        <f>'Sources and Uses Budget'!C98</f>
        <v>2200000</v>
      </c>
      <c r="C99" s="522">
        <f>'Sources and Uses Budget'!C98</f>
        <v>2200000</v>
      </c>
      <c r="D99" s="522">
        <f>'Sources and Uses Budget'!C98</f>
        <v>2200000</v>
      </c>
      <c r="E99" s="524">
        <f t="shared" si="2"/>
        <v>0</v>
      </c>
      <c r="F99" s="523"/>
      <c r="G99" s="523"/>
    </row>
    <row r="100" spans="1:7" s="899" customFormat="1" ht="12" customHeight="1">
      <c r="A100" s="369" t="s">
        <v>2311</v>
      </c>
      <c r="B100" s="522">
        <f>'Sources and Uses Budget'!C99</f>
        <v>0</v>
      </c>
      <c r="C100" s="522">
        <f>'Sources and Uses Budget'!C99</f>
        <v>0</v>
      </c>
      <c r="D100" s="522">
        <f>'Sources and Uses Budget'!C99</f>
        <v>0</v>
      </c>
      <c r="E100" s="524">
        <f t="shared" si="2"/>
        <v>0</v>
      </c>
      <c r="F100" s="523"/>
      <c r="G100" s="523"/>
    </row>
    <row r="101" spans="1:7" s="899" customFormat="1" ht="12.75">
      <c r="A101" s="369" t="s">
        <v>586</v>
      </c>
      <c r="B101" s="522">
        <f>'Sources and Uses Budget'!C100</f>
        <v>0</v>
      </c>
      <c r="C101" s="522">
        <f>'Sources and Uses Budget'!C100</f>
        <v>0</v>
      </c>
      <c r="D101" s="522">
        <f>'Sources and Uses Budget'!C100</f>
        <v>0</v>
      </c>
      <c r="E101" s="524">
        <f t="shared" si="2"/>
        <v>0</v>
      </c>
      <c r="F101" s="523"/>
      <c r="G101" s="523"/>
    </row>
    <row r="102" spans="1:7" s="899" customFormat="1" ht="12.75">
      <c r="A102" s="369" t="s">
        <v>2312</v>
      </c>
      <c r="B102" s="522">
        <f>'Sources and Uses Budget'!C101</f>
        <v>0</v>
      </c>
      <c r="C102" s="522">
        <f>'Sources and Uses Budget'!C101</f>
        <v>0</v>
      </c>
      <c r="D102" s="522">
        <f>'Sources and Uses Budget'!C101</f>
        <v>0</v>
      </c>
      <c r="E102" s="524">
        <f t="shared" si="2"/>
        <v>0</v>
      </c>
      <c r="F102" s="523"/>
      <c r="G102" s="523"/>
    </row>
    <row r="103" spans="1:7" s="899" customFormat="1" ht="12.75">
      <c r="A103" s="1497" t="s">
        <v>592</v>
      </c>
      <c r="B103" s="522">
        <f>'Sources and Uses Budget'!C102</f>
        <v>0</v>
      </c>
      <c r="C103" s="522">
        <f>'Sources and Uses Budget'!C102</f>
        <v>0</v>
      </c>
      <c r="D103" s="522">
        <f>'Sources and Uses Budget'!C102</f>
        <v>0</v>
      </c>
      <c r="E103" s="524">
        <f t="shared" si="2"/>
        <v>0</v>
      </c>
      <c r="F103" s="523"/>
      <c r="G103" s="523"/>
    </row>
    <row r="104" spans="1:7" s="899" customFormat="1" ht="12.75">
      <c r="A104" s="1495" t="s">
        <v>587</v>
      </c>
      <c r="B104" s="1502">
        <f>'Sources and Uses Budget'!C103</f>
        <v>2200000</v>
      </c>
      <c r="C104" s="1502">
        <f>'Sources and Uses Budget'!C103</f>
        <v>2200000</v>
      </c>
      <c r="D104" s="1502">
        <f>'Sources and Uses Budget'!C103</f>
        <v>2200000</v>
      </c>
      <c r="E104" s="524">
        <f t="shared" si="2"/>
        <v>0</v>
      </c>
      <c r="F104" s="523"/>
      <c r="G104" s="523"/>
    </row>
    <row r="105" spans="1:7" s="899" customFormat="1" ht="12.75">
      <c r="A105" s="1495" t="s">
        <v>588</v>
      </c>
      <c r="B105" s="1502">
        <f>'Sources and Uses Budget'!C104</f>
        <v>27294141</v>
      </c>
      <c r="C105" s="1502">
        <f>'Sources and Uses Budget'!C104</f>
        <v>27294141</v>
      </c>
      <c r="D105" s="1502">
        <f>'Sources and Uses Budget'!C104</f>
        <v>27294141</v>
      </c>
      <c r="E105" s="524">
        <f t="shared" si="2"/>
        <v>0</v>
      </c>
      <c r="F105" s="523"/>
      <c r="G105" s="1501"/>
    </row>
    <row r="106" spans="1:7" s="899" customFormat="1" ht="12.75">
      <c r="A106" s="529" t="s">
        <v>589</v>
      </c>
      <c r="B106" s="565"/>
      <c r="C106" s="530"/>
      <c r="D106" s="531"/>
      <c r="E106" s="566"/>
      <c r="F106" s="521"/>
      <c r="G106" s="528"/>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zoomScaleNormal="100" zoomScaleSheetLayoutView="100" workbookViewId="0"/>
  </sheetViews>
  <sheetFormatPr defaultColWidth="0" defaultRowHeight="12.75" zeroHeight="1"/>
  <cols>
    <col min="1" max="10" width="9.140625" style="16" customWidth="1"/>
    <col min="11" max="16384" width="8.85546875" style="16" hidden="1"/>
  </cols>
  <sheetData>
    <row r="1" spans="1:10" ht="14.25" customHeight="1"/>
    <row r="2" spans="1:10" ht="15.75">
      <c r="A2" s="1572" t="s">
        <v>333</v>
      </c>
      <c r="B2" s="1573"/>
      <c r="C2" s="1573"/>
      <c r="D2" s="1573"/>
      <c r="E2" s="1573"/>
      <c r="F2" s="1573"/>
      <c r="G2" s="1573"/>
      <c r="H2" s="1573"/>
      <c r="I2" s="1573"/>
      <c r="J2" s="1573"/>
    </row>
    <row r="3" spans="1:10" ht="15">
      <c r="A3" s="1574" t="s">
        <v>2314</v>
      </c>
      <c r="B3" s="1573"/>
      <c r="C3" s="1573"/>
      <c r="D3" s="1573"/>
      <c r="E3" s="1573"/>
      <c r="F3" s="1573"/>
      <c r="G3" s="1573"/>
      <c r="H3" s="1573"/>
      <c r="I3" s="1573"/>
      <c r="J3" s="1573"/>
    </row>
    <row r="4" spans="1:10"/>
    <row r="5" spans="1:10">
      <c r="A5" s="1575" t="s">
        <v>2316</v>
      </c>
      <c r="B5" s="1576"/>
      <c r="C5" s="1576"/>
      <c r="D5" s="1576"/>
      <c r="E5" s="1576"/>
      <c r="F5" s="1576"/>
      <c r="G5" s="1576"/>
      <c r="H5" s="1576"/>
      <c r="I5" s="1576"/>
      <c r="J5" s="1576"/>
    </row>
    <row r="6" spans="1:10">
      <c r="A6" s="1576"/>
      <c r="B6" s="1576"/>
      <c r="C6" s="1576"/>
      <c r="D6" s="1576"/>
      <c r="E6" s="1576"/>
      <c r="F6" s="1576"/>
      <c r="G6" s="1576"/>
      <c r="H6" s="1576"/>
      <c r="I6" s="1576"/>
      <c r="J6" s="1576"/>
    </row>
    <row r="7" spans="1:10">
      <c r="A7" s="1576"/>
      <c r="B7" s="1576"/>
      <c r="C7" s="1576"/>
      <c r="D7" s="1576"/>
      <c r="E7" s="1576"/>
      <c r="F7" s="1576"/>
      <c r="G7" s="1576"/>
      <c r="H7" s="1576"/>
      <c r="I7" s="1576"/>
      <c r="J7" s="1576"/>
    </row>
    <row r="8" spans="1:10">
      <c r="A8" s="1576"/>
      <c r="B8" s="1576"/>
      <c r="C8" s="1576"/>
      <c r="D8" s="1576"/>
      <c r="E8" s="1576"/>
      <c r="F8" s="1576"/>
      <c r="G8" s="1576"/>
      <c r="H8" s="1576"/>
      <c r="I8" s="1576"/>
      <c r="J8" s="1576"/>
    </row>
    <row r="9" spans="1:10">
      <c r="A9" s="1127"/>
      <c r="B9" s="1127"/>
      <c r="C9" s="1127"/>
      <c r="D9" s="1127"/>
      <c r="E9" s="1127"/>
      <c r="F9" s="1127"/>
      <c r="G9" s="1127"/>
      <c r="H9" s="1127"/>
      <c r="I9" s="1127"/>
      <c r="J9" s="1127"/>
    </row>
    <row r="10" spans="1:10" ht="12.75" customHeight="1">
      <c r="A10" s="1504" t="s">
        <v>2317</v>
      </c>
      <c r="B10" s="1503"/>
      <c r="C10" s="1503"/>
      <c r="D10" s="1503"/>
      <c r="E10" s="1503"/>
      <c r="F10" s="1503"/>
      <c r="G10" s="1503"/>
      <c r="H10" s="1503"/>
      <c r="I10" s="1503"/>
      <c r="J10" s="1503"/>
    </row>
    <row r="11" spans="1:10"/>
    <row r="12" spans="1:10" ht="12.75" customHeight="1">
      <c r="A12" s="1575" t="s">
        <v>2129</v>
      </c>
      <c r="B12" s="1577"/>
      <c r="C12" s="1577"/>
      <c r="D12" s="1577"/>
      <c r="E12" s="1577"/>
      <c r="F12" s="1577"/>
      <c r="G12" s="1577"/>
      <c r="H12" s="1577"/>
      <c r="I12" s="1577"/>
      <c r="J12" s="1577"/>
    </row>
    <row r="13" spans="1:10" ht="12.75" customHeight="1">
      <c r="A13" s="1577"/>
      <c r="B13" s="1577"/>
      <c r="C13" s="1577"/>
      <c r="D13" s="1577"/>
      <c r="E13" s="1577"/>
      <c r="F13" s="1577"/>
      <c r="G13" s="1577"/>
      <c r="H13" s="1577"/>
      <c r="I13" s="1577"/>
      <c r="J13" s="1577"/>
    </row>
    <row r="14" spans="1:10">
      <c r="A14" s="1577"/>
      <c r="B14" s="1577"/>
      <c r="C14" s="1577"/>
      <c r="D14" s="1577"/>
      <c r="E14" s="1577"/>
      <c r="F14" s="1577"/>
      <c r="G14" s="1577"/>
      <c r="H14" s="1577"/>
      <c r="I14" s="1577"/>
      <c r="J14" s="1577"/>
    </row>
    <row r="15" spans="1:10">
      <c r="A15" s="1576"/>
      <c r="B15" s="1576"/>
      <c r="C15" s="1576"/>
      <c r="D15" s="1576"/>
      <c r="E15" s="1576"/>
      <c r="F15" s="1576"/>
      <c r="G15" s="1576"/>
      <c r="H15" s="1576"/>
      <c r="I15" s="1576"/>
      <c r="J15" s="1576"/>
    </row>
    <row r="16" spans="1:10">
      <c r="A16" s="1576"/>
      <c r="B16" s="1576"/>
      <c r="C16" s="1576"/>
      <c r="D16" s="1576"/>
      <c r="E16" s="1576"/>
      <c r="F16" s="1576"/>
      <c r="G16" s="1576"/>
      <c r="H16" s="1576"/>
      <c r="I16" s="1576"/>
      <c r="J16" s="1576"/>
    </row>
    <row r="17" spans="1:10">
      <c r="A17" s="1576"/>
      <c r="B17" s="1576"/>
      <c r="C17" s="1576"/>
      <c r="D17" s="1576"/>
      <c r="E17" s="1576"/>
      <c r="F17" s="1576"/>
      <c r="G17" s="1576"/>
      <c r="H17" s="1576"/>
      <c r="I17" s="1576"/>
      <c r="J17" s="1576"/>
    </row>
    <row r="18" spans="1:10">
      <c r="A18" s="40" t="s">
        <v>1148</v>
      </c>
      <c r="B18" s="1127"/>
      <c r="C18" s="1127"/>
      <c r="D18" s="1127"/>
      <c r="E18" s="1127"/>
      <c r="F18" s="1127"/>
      <c r="G18" s="1127"/>
      <c r="H18" s="1127"/>
      <c r="I18" s="1127"/>
      <c r="J18" s="1127"/>
    </row>
    <row r="19" spans="1:10">
      <c r="A19" s="1128" t="s">
        <v>255</v>
      </c>
      <c r="B19" s="1128"/>
      <c r="C19" s="1128"/>
      <c r="D19" s="1128"/>
      <c r="E19" s="1128"/>
      <c r="F19" s="1128"/>
      <c r="G19" s="1128"/>
      <c r="H19" s="1128"/>
      <c r="I19" s="1128"/>
      <c r="J19" s="1128"/>
    </row>
    <row r="20" spans="1:10">
      <c r="A20" s="1578" t="s">
        <v>1130</v>
      </c>
      <c r="B20" s="1573"/>
      <c r="C20" s="1573"/>
      <c r="D20" s="1573"/>
      <c r="E20" s="1573"/>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77" t="s">
        <v>1149</v>
      </c>
      <c r="B57" s="1576"/>
      <c r="C57" s="1576"/>
      <c r="D57" s="1576"/>
      <c r="E57" s="1576"/>
      <c r="F57" s="1576"/>
      <c r="G57" s="1576"/>
      <c r="H57" s="1576"/>
      <c r="I57" s="1576"/>
      <c r="J57" s="1576"/>
    </row>
    <row r="58" spans="1:10">
      <c r="A58" s="1576"/>
      <c r="B58" s="1576"/>
      <c r="C58" s="1576"/>
      <c r="D58" s="1576"/>
      <c r="E58" s="1576"/>
      <c r="F58" s="1576"/>
      <c r="G58" s="1576"/>
      <c r="H58" s="1576"/>
      <c r="I58" s="1576"/>
      <c r="J58" s="1576"/>
    </row>
    <row r="59" spans="1:10">
      <c r="A59" s="1576"/>
      <c r="B59" s="1576"/>
      <c r="C59" s="1576"/>
      <c r="D59" s="1576"/>
      <c r="E59" s="1576"/>
      <c r="F59" s="1576"/>
      <c r="G59" s="1576"/>
      <c r="H59" s="1576"/>
      <c r="I59" s="1576"/>
      <c r="J59" s="1576"/>
    </row>
    <row r="60" spans="1:10"/>
    <row r="61" spans="1:10">
      <c r="A61" s="8" t="s">
        <v>1130</v>
      </c>
    </row>
    <row r="62" spans="1:10"/>
    <row r="63" spans="1:10"/>
    <row r="64" spans="1:10"/>
    <row r="65" spans="1:9"/>
    <row r="66" spans="1:9"/>
    <row r="67" spans="1:9"/>
    <row r="68" spans="1:9"/>
    <row r="69" spans="1:9"/>
    <row r="70" spans="1:9"/>
    <row r="71" spans="1:9"/>
    <row r="72" spans="1:9">
      <c r="A72" s="1571" t="s">
        <v>1265</v>
      </c>
      <c r="B72" s="1571"/>
      <c r="C72" s="1571"/>
      <c r="D72" s="1571"/>
      <c r="E72" s="1571"/>
      <c r="F72" s="1571"/>
      <c r="G72" s="1571"/>
      <c r="H72" s="1571"/>
      <c r="I72" s="1571"/>
    </row>
    <row r="73" spans="1:9">
      <c r="A73" s="1570" t="s">
        <v>1425</v>
      </c>
      <c r="B73" s="1570"/>
      <c r="C73" s="1570"/>
      <c r="D73" s="1570"/>
      <c r="E73" s="1570"/>
      <c r="F73" s="1126"/>
    </row>
    <row r="74" spans="1:9">
      <c r="A74" s="1570" t="s">
        <v>1424</v>
      </c>
      <c r="B74" s="1570"/>
      <c r="C74" s="1570"/>
      <c r="D74" s="1570"/>
      <c r="E74" s="1570"/>
      <c r="F74" s="1126"/>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hyperlink ref="A73" r:id="rId3"/>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104775</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53"/>
  <sheetViews>
    <sheetView showGridLines="0" zoomScaleNormal="100" zoomScaleSheetLayoutView="100" workbookViewId="0">
      <selection activeCell="D109" sqref="D109:F116"/>
    </sheetView>
  </sheetViews>
  <sheetFormatPr defaultColWidth="0" defaultRowHeight="13.7" customHeight="1" zeroHeight="1"/>
  <cols>
    <col min="1" max="1" width="1.42578125" style="402" customWidth="1"/>
    <col min="2" max="2" width="13.42578125" style="402" customWidth="1"/>
    <col min="3" max="3" width="2.42578125" style="402" customWidth="1"/>
    <col min="4" max="5" width="3.42578125" style="329" customWidth="1"/>
    <col min="6" max="6" width="67" style="329" customWidth="1"/>
    <col min="7" max="7" width="3.28515625" style="329" customWidth="1"/>
    <col min="8" max="8" width="2.42578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617" t="s">
        <v>2305</v>
      </c>
      <c r="B2" s="1617"/>
      <c r="C2" s="1618"/>
      <c r="D2" s="1618"/>
      <c r="E2" s="1618"/>
      <c r="F2" s="1618"/>
      <c r="G2" s="1618"/>
      <c r="I2" s="2" t="s">
        <v>86</v>
      </c>
    </row>
    <row r="3" spans="1:9" ht="12.75">
      <c r="A3" s="298"/>
      <c r="B3" s="298"/>
      <c r="C3" s="13"/>
      <c r="D3" s="13"/>
      <c r="E3" s="13"/>
      <c r="F3" s="13"/>
      <c r="G3" s="708"/>
      <c r="I3" s="329" t="s">
        <v>1549</v>
      </c>
    </row>
    <row r="4" spans="1:9" ht="12.75">
      <c r="A4" s="1619" t="s">
        <v>1157</v>
      </c>
      <c r="B4" s="1619"/>
      <c r="C4" s="1620"/>
      <c r="D4" s="1620"/>
      <c r="E4" s="1620"/>
      <c r="F4" s="1620"/>
      <c r="G4" s="1620"/>
      <c r="I4" s="329" t="s">
        <v>1532</v>
      </c>
    </row>
    <row r="5" spans="1:9" ht="12.75">
      <c r="A5" s="1619" t="s">
        <v>1158</v>
      </c>
      <c r="B5" s="1619"/>
      <c r="C5" s="1620"/>
      <c r="D5" s="1620"/>
      <c r="E5" s="1620"/>
      <c r="F5" s="1620"/>
      <c r="G5" s="1620"/>
      <c r="I5" s="2" t="s">
        <v>136</v>
      </c>
    </row>
    <row r="6" spans="1:9" ht="13.7" customHeight="1">
      <c r="A6" s="14"/>
      <c r="B6" s="14"/>
      <c r="C6" s="14"/>
      <c r="D6" s="282"/>
      <c r="E6" s="282"/>
      <c r="F6" s="282"/>
    </row>
    <row r="7" spans="1:9" ht="12.75">
      <c r="A7" s="1621" t="s">
        <v>1587</v>
      </c>
      <c r="B7" s="1621"/>
      <c r="C7" s="1622"/>
      <c r="D7" s="1622"/>
      <c r="E7" s="1622"/>
      <c r="F7" s="1622"/>
      <c r="G7" s="1622"/>
    </row>
    <row r="8" spans="1:9" ht="12.75">
      <c r="A8" s="1621" t="s">
        <v>1588</v>
      </c>
      <c r="B8" s="1621"/>
      <c r="C8" s="1622"/>
      <c r="D8" s="1622"/>
      <c r="E8" s="1622"/>
      <c r="F8" s="1622"/>
      <c r="G8" s="1622"/>
    </row>
    <row r="9" spans="1:9" ht="12.75">
      <c r="A9" s="301"/>
      <c r="B9" s="301"/>
      <c r="C9" s="298"/>
      <c r="D9" s="298"/>
      <c r="E9" s="298"/>
      <c r="F9" s="298"/>
      <c r="G9" s="406"/>
    </row>
    <row r="10" spans="1:9" ht="12.75">
      <c r="A10" s="1623" t="s">
        <v>1736</v>
      </c>
      <c r="B10" s="1623"/>
      <c r="C10" s="1623"/>
      <c r="D10" s="1623"/>
      <c r="E10" s="1623"/>
      <c r="F10" s="1623"/>
      <c r="G10" s="1623"/>
    </row>
    <row r="11" spans="1:9" ht="12.75">
      <c r="A11" s="414"/>
      <c r="B11" s="414"/>
      <c r="C11" s="14"/>
      <c r="D11" s="282"/>
      <c r="E11" s="282"/>
      <c r="F11" s="282"/>
    </row>
    <row r="12" spans="1:9" ht="13.7" customHeight="1">
      <c r="A12" s="140"/>
      <c r="B12" s="140"/>
      <c r="C12" s="298"/>
      <c r="D12" s="1624" t="s">
        <v>1735</v>
      </c>
      <c r="E12" s="1624"/>
      <c r="F12" s="1624"/>
      <c r="G12" s="949"/>
    </row>
    <row r="13" spans="1:9" ht="12.75">
      <c r="A13" s="140"/>
      <c r="B13" s="140"/>
      <c r="C13" s="298"/>
      <c r="D13" s="1624"/>
      <c r="E13" s="1624"/>
      <c r="F13" s="1624"/>
      <c r="G13" s="949"/>
    </row>
    <row r="14" spans="1:9" ht="12.75">
      <c r="A14" s="415"/>
      <c r="B14" s="415"/>
      <c r="C14" s="299"/>
      <c r="D14" s="1583" t="s">
        <v>1574</v>
      </c>
      <c r="E14" s="1583"/>
      <c r="F14" s="1583"/>
      <c r="G14" s="483"/>
    </row>
    <row r="15" spans="1:9" ht="12.75">
      <c r="A15" s="415"/>
      <c r="B15" s="415"/>
      <c r="C15" s="299"/>
      <c r="D15" s="282"/>
      <c r="E15" s="282"/>
      <c r="F15" s="282"/>
    </row>
    <row r="16" spans="1:9" ht="14.45" customHeight="1">
      <c r="A16" s="413"/>
      <c r="B16" s="948" t="s">
        <v>1532</v>
      </c>
      <c r="C16" s="299"/>
      <c r="D16" s="1581" t="s">
        <v>1531</v>
      </c>
      <c r="E16" s="1581"/>
      <c r="F16" s="1581"/>
      <c r="G16" s="567"/>
    </row>
    <row r="17" spans="1:7" ht="14.45" customHeight="1">
      <c r="A17" s="413"/>
      <c r="B17" s="14"/>
      <c r="C17" s="299"/>
      <c r="D17" s="1581"/>
      <c r="E17" s="1581"/>
      <c r="F17" s="1581"/>
      <c r="G17" s="567"/>
    </row>
    <row r="18" spans="1:7" ht="12.75">
      <c r="A18" s="415"/>
      <c r="B18" s="14"/>
      <c r="C18" s="299"/>
      <c r="D18" s="1581"/>
      <c r="E18" s="1581"/>
      <c r="F18" s="1581"/>
      <c r="G18" s="567"/>
    </row>
    <row r="19" spans="1:7" ht="12.75">
      <c r="A19" s="415"/>
      <c r="B19" s="415"/>
      <c r="C19" s="299"/>
      <c r="D19" s="282"/>
      <c r="E19" s="282"/>
      <c r="F19" s="282"/>
    </row>
    <row r="20" spans="1:7" ht="14.25">
      <c r="A20" s="413"/>
      <c r="B20" s="948" t="s">
        <v>1532</v>
      </c>
      <c r="C20" s="14"/>
      <c r="D20" s="1590" t="s">
        <v>1565</v>
      </c>
      <c r="E20" s="1590"/>
      <c r="F20" s="1590"/>
    </row>
    <row r="21" spans="1:7" ht="14.25">
      <c r="A21" s="413"/>
      <c r="B21" s="413"/>
      <c r="C21" s="14"/>
      <c r="D21" s="287"/>
      <c r="E21" s="282"/>
      <c r="F21" s="282"/>
    </row>
    <row r="22" spans="1:7" ht="14.25">
      <c r="A22" s="413"/>
      <c r="B22" s="948" t="s">
        <v>136</v>
      </c>
      <c r="C22" s="14"/>
      <c r="D22" s="1581" t="s">
        <v>1566</v>
      </c>
      <c r="E22" s="1581"/>
      <c r="F22" s="1581"/>
    </row>
    <row r="23" spans="1:7" ht="14.25">
      <c r="A23" s="413"/>
      <c r="B23" s="413"/>
      <c r="C23" s="14"/>
      <c r="D23" s="1581"/>
      <c r="E23" s="1581"/>
      <c r="F23" s="1581"/>
    </row>
    <row r="24" spans="1:7" ht="14.25">
      <c r="A24" s="413"/>
      <c r="B24" s="413"/>
      <c r="C24" s="14"/>
      <c r="D24" s="287"/>
      <c r="E24" s="282"/>
      <c r="F24" s="282"/>
    </row>
    <row r="25" spans="1:7" ht="14.25" customHeight="1">
      <c r="A25" s="569"/>
      <c r="B25" s="948" t="s">
        <v>1532</v>
      </c>
      <c r="D25" s="1614" t="s">
        <v>1568</v>
      </c>
      <c r="E25" s="1614"/>
      <c r="F25" s="1614"/>
    </row>
    <row r="26" spans="1:7" ht="14.25">
      <c r="A26" s="569"/>
      <c r="B26" s="569"/>
      <c r="D26" s="1614"/>
      <c r="E26" s="1614"/>
      <c r="F26" s="1614"/>
    </row>
    <row r="27" spans="1:7" ht="14.25">
      <c r="A27" s="569"/>
      <c r="B27" s="569"/>
      <c r="D27" s="1614"/>
      <c r="E27" s="1614"/>
      <c r="F27" s="1614"/>
    </row>
    <row r="28" spans="1:7" ht="14.25">
      <c r="A28" s="569"/>
      <c r="B28" s="569"/>
      <c r="D28" s="1614"/>
      <c r="E28" s="1614"/>
      <c r="F28" s="1614"/>
    </row>
    <row r="29" spans="1:7" ht="14.25">
      <c r="A29" s="569"/>
      <c r="B29" s="569"/>
      <c r="D29" s="1614"/>
      <c r="E29" s="1614"/>
      <c r="F29" s="1614"/>
    </row>
    <row r="30" spans="1:7" ht="14.25">
      <c r="A30" s="569"/>
      <c r="B30" s="569"/>
      <c r="D30" s="908"/>
      <c r="F30" s="953"/>
    </row>
    <row r="31" spans="1:7" ht="14.45" customHeight="1">
      <c r="A31" s="569"/>
      <c r="B31" s="948" t="s">
        <v>1532</v>
      </c>
      <c r="D31" s="1625" t="s">
        <v>1567</v>
      </c>
      <c r="E31" s="1625"/>
      <c r="F31" s="1625"/>
    </row>
    <row r="32" spans="1:7" ht="14.25">
      <c r="A32" s="569"/>
      <c r="B32" s="569"/>
      <c r="D32" s="1625"/>
      <c r="E32" s="1625"/>
      <c r="F32" s="1625"/>
    </row>
    <row r="33" spans="1:6" ht="14.25">
      <c r="A33" s="413"/>
      <c r="B33" s="413"/>
      <c r="C33" s="14"/>
      <c r="D33" s="952"/>
      <c r="E33" s="952"/>
      <c r="F33" s="952"/>
    </row>
    <row r="34" spans="1:6" ht="14.25">
      <c r="A34" s="413"/>
      <c r="B34" s="948" t="s">
        <v>136</v>
      </c>
      <c r="C34" s="14"/>
      <c r="D34" s="1626" t="s">
        <v>1980</v>
      </c>
      <c r="E34" s="1625"/>
      <c r="F34" s="1625"/>
    </row>
    <row r="35" spans="1:6" ht="14.25">
      <c r="A35" s="413"/>
      <c r="B35" s="413"/>
      <c r="C35" s="14"/>
      <c r="D35" s="1625"/>
      <c r="E35" s="1625"/>
      <c r="F35" s="1625"/>
    </row>
    <row r="36" spans="1:6" ht="14.25">
      <c r="A36" s="413"/>
      <c r="B36" s="413"/>
      <c r="C36" s="14"/>
      <c r="D36" s="1625"/>
      <c r="E36" s="1625"/>
      <c r="F36" s="1625"/>
    </row>
    <row r="37" spans="1:6" ht="14.25">
      <c r="A37" s="413"/>
      <c r="B37" s="413"/>
      <c r="C37" s="14"/>
      <c r="D37" s="1625"/>
      <c r="E37" s="1625"/>
      <c r="F37" s="1625"/>
    </row>
    <row r="38" spans="1:6" ht="14.25">
      <c r="A38" s="413"/>
      <c r="B38" s="413"/>
      <c r="C38" s="14"/>
      <c r="D38" s="1625"/>
      <c r="E38" s="1625"/>
      <c r="F38" s="1625"/>
    </row>
    <row r="39" spans="1:6" ht="14.25">
      <c r="A39" s="413"/>
      <c r="B39" s="413"/>
      <c r="C39" s="14"/>
      <c r="D39" s="1625"/>
      <c r="E39" s="1625"/>
      <c r="F39" s="1625"/>
    </row>
    <row r="40" spans="1:6" ht="14.25">
      <c r="A40" s="413"/>
      <c r="B40" s="413"/>
      <c r="C40" s="14"/>
      <c r="D40" s="1625"/>
      <c r="E40" s="1625"/>
      <c r="F40" s="1625"/>
    </row>
    <row r="41" spans="1:6" ht="14.25">
      <c r="A41" s="413"/>
      <c r="B41" s="413"/>
      <c r="C41" s="14"/>
      <c r="D41" s="1625"/>
      <c r="E41" s="1625"/>
      <c r="F41" s="1625"/>
    </row>
    <row r="42" spans="1:6" ht="14.25">
      <c r="A42" s="413"/>
      <c r="B42" s="413"/>
      <c r="C42" s="14"/>
      <c r="D42" s="955"/>
      <c r="E42" s="955"/>
      <c r="F42" s="955"/>
    </row>
    <row r="43" spans="1:6" ht="14.45" customHeight="1">
      <c r="A43" s="413"/>
      <c r="B43" s="948" t="s">
        <v>1532</v>
      </c>
      <c r="C43" s="14"/>
      <c r="D43" s="1625" t="s">
        <v>1609</v>
      </c>
      <c r="E43" s="1625"/>
      <c r="F43" s="1625"/>
    </row>
    <row r="44" spans="1:6" ht="14.25">
      <c r="A44" s="413"/>
      <c r="B44" s="413"/>
      <c r="C44" s="14"/>
      <c r="D44" s="1625"/>
      <c r="E44" s="1625"/>
      <c r="F44" s="1625"/>
    </row>
    <row r="45" spans="1:6" ht="14.25">
      <c r="A45" s="413"/>
      <c r="B45" s="413"/>
      <c r="C45" s="14"/>
      <c r="D45" s="1625"/>
      <c r="E45" s="1625"/>
      <c r="F45" s="1625"/>
    </row>
    <row r="46" spans="1:6" ht="14.25">
      <c r="A46" s="413"/>
      <c r="B46" s="413"/>
      <c r="C46" s="14"/>
      <c r="D46" s="1625"/>
      <c r="E46" s="1625"/>
      <c r="F46" s="1625"/>
    </row>
    <row r="47" spans="1:6" ht="14.25">
      <c r="A47" s="413"/>
      <c r="B47" s="413"/>
      <c r="C47" s="14"/>
      <c r="D47" s="1625"/>
      <c r="E47" s="1625"/>
      <c r="F47" s="1625"/>
    </row>
    <row r="48" spans="1:6" ht="14.25">
      <c r="A48" s="413"/>
      <c r="B48" s="413"/>
      <c r="C48" s="14"/>
      <c r="D48" s="403"/>
    </row>
    <row r="49" spans="1:6" ht="14.25">
      <c r="A49" s="413"/>
      <c r="B49" s="948" t="s">
        <v>136</v>
      </c>
      <c r="C49" s="14"/>
      <c r="D49" s="1626" t="s">
        <v>2149</v>
      </c>
      <c r="E49" s="1625"/>
      <c r="F49" s="1625"/>
    </row>
    <row r="50" spans="1:6" ht="14.25">
      <c r="A50" s="413"/>
      <c r="B50" s="413"/>
      <c r="C50" s="14"/>
      <c r="D50" s="1625"/>
      <c r="E50" s="1625"/>
      <c r="F50" s="1625"/>
    </row>
    <row r="51" spans="1:6" ht="14.25">
      <c r="A51" s="413"/>
      <c r="B51" s="413"/>
      <c r="C51" s="14"/>
      <c r="D51" s="1625"/>
      <c r="E51" s="1625"/>
      <c r="F51" s="1625"/>
    </row>
    <row r="52" spans="1:6" ht="14.25">
      <c r="A52" s="413"/>
      <c r="B52" s="413"/>
      <c r="C52" s="14"/>
      <c r="D52" s="1625"/>
      <c r="E52" s="1625"/>
      <c r="F52" s="1625"/>
    </row>
    <row r="53" spans="1:6" ht="14.25">
      <c r="A53" s="413"/>
      <c r="B53" s="413"/>
      <c r="C53" s="14"/>
      <c r="D53" s="1625"/>
      <c r="E53" s="1625"/>
      <c r="F53" s="1625"/>
    </row>
    <row r="54" spans="1:6" ht="15" customHeight="1">
      <c r="A54" s="413"/>
      <c r="B54" s="413"/>
      <c r="C54" s="14"/>
      <c r="D54" s="1625"/>
      <c r="E54" s="1625"/>
      <c r="F54" s="1625"/>
    </row>
    <row r="55" spans="1:6" ht="14.25">
      <c r="A55" s="413"/>
      <c r="B55" s="413"/>
      <c r="C55" s="14"/>
      <c r="D55" s="2"/>
    </row>
    <row r="56" spans="1:6" ht="14.25">
      <c r="A56" s="413"/>
      <c r="B56" s="948" t="s">
        <v>136</v>
      </c>
      <c r="C56" s="14"/>
      <c r="D56" s="1626" t="s">
        <v>2202</v>
      </c>
      <c r="E56" s="1625"/>
      <c r="F56" s="1625"/>
    </row>
    <row r="57" spans="1:6" ht="14.25">
      <c r="A57" s="413"/>
      <c r="B57" s="413"/>
      <c r="C57" s="14"/>
      <c r="D57" s="1625"/>
      <c r="E57" s="1625"/>
      <c r="F57" s="1625"/>
    </row>
    <row r="58" spans="1:6" ht="14.25">
      <c r="A58" s="413"/>
      <c r="B58" s="413"/>
      <c r="C58" s="14"/>
      <c r="D58" s="1625"/>
      <c r="E58" s="1625"/>
      <c r="F58" s="1625"/>
    </row>
    <row r="59" spans="1:6" ht="14.25">
      <c r="A59" s="413"/>
      <c r="B59" s="413"/>
      <c r="C59" s="14"/>
      <c r="D59" s="1625"/>
      <c r="E59" s="1625"/>
      <c r="F59" s="1625"/>
    </row>
    <row r="60" spans="1:6" ht="17.25" customHeight="1">
      <c r="A60" s="413"/>
      <c r="B60" s="413"/>
      <c r="C60" s="14"/>
      <c r="D60" s="1625"/>
      <c r="E60" s="1625"/>
      <c r="F60" s="1625"/>
    </row>
    <row r="61" spans="1:6" ht="14.25" customHeight="1">
      <c r="A61" s="413"/>
      <c r="B61" s="948" t="s">
        <v>136</v>
      </c>
      <c r="C61" s="14"/>
      <c r="D61" s="1579" t="s">
        <v>1614</v>
      </c>
      <c r="E61" s="1579"/>
      <c r="F61" s="1579"/>
    </row>
    <row r="62" spans="1:6" ht="15" customHeight="1">
      <c r="A62" s="413"/>
      <c r="B62" s="413"/>
      <c r="C62" s="14"/>
      <c r="D62" s="1579"/>
      <c r="E62" s="1579"/>
      <c r="F62" s="1579"/>
    </row>
    <row r="63" spans="1:6" ht="21.6" customHeight="1">
      <c r="A63" s="413"/>
      <c r="B63" s="413"/>
      <c r="C63" s="14"/>
      <c r="D63" s="1579"/>
      <c r="E63" s="1579"/>
      <c r="F63" s="1579"/>
    </row>
    <row r="64" spans="1:6" ht="14.25">
      <c r="A64" s="413"/>
      <c r="B64" s="413"/>
      <c r="C64" s="14"/>
      <c r="D64" s="136"/>
    </row>
    <row r="65" spans="1:6" ht="14.25">
      <c r="A65" s="569"/>
      <c r="B65" s="948" t="s">
        <v>1532</v>
      </c>
      <c r="D65" s="1625" t="s">
        <v>1615</v>
      </c>
      <c r="E65" s="1625"/>
      <c r="F65" s="1625"/>
    </row>
    <row r="66" spans="1:6" ht="14.25">
      <c r="A66" s="569"/>
      <c r="B66" s="569"/>
      <c r="D66" s="1625"/>
      <c r="E66" s="1625"/>
      <c r="F66" s="1625"/>
    </row>
    <row r="67" spans="1:6" ht="14.25">
      <c r="A67" s="413"/>
      <c r="B67" s="413"/>
      <c r="C67" s="14"/>
      <c r="D67" s="136"/>
    </row>
    <row r="68" spans="1:6" ht="14.25">
      <c r="A68" s="413"/>
      <c r="B68" s="948" t="s">
        <v>136</v>
      </c>
      <c r="C68" s="14"/>
      <c r="D68" s="1625" t="s">
        <v>1734</v>
      </c>
      <c r="E68" s="1625"/>
      <c r="F68" s="1625"/>
    </row>
    <row r="69" spans="1:6" ht="12.75">
      <c r="A69" s="140"/>
      <c r="B69" s="140"/>
      <c r="C69" s="14"/>
      <c r="D69" s="1625"/>
      <c r="E69" s="1625"/>
      <c r="F69" s="1625"/>
    </row>
    <row r="70" spans="1:6" ht="12.75">
      <c r="A70" s="140"/>
      <c r="B70" s="140"/>
      <c r="C70" s="14"/>
      <c r="D70" s="1625"/>
      <c r="E70" s="1625"/>
      <c r="F70" s="1625"/>
    </row>
    <row r="71" spans="1:6" ht="12.75">
      <c r="A71" s="140"/>
      <c r="B71" s="140"/>
      <c r="C71" s="14"/>
      <c r="D71" s="282"/>
      <c r="E71" s="282"/>
      <c r="F71" s="282"/>
    </row>
    <row r="72" spans="1:6" ht="14.25">
      <c r="A72" s="413" t="s">
        <v>255</v>
      </c>
      <c r="B72" s="948" t="s">
        <v>136</v>
      </c>
      <c r="C72" s="14"/>
      <c r="D72" s="1625" t="s">
        <v>1616</v>
      </c>
      <c r="E72" s="1625"/>
      <c r="F72" s="1625"/>
    </row>
    <row r="73" spans="1:6" ht="12.75">
      <c r="A73" s="140"/>
      <c r="B73" s="140"/>
      <c r="C73" s="14"/>
      <c r="D73" s="1625"/>
      <c r="E73" s="1625"/>
      <c r="F73" s="1625"/>
    </row>
    <row r="74" spans="1:6" ht="12.75">
      <c r="A74" s="140"/>
      <c r="B74" s="140"/>
      <c r="C74" s="14"/>
      <c r="D74" s="282"/>
      <c r="E74" s="282"/>
      <c r="F74" s="282"/>
    </row>
    <row r="75" spans="1:6" ht="14.25">
      <c r="A75" s="413" t="s">
        <v>255</v>
      </c>
      <c r="B75" s="948" t="s">
        <v>1532</v>
      </c>
      <c r="C75" s="14"/>
      <c r="D75" s="1625" t="s">
        <v>1617</v>
      </c>
      <c r="E75" s="1625"/>
      <c r="F75" s="1625"/>
    </row>
    <row r="76" spans="1:6" ht="12.75">
      <c r="A76" s="140"/>
      <c r="B76" s="140"/>
      <c r="C76" s="14"/>
      <c r="D76" s="1625"/>
      <c r="E76" s="1625"/>
      <c r="F76" s="1625"/>
    </row>
    <row r="77" spans="1:6" ht="12.75">
      <c r="A77" s="140"/>
      <c r="B77" s="140"/>
      <c r="C77" s="14"/>
      <c r="D77" s="1625"/>
      <c r="E77" s="1625"/>
      <c r="F77" s="1625"/>
    </row>
    <row r="78" spans="1:6" ht="12.75">
      <c r="A78" s="140"/>
      <c r="B78" s="140"/>
      <c r="C78" s="14"/>
      <c r="D78" s="403"/>
      <c r="E78" s="282"/>
      <c r="F78" s="282"/>
    </row>
    <row r="79" spans="1:6" ht="14.25">
      <c r="A79" s="413" t="s">
        <v>255</v>
      </c>
      <c r="B79" s="948" t="s">
        <v>1532</v>
      </c>
      <c r="C79" s="14"/>
      <c r="D79" s="1581" t="s">
        <v>1618</v>
      </c>
      <c r="E79" s="1581"/>
      <c r="F79" s="1581"/>
    </row>
    <row r="80" spans="1:6" ht="12.75">
      <c r="A80" s="140"/>
      <c r="B80" s="140"/>
      <c r="C80" s="14"/>
      <c r="D80" s="1581"/>
      <c r="E80" s="1581"/>
      <c r="F80" s="1581"/>
    </row>
    <row r="81" spans="1:7" ht="12.75">
      <c r="A81" s="140"/>
      <c r="B81" s="140"/>
      <c r="C81" s="14"/>
      <c r="D81" s="282"/>
      <c r="E81" s="282"/>
      <c r="F81" s="282"/>
    </row>
    <row r="82" spans="1:7" ht="12.75">
      <c r="A82" s="1597" t="s">
        <v>1537</v>
      </c>
      <c r="B82" s="1597"/>
      <c r="C82" s="1597"/>
      <c r="D82" s="1597"/>
      <c r="E82" s="1597"/>
      <c r="F82" s="1597"/>
      <c r="G82" s="1597"/>
    </row>
    <row r="83" spans="1:7" ht="12.75">
      <c r="A83" s="140"/>
      <c r="B83" s="140"/>
      <c r="C83" s="14"/>
      <c r="D83" s="282"/>
      <c r="E83" s="2"/>
      <c r="F83" s="2"/>
      <c r="G83" s="2"/>
    </row>
    <row r="84" spans="1:7" ht="13.7" customHeight="1">
      <c r="A84" s="140"/>
      <c r="B84" s="140"/>
      <c r="C84" s="924"/>
      <c r="D84" s="1616" t="s">
        <v>1538</v>
      </c>
      <c r="E84" s="1616"/>
      <c r="F84" s="1616"/>
      <c r="G84" s="2"/>
    </row>
    <row r="85" spans="1:7" ht="13.7" customHeight="1">
      <c r="A85" s="143"/>
      <c r="B85" s="143"/>
      <c r="C85" s="14"/>
      <c r="D85" s="1581" t="s">
        <v>1737</v>
      </c>
      <c r="E85" s="1581"/>
      <c r="F85" s="1581"/>
      <c r="G85" s="2"/>
    </row>
    <row r="86" spans="1:7" ht="12.75">
      <c r="A86" s="143"/>
      <c r="B86" s="143"/>
      <c r="C86" s="14"/>
      <c r="D86" s="282"/>
      <c r="E86" s="2"/>
      <c r="F86" s="2"/>
      <c r="G86" s="2"/>
    </row>
    <row r="87" spans="1:7" ht="14.25" customHeight="1">
      <c r="A87" s="413"/>
      <c r="B87" s="948" t="s">
        <v>1532</v>
      </c>
      <c r="C87" s="14"/>
      <c r="D87" s="1580" t="s">
        <v>2118</v>
      </c>
      <c r="E87" s="1580"/>
      <c r="F87" s="1580"/>
      <c r="G87" s="2"/>
    </row>
    <row r="88" spans="1:7" ht="14.45" customHeight="1">
      <c r="A88" s="413"/>
      <c r="B88" s="14"/>
      <c r="C88" s="14"/>
      <c r="D88" s="1580"/>
      <c r="E88" s="1580"/>
      <c r="F88" s="1580"/>
      <c r="G88" s="2"/>
    </row>
    <row r="89" spans="1:7" ht="14.25">
      <c r="A89" s="413"/>
      <c r="B89" s="413"/>
      <c r="C89" s="14"/>
      <c r="D89" s="1580"/>
      <c r="E89" s="1580"/>
      <c r="F89" s="1580"/>
      <c r="G89" s="2"/>
    </row>
    <row r="90" spans="1:7" ht="14.25">
      <c r="A90" s="413"/>
      <c r="B90" s="413"/>
      <c r="C90" s="14"/>
      <c r="D90" s="1580"/>
      <c r="E90" s="1580"/>
      <c r="F90" s="1580"/>
      <c r="G90" s="2"/>
    </row>
    <row r="91" spans="1:7" ht="14.25">
      <c r="A91" s="413"/>
      <c r="B91" s="413"/>
      <c r="C91" s="14"/>
      <c r="D91" s="1580"/>
      <c r="E91" s="1580"/>
      <c r="F91" s="1580"/>
      <c r="G91" s="2"/>
    </row>
    <row r="92" spans="1:7" ht="14.25">
      <c r="A92" s="413"/>
      <c r="B92" s="413"/>
      <c r="C92" s="14"/>
      <c r="D92" s="1580"/>
      <c r="E92" s="1580"/>
      <c r="F92" s="1580"/>
      <c r="G92" s="2"/>
    </row>
    <row r="93" spans="1:7" ht="14.25">
      <c r="A93" s="413"/>
      <c r="B93" s="413"/>
      <c r="C93" s="14"/>
      <c r="D93" s="1580"/>
      <c r="E93" s="1580"/>
      <c r="F93" s="1580"/>
      <c r="G93" s="2"/>
    </row>
    <row r="94" spans="1:7" ht="14.25">
      <c r="A94" s="413"/>
      <c r="B94" s="413"/>
      <c r="C94" s="14"/>
      <c r="D94" s="1580"/>
      <c r="E94" s="1580"/>
      <c r="F94" s="1580"/>
      <c r="G94" s="2"/>
    </row>
    <row r="95" spans="1:7" ht="14.25">
      <c r="A95" s="413"/>
      <c r="B95" s="413"/>
      <c r="C95" s="14"/>
      <c r="D95" s="1580"/>
      <c r="E95" s="1580"/>
      <c r="F95" s="1580"/>
      <c r="G95" s="2"/>
    </row>
    <row r="96" spans="1:7" ht="14.45" customHeight="1">
      <c r="A96" s="413"/>
      <c r="B96" s="981" t="s">
        <v>136</v>
      </c>
      <c r="C96" s="14"/>
      <c r="D96" s="1586" t="s">
        <v>2119</v>
      </c>
      <c r="E96" s="1586"/>
      <c r="F96" s="1586"/>
      <c r="G96" s="2"/>
    </row>
    <row r="97" spans="1:7" ht="14.25">
      <c r="A97" s="413"/>
      <c r="B97" s="413"/>
      <c r="C97" s="14"/>
      <c r="D97" s="1586"/>
      <c r="E97" s="1586"/>
      <c r="F97" s="1586"/>
      <c r="G97" s="2"/>
    </row>
    <row r="98" spans="1:7" ht="14.25">
      <c r="A98" s="413"/>
      <c r="B98" s="413"/>
      <c r="C98" s="14"/>
      <c r="D98" s="1586"/>
      <c r="E98" s="1586"/>
      <c r="F98" s="1586"/>
      <c r="G98" s="2"/>
    </row>
    <row r="99" spans="1:7" ht="14.25">
      <c r="A99" s="413"/>
      <c r="B99" s="413"/>
      <c r="C99" s="14"/>
      <c r="D99" s="1586"/>
      <c r="E99" s="1586"/>
      <c r="F99" s="1586"/>
      <c r="G99" s="2"/>
    </row>
    <row r="100" spans="1:7" ht="14.25">
      <c r="A100" s="413"/>
      <c r="B100" s="413"/>
      <c r="C100" s="14"/>
      <c r="D100" s="1586"/>
      <c r="E100" s="1586"/>
      <c r="F100" s="1586"/>
      <c r="G100" s="2"/>
    </row>
    <row r="101" spans="1:7" ht="14.25">
      <c r="A101" s="413"/>
      <c r="B101" s="413"/>
      <c r="C101" s="14"/>
      <c r="D101" s="1586"/>
      <c r="E101" s="1586"/>
      <c r="F101" s="1586"/>
      <c r="G101" s="2"/>
    </row>
    <row r="102" spans="1:7" ht="14.25">
      <c r="A102" s="413"/>
      <c r="B102" s="413"/>
      <c r="C102" s="14"/>
      <c r="D102" s="1586"/>
      <c r="E102" s="1586"/>
      <c r="F102" s="1586"/>
      <c r="G102" s="2"/>
    </row>
    <row r="103" spans="1:7" ht="14.25">
      <c r="A103" s="413"/>
      <c r="B103" s="413"/>
      <c r="C103" s="14"/>
      <c r="D103" s="1586"/>
      <c r="E103" s="1586"/>
      <c r="F103" s="1586"/>
      <c r="G103" s="2"/>
    </row>
    <row r="104" spans="1:7" ht="14.25">
      <c r="A104" s="413"/>
      <c r="B104" s="413"/>
      <c r="C104" s="14"/>
      <c r="D104" s="1586"/>
      <c r="E104" s="1586"/>
      <c r="F104" s="1586"/>
      <c r="G104" s="2"/>
    </row>
    <row r="105" spans="1:7" ht="14.25">
      <c r="A105" s="413"/>
      <c r="B105" s="413"/>
      <c r="C105" s="14"/>
      <c r="D105" s="1586"/>
      <c r="E105" s="1586"/>
      <c r="F105" s="1586"/>
      <c r="G105" s="2"/>
    </row>
    <row r="106" spans="1:7" ht="14.25">
      <c r="A106" s="413"/>
      <c r="B106" s="413"/>
      <c r="C106" s="14"/>
      <c r="D106" s="1586"/>
      <c r="E106" s="1586"/>
      <c r="F106" s="1586"/>
      <c r="G106" s="2"/>
    </row>
    <row r="107" spans="1:7" ht="14.25">
      <c r="A107" s="413"/>
      <c r="B107" s="413"/>
      <c r="C107" s="14"/>
      <c r="D107" s="1586"/>
      <c r="E107" s="1586"/>
      <c r="F107" s="1586"/>
      <c r="G107" s="2"/>
    </row>
    <row r="108" spans="1:7" ht="14.25">
      <c r="A108" s="413"/>
      <c r="B108" s="413"/>
      <c r="C108" s="14"/>
      <c r="D108" s="1586"/>
      <c r="E108" s="1586"/>
      <c r="F108" s="1586"/>
      <c r="G108" s="2"/>
    </row>
    <row r="109" spans="1:7" ht="14.25">
      <c r="A109" s="413"/>
      <c r="B109" s="981" t="s">
        <v>136</v>
      </c>
      <c r="C109" s="14"/>
      <c r="D109" s="1581" t="s">
        <v>1738</v>
      </c>
      <c r="E109" s="1581"/>
      <c r="F109" s="1581"/>
      <c r="G109" s="2"/>
    </row>
    <row r="110" spans="1:7" ht="14.25">
      <c r="A110" s="413"/>
      <c r="B110" s="413"/>
      <c r="C110" s="14"/>
      <c r="D110" s="1581"/>
      <c r="E110" s="1581"/>
      <c r="F110" s="1581"/>
      <c r="G110" s="2"/>
    </row>
    <row r="111" spans="1:7" ht="14.25">
      <c r="A111" s="413"/>
      <c r="B111" s="413"/>
      <c r="C111" s="14"/>
      <c r="D111" s="1581"/>
      <c r="E111" s="1581"/>
      <c r="F111" s="1581"/>
      <c r="G111" s="2"/>
    </row>
    <row r="112" spans="1:7" ht="14.25">
      <c r="A112" s="413"/>
      <c r="B112" s="413"/>
      <c r="C112" s="14"/>
      <c r="D112" s="1581"/>
      <c r="E112" s="1581"/>
      <c r="F112" s="1581"/>
      <c r="G112" s="2"/>
    </row>
    <row r="113" spans="1:7" ht="14.25">
      <c r="A113" s="413"/>
      <c r="B113" s="413"/>
      <c r="C113" s="14"/>
      <c r="D113" s="1581"/>
      <c r="E113" s="1581"/>
      <c r="F113" s="1581"/>
      <c r="G113" s="2"/>
    </row>
    <row r="114" spans="1:7" ht="14.25">
      <c r="A114" s="413"/>
      <c r="B114" s="413"/>
      <c r="C114" s="14"/>
      <c r="D114" s="1581"/>
      <c r="E114" s="1581"/>
      <c r="F114" s="1581"/>
      <c r="G114" s="2"/>
    </row>
    <row r="115" spans="1:7" ht="14.25">
      <c r="A115" s="413"/>
      <c r="B115" s="413"/>
      <c r="C115" s="14"/>
      <c r="D115" s="1581"/>
      <c r="E115" s="1581"/>
      <c r="F115" s="1581"/>
      <c r="G115" s="2"/>
    </row>
    <row r="116" spans="1:7" ht="14.25">
      <c r="A116" s="413"/>
      <c r="B116" s="413"/>
      <c r="C116" s="14"/>
      <c r="D116" s="1581"/>
      <c r="E116" s="1581"/>
      <c r="F116" s="1581"/>
      <c r="G116" s="2"/>
    </row>
    <row r="117" spans="1:7" ht="12.75" customHeight="1">
      <c r="A117" s="413"/>
      <c r="B117" s="948" t="s">
        <v>1532</v>
      </c>
      <c r="C117" s="14"/>
      <c r="D117" s="1581" t="s">
        <v>1739</v>
      </c>
      <c r="E117" s="1581"/>
      <c r="F117" s="1581"/>
    </row>
    <row r="118" spans="1:7" ht="12.75">
      <c r="A118" s="140"/>
      <c r="B118" s="140"/>
      <c r="C118" s="14"/>
      <c r="D118" s="1581"/>
      <c r="E118" s="1581"/>
      <c r="F118" s="1581"/>
    </row>
    <row r="119" spans="1:7" ht="12.75">
      <c r="A119" s="140"/>
      <c r="B119" s="140"/>
      <c r="C119" s="14"/>
      <c r="D119" s="1581"/>
      <c r="E119" s="1581"/>
      <c r="F119" s="1581"/>
    </row>
    <row r="120" spans="1:7" ht="12.75">
      <c r="A120" s="140"/>
      <c r="B120" s="140"/>
      <c r="C120" s="14"/>
      <c r="D120" s="1581"/>
      <c r="E120" s="1581"/>
      <c r="F120" s="1581"/>
    </row>
    <row r="121" spans="1:7" ht="26.85" customHeight="1">
      <c r="A121" s="140"/>
      <c r="B121" s="140"/>
      <c r="C121" s="14"/>
      <c r="D121" s="1581"/>
      <c r="E121" s="1581"/>
      <c r="F121" s="1581"/>
    </row>
    <row r="122" spans="1:7" ht="12.75">
      <c r="A122" s="140"/>
      <c r="B122" s="140"/>
      <c r="C122" s="14"/>
      <c r="D122" s="282"/>
      <c r="E122" s="282"/>
      <c r="F122" s="282"/>
    </row>
    <row r="123" spans="1:7" ht="14.25">
      <c r="A123" s="413"/>
      <c r="B123" s="948" t="s">
        <v>1532</v>
      </c>
      <c r="C123" s="14"/>
      <c r="D123" s="1625" t="s">
        <v>1740</v>
      </c>
      <c r="E123" s="1625"/>
      <c r="F123" s="1625"/>
    </row>
    <row r="124" spans="1:7" s="514" customFormat="1" ht="14.1" customHeight="1">
      <c r="A124" s="504"/>
      <c r="B124" s="504"/>
      <c r="C124" s="505"/>
      <c r="D124" s="1625"/>
      <c r="E124" s="1625"/>
      <c r="F124" s="1625"/>
      <c r="G124" s="575"/>
    </row>
    <row r="125" spans="1:7" ht="14.1" customHeight="1">
      <c r="A125" s="140"/>
      <c r="B125" s="140"/>
      <c r="C125" s="14"/>
      <c r="D125" s="1625"/>
      <c r="E125" s="1625"/>
      <c r="F125" s="1625"/>
    </row>
    <row r="126" spans="1:7" ht="14.1" customHeight="1">
      <c r="A126" s="140"/>
      <c r="B126" s="140"/>
      <c r="C126" s="14"/>
      <c r="D126" s="1625"/>
      <c r="E126" s="1625"/>
      <c r="F126" s="1625"/>
    </row>
    <row r="127" spans="1:7" ht="14.1" customHeight="1">
      <c r="A127" s="140"/>
      <c r="B127" s="140"/>
      <c r="C127" s="14"/>
      <c r="D127" s="1625"/>
      <c r="E127" s="1625"/>
      <c r="F127" s="1625"/>
    </row>
    <row r="128" spans="1:7" ht="14.1" customHeight="1">
      <c r="A128" s="140"/>
      <c r="B128" s="140"/>
      <c r="C128" s="14"/>
      <c r="D128" s="1625"/>
      <c r="E128" s="1625"/>
      <c r="F128" s="1625"/>
    </row>
    <row r="129" spans="1:7" ht="14.1" customHeight="1">
      <c r="A129" s="982"/>
      <c r="B129" s="982"/>
      <c r="C129" s="14"/>
      <c r="D129" s="1625"/>
      <c r="E129" s="1625"/>
      <c r="F129" s="1625"/>
      <c r="G129" s="2"/>
    </row>
    <row r="130" spans="1:7" ht="14.1" customHeight="1">
      <c r="A130" s="982"/>
      <c r="B130" s="982"/>
      <c r="C130" s="14"/>
      <c r="D130" s="1625"/>
      <c r="E130" s="1625"/>
      <c r="F130" s="1625"/>
      <c r="G130" s="2"/>
    </row>
    <row r="131" spans="1:7" ht="14.1" customHeight="1">
      <c r="A131" s="982"/>
      <c r="B131" s="982"/>
      <c r="C131" s="14"/>
      <c r="D131" s="1625"/>
      <c r="E131" s="1625"/>
      <c r="F131" s="1625"/>
      <c r="G131" s="2"/>
    </row>
    <row r="132" spans="1:7" ht="14.1" customHeight="1">
      <c r="A132" s="982"/>
      <c r="B132" s="982"/>
      <c r="C132" s="14"/>
      <c r="D132" s="1625"/>
      <c r="E132" s="1625"/>
      <c r="F132" s="1625"/>
      <c r="G132" s="2"/>
    </row>
    <row r="133" spans="1:7" ht="17.25" customHeight="1">
      <c r="A133" s="982"/>
      <c r="B133" s="982"/>
      <c r="C133" s="14"/>
      <c r="D133" s="1625"/>
      <c r="E133" s="1625"/>
      <c r="F133" s="1625"/>
      <c r="G133" s="2"/>
    </row>
    <row r="134" spans="1:7" ht="25.5" hidden="1" customHeight="1">
      <c r="A134" s="982"/>
      <c r="B134" s="982"/>
      <c r="C134" s="14"/>
      <c r="D134" s="1625"/>
      <c r="E134" s="1625"/>
      <c r="F134" s="1625"/>
      <c r="G134" s="2"/>
    </row>
    <row r="135" spans="1:7" ht="14.1" customHeight="1">
      <c r="A135" s="982"/>
      <c r="B135" s="982"/>
      <c r="C135" s="14"/>
      <c r="D135" s="282"/>
      <c r="E135" s="282"/>
      <c r="F135" s="282"/>
      <c r="G135" s="2"/>
    </row>
    <row r="136" spans="1:7" ht="14.1" customHeight="1">
      <c r="A136" s="140"/>
      <c r="B136" s="948" t="s">
        <v>136</v>
      </c>
      <c r="C136" s="14"/>
      <c r="D136" s="1580" t="s">
        <v>1954</v>
      </c>
      <c r="E136" s="1581"/>
      <c r="F136" s="1581"/>
      <c r="G136" s="2"/>
    </row>
    <row r="137" spans="1:7" ht="14.1" customHeight="1">
      <c r="A137" s="140"/>
      <c r="B137" s="140"/>
      <c r="C137" s="14"/>
      <c r="D137" s="1581"/>
      <c r="E137" s="1581"/>
      <c r="F137" s="1581"/>
      <c r="G137" s="2"/>
    </row>
    <row r="138" spans="1:7" ht="14.1" customHeight="1">
      <c r="A138" s="140"/>
      <c r="B138" s="140"/>
      <c r="C138" s="14"/>
      <c r="D138" s="1581"/>
      <c r="E138" s="1581"/>
      <c r="F138" s="1581"/>
      <c r="G138" s="2"/>
    </row>
    <row r="139" spans="1:7" ht="14.1" customHeight="1">
      <c r="A139" s="150"/>
      <c r="B139" s="150"/>
      <c r="D139" s="1581"/>
      <c r="E139" s="1581"/>
      <c r="F139" s="1581"/>
      <c r="G139" s="2"/>
    </row>
    <row r="140" spans="1:7" ht="14.1" customHeight="1">
      <c r="A140" s="140"/>
      <c r="B140" s="140"/>
      <c r="C140" s="14"/>
      <c r="D140" s="1581"/>
      <c r="E140" s="1581"/>
      <c r="F140" s="1581"/>
      <c r="G140" s="2"/>
    </row>
    <row r="141" spans="1:7" ht="14.1" customHeight="1">
      <c r="A141" s="33"/>
      <c r="B141" s="33"/>
      <c r="C141" s="14"/>
      <c r="D141" s="1581"/>
      <c r="E141" s="1581"/>
      <c r="F141" s="1581"/>
      <c r="G141" s="2"/>
    </row>
    <row r="142" spans="1:7" ht="14.1" customHeight="1">
      <c r="A142" s="33"/>
      <c r="B142" s="33"/>
      <c r="C142" s="14"/>
      <c r="D142" s="1581"/>
      <c r="E142" s="1581"/>
      <c r="F142" s="1581"/>
      <c r="G142" s="2"/>
    </row>
    <row r="143" spans="1:7" ht="14.1" customHeight="1">
      <c r="A143" s="983"/>
      <c r="B143" s="983"/>
      <c r="C143" s="14"/>
      <c r="D143" s="1581"/>
      <c r="E143" s="1581"/>
      <c r="F143" s="1581"/>
      <c r="G143" s="2"/>
    </row>
    <row r="144" spans="1:7" ht="14.1" customHeight="1">
      <c r="A144" s="983"/>
      <c r="B144" s="983"/>
      <c r="C144" s="14"/>
      <c r="D144" s="1581"/>
      <c r="E144" s="1581"/>
      <c r="F144" s="1581"/>
      <c r="G144" s="2"/>
    </row>
    <row r="145" spans="1:7" ht="14.1" customHeight="1">
      <c r="A145" s="983"/>
      <c r="B145" s="983"/>
      <c r="C145" s="14"/>
      <c r="D145" s="1581"/>
      <c r="E145" s="1581"/>
      <c r="F145" s="1581"/>
      <c r="G145" s="2"/>
    </row>
    <row r="146" spans="1:7" ht="14.1" customHeight="1">
      <c r="A146" s="1087"/>
      <c r="B146" s="1087"/>
      <c r="C146" s="14"/>
      <c r="D146" s="1581"/>
      <c r="E146" s="1581"/>
      <c r="F146" s="1581"/>
      <c r="G146" s="2"/>
    </row>
    <row r="147" spans="1:7" ht="14.1" customHeight="1">
      <c r="A147" s="1087"/>
      <c r="B147" s="1087"/>
      <c r="C147" s="14"/>
      <c r="D147" s="1581"/>
      <c r="E147" s="1581"/>
      <c r="F147" s="1581"/>
      <c r="G147" s="2"/>
    </row>
    <row r="148" spans="1:7" ht="14.1" customHeight="1">
      <c r="A148" s="983"/>
      <c r="B148" s="983"/>
      <c r="C148" s="14"/>
      <c r="D148" s="1581"/>
      <c r="E148" s="1581"/>
      <c r="F148" s="1581"/>
      <c r="G148" s="2"/>
    </row>
    <row r="149" spans="1:7" ht="14.1" customHeight="1">
      <c r="A149" s="983"/>
      <c r="B149" s="983"/>
      <c r="C149" s="14"/>
      <c r="D149" s="1581"/>
      <c r="E149" s="1581"/>
      <c r="F149" s="1581"/>
      <c r="G149" s="2"/>
    </row>
    <row r="150" spans="1:7" ht="14.1" customHeight="1">
      <c r="A150" s="983"/>
      <c r="B150" s="983"/>
      <c r="C150" s="14"/>
      <c r="D150" s="1581"/>
      <c r="E150" s="1581"/>
      <c r="F150" s="1581"/>
      <c r="G150" s="2"/>
    </row>
    <row r="151" spans="1:7" ht="14.1" customHeight="1">
      <c r="A151" s="983"/>
      <c r="B151" s="983"/>
      <c r="C151" s="14"/>
      <c r="D151" s="1581"/>
      <c r="E151" s="1581"/>
      <c r="F151" s="1581"/>
      <c r="G151" s="2"/>
    </row>
    <row r="152" spans="1:7" ht="14.1" customHeight="1">
      <c r="A152" s="983"/>
      <c r="B152" s="983"/>
      <c r="C152" s="14"/>
      <c r="D152" s="1581"/>
      <c r="E152" s="1581"/>
      <c r="F152" s="1581"/>
      <c r="G152" s="2"/>
    </row>
    <row r="153" spans="1:7" ht="14.1" customHeight="1">
      <c r="A153" s="983"/>
      <c r="B153" s="983"/>
      <c r="C153" s="14"/>
      <c r="D153" s="1581"/>
      <c r="E153" s="1581"/>
      <c r="F153" s="1581"/>
      <c r="G153" s="2"/>
    </row>
    <row r="154" spans="1:7" ht="14.1" customHeight="1">
      <c r="A154" s="1102"/>
      <c r="B154" s="1102"/>
      <c r="C154" s="14"/>
      <c r="D154" s="1657" t="s">
        <v>1955</v>
      </c>
      <c r="E154" s="1657"/>
      <c r="F154" s="1657"/>
      <c r="G154" s="2"/>
    </row>
    <row r="155" spans="1:7" ht="14.1" customHeight="1">
      <c r="A155" s="983"/>
      <c r="B155" s="983"/>
      <c r="C155" s="14"/>
      <c r="D155" s="979"/>
      <c r="E155" s="282"/>
      <c r="F155" s="282"/>
      <c r="G155" s="2"/>
    </row>
    <row r="156" spans="1:7" ht="14.1" customHeight="1">
      <c r="A156" s="413"/>
      <c r="B156" s="948" t="s">
        <v>1532</v>
      </c>
      <c r="C156" s="14"/>
      <c r="D156" s="1659" t="s">
        <v>1988</v>
      </c>
      <c r="E156" s="1660"/>
      <c r="F156" s="1660"/>
      <c r="G156" s="2"/>
    </row>
    <row r="157" spans="1:7" ht="14.1" customHeight="1">
      <c r="A157" s="413"/>
      <c r="B157" s="1129"/>
      <c r="C157" s="14"/>
      <c r="D157" s="1660"/>
      <c r="E157" s="1660"/>
      <c r="F157" s="1660"/>
      <c r="G157" s="2"/>
    </row>
    <row r="158" spans="1:7" ht="14.1" customHeight="1">
      <c r="A158" s="33"/>
      <c r="B158" s="33"/>
      <c r="C158" s="14"/>
      <c r="D158" s="1660"/>
      <c r="E158" s="1660"/>
      <c r="F158" s="1660"/>
      <c r="G158" s="2"/>
    </row>
    <row r="159" spans="1:7" ht="14.1" customHeight="1">
      <c r="A159" s="33"/>
      <c r="B159" s="33"/>
      <c r="C159" s="14"/>
      <c r="D159" s="287"/>
      <c r="E159" s="282"/>
      <c r="F159" s="282"/>
      <c r="G159" s="2"/>
    </row>
    <row r="160" spans="1:7" ht="14.1" customHeight="1">
      <c r="A160" s="413"/>
      <c r="B160" s="948" t="s">
        <v>1532</v>
      </c>
      <c r="C160" s="14"/>
      <c r="D160" s="1661" t="s">
        <v>1741</v>
      </c>
      <c r="E160" s="1661"/>
      <c r="F160" s="1661"/>
      <c r="G160" s="2"/>
    </row>
    <row r="161" spans="1:7" ht="14.1" customHeight="1">
      <c r="A161" s="33"/>
      <c r="B161" s="33"/>
      <c r="C161" s="14"/>
      <c r="D161" s="1661"/>
      <c r="E161" s="1661"/>
      <c r="F161" s="1661"/>
    </row>
    <row r="162" spans="1:7" ht="14.1" customHeight="1">
      <c r="A162" s="33"/>
      <c r="B162" s="33"/>
      <c r="C162" s="14"/>
      <c r="D162" s="1661"/>
      <c r="E162" s="1661"/>
      <c r="F162" s="1661"/>
    </row>
    <row r="163" spans="1:7" ht="14.1" customHeight="1">
      <c r="A163" s="33"/>
      <c r="B163" s="33"/>
      <c r="C163" s="14"/>
      <c r="D163" s="1661"/>
      <c r="E163" s="1661"/>
      <c r="F163" s="1661"/>
    </row>
    <row r="164" spans="1:7" ht="14.1" customHeight="1">
      <c r="A164" s="33"/>
      <c r="B164" s="33"/>
      <c r="C164" s="14"/>
      <c r="D164" s="287"/>
      <c r="E164" s="282"/>
      <c r="F164" s="282"/>
    </row>
    <row r="165" spans="1:7" ht="14.1" customHeight="1">
      <c r="A165" s="591"/>
      <c r="B165" s="948" t="s">
        <v>136</v>
      </c>
      <c r="C165" s="590"/>
      <c r="D165" s="1653" t="s">
        <v>1742</v>
      </c>
      <c r="E165" s="1653"/>
      <c r="F165" s="1653"/>
      <c r="G165" s="713"/>
    </row>
    <row r="166" spans="1:7" ht="14.1" customHeight="1">
      <c r="A166" s="591"/>
      <c r="B166" s="591"/>
      <c r="C166" s="590"/>
      <c r="D166" s="1653"/>
      <c r="E166" s="1653"/>
      <c r="F166" s="1653"/>
      <c r="G166" s="713"/>
    </row>
    <row r="167" spans="1:7" ht="14.1" customHeight="1">
      <c r="A167" s="591"/>
      <c r="B167" s="591"/>
      <c r="C167" s="590"/>
      <c r="D167" s="1653"/>
      <c r="E167" s="1653"/>
      <c r="F167" s="1653"/>
      <c r="G167" s="713"/>
    </row>
    <row r="168" spans="1:7" ht="12.75">
      <c r="A168" s="591"/>
      <c r="B168" s="591"/>
      <c r="C168" s="590"/>
      <c r="D168" s="593"/>
      <c r="E168" s="581"/>
      <c r="F168" s="581"/>
      <c r="G168" s="713"/>
    </row>
    <row r="169" spans="1:7" ht="12.75">
      <c r="A169" s="1597" t="s">
        <v>1540</v>
      </c>
      <c r="B169" s="1597"/>
      <c r="C169" s="1597"/>
      <c r="D169" s="1597"/>
      <c r="E169" s="1597"/>
      <c r="F169" s="1597"/>
      <c r="G169" s="1597"/>
    </row>
    <row r="170" spans="1:7" ht="12.75">
      <c r="A170" s="140"/>
      <c r="B170" s="140"/>
      <c r="C170" s="14"/>
      <c r="D170" s="287"/>
      <c r="E170" s="282"/>
      <c r="F170" s="282"/>
    </row>
    <row r="171" spans="1:7" ht="12.75">
      <c r="A171" s="140"/>
      <c r="B171" s="140"/>
      <c r="C171" s="924"/>
      <c r="D171" s="1647" t="s">
        <v>1539</v>
      </c>
      <c r="E171" s="1647"/>
      <c r="F171" s="1647"/>
    </row>
    <row r="172" spans="1:7" ht="12.75">
      <c r="A172" s="414"/>
      <c r="B172" s="414"/>
      <c r="C172" s="298"/>
      <c r="D172" s="1654" t="s">
        <v>1575</v>
      </c>
      <c r="E172" s="1654"/>
      <c r="F172" s="1654"/>
    </row>
    <row r="173" spans="1:7" ht="12.75">
      <c r="A173" s="415"/>
      <c r="B173" s="415"/>
      <c r="C173" s="299"/>
      <c r="D173" s="282"/>
      <c r="E173" s="282"/>
      <c r="F173" s="282"/>
    </row>
    <row r="174" spans="1:7" ht="14.25">
      <c r="A174" s="413"/>
      <c r="B174" s="948" t="s">
        <v>136</v>
      </c>
      <c r="C174" s="302"/>
      <c r="D174" s="1655" t="s">
        <v>1957</v>
      </c>
      <c r="E174" s="1637"/>
      <c r="F174" s="1637"/>
      <c r="G174" s="288"/>
    </row>
    <row r="175" spans="1:7" ht="14.25">
      <c r="A175" s="413"/>
      <c r="B175" s="417"/>
      <c r="C175" s="302"/>
      <c r="D175" s="1292"/>
      <c r="E175" s="1291"/>
      <c r="F175" s="1291"/>
      <c r="G175" s="288"/>
    </row>
    <row r="176" spans="1:7" ht="14.25">
      <c r="A176" s="413"/>
      <c r="B176" s="948" t="s">
        <v>136</v>
      </c>
      <c r="C176" s="302"/>
      <c r="D176" s="1637" t="s">
        <v>1743</v>
      </c>
      <c r="E176" s="1637"/>
      <c r="F176" s="1637"/>
      <c r="G176" s="288"/>
    </row>
    <row r="177" spans="1:7" ht="14.25">
      <c r="A177" s="413"/>
      <c r="B177" s="417"/>
      <c r="C177" s="302"/>
      <c r="D177" s="1291"/>
      <c r="E177" s="1291"/>
      <c r="F177" s="1291"/>
      <c r="G177" s="288"/>
    </row>
    <row r="178" spans="1:7" ht="14.25">
      <c r="A178" s="413"/>
      <c r="B178" s="1293" t="s">
        <v>136</v>
      </c>
      <c r="C178" s="302"/>
      <c r="D178" s="1658" t="s">
        <v>2045</v>
      </c>
      <c r="E178" s="1658"/>
      <c r="F178" s="1658"/>
      <c r="G178" s="288"/>
    </row>
    <row r="179" spans="1:7" ht="13.7" customHeight="1">
      <c r="A179" s="413"/>
      <c r="B179" s="417"/>
      <c r="C179" s="302"/>
      <c r="D179" s="1295" t="s">
        <v>1004</v>
      </c>
      <c r="E179" s="1557" t="s">
        <v>2047</v>
      </c>
      <c r="F179" s="1557"/>
      <c r="G179" s="288"/>
    </row>
    <row r="180" spans="1:7" ht="14.25">
      <c r="A180" s="413"/>
      <c r="B180" s="417"/>
      <c r="C180" s="302"/>
      <c r="D180" s="1294"/>
      <c r="E180" s="1557"/>
      <c r="F180" s="1557"/>
      <c r="G180" s="288"/>
    </row>
    <row r="181" spans="1:7" ht="14.25">
      <c r="A181" s="413"/>
      <c r="B181" s="417"/>
      <c r="C181" s="302"/>
      <c r="D181" s="1294"/>
      <c r="E181" s="1557"/>
      <c r="F181" s="1557"/>
      <c r="G181" s="288"/>
    </row>
    <row r="182" spans="1:7" ht="14.25">
      <c r="A182" s="413"/>
      <c r="B182" s="417"/>
      <c r="C182" s="302"/>
      <c r="D182" s="2"/>
      <c r="E182" s="1557"/>
      <c r="F182" s="1557"/>
      <c r="G182" s="288"/>
    </row>
    <row r="183" spans="1:7" ht="13.7" customHeight="1">
      <c r="A183" s="413"/>
      <c r="B183" s="417"/>
      <c r="C183" s="302"/>
      <c r="D183" s="1294" t="s">
        <v>1005</v>
      </c>
      <c r="E183" s="1580" t="s">
        <v>2046</v>
      </c>
      <c r="F183" s="1580"/>
      <c r="G183" s="288"/>
    </row>
    <row r="184" spans="1:7" ht="13.7" customHeight="1">
      <c r="A184" s="413"/>
      <c r="B184" s="417"/>
      <c r="C184" s="302"/>
      <c r="D184" s="1294"/>
      <c r="E184" s="1580"/>
      <c r="F184" s="1580"/>
      <c r="G184" s="288"/>
    </row>
    <row r="185" spans="1:7" ht="13.7" customHeight="1">
      <c r="A185" s="413"/>
      <c r="B185" s="417"/>
      <c r="C185" s="302"/>
      <c r="D185" s="1294"/>
      <c r="E185" s="1580"/>
      <c r="F185" s="1580"/>
      <c r="G185" s="288"/>
    </row>
    <row r="186" spans="1:7" ht="13.7" customHeight="1">
      <c r="A186" s="413"/>
      <c r="B186" s="417"/>
      <c r="C186" s="302"/>
      <c r="D186" s="1294"/>
      <c r="E186" s="1580"/>
      <c r="F186" s="1580"/>
      <c r="G186" s="288"/>
    </row>
    <row r="187" spans="1:7" ht="13.7" customHeight="1">
      <c r="A187" s="413"/>
      <c r="B187" s="417"/>
      <c r="C187" s="302"/>
      <c r="D187" s="1294"/>
      <c r="E187" s="1580"/>
      <c r="F187" s="1580"/>
      <c r="G187" s="288"/>
    </row>
    <row r="188" spans="1:7" ht="14.25">
      <c r="A188" s="413"/>
      <c r="B188" s="417"/>
      <c r="C188" s="302"/>
      <c r="D188" s="2"/>
      <c r="E188" s="1580"/>
      <c r="F188" s="1580"/>
      <c r="G188" s="288"/>
    </row>
    <row r="189" spans="1:7" ht="14.25">
      <c r="A189" s="413"/>
      <c r="B189" s="417"/>
      <c r="C189" s="302"/>
      <c r="D189" s="2"/>
      <c r="E189" s="1580"/>
      <c r="F189" s="1580"/>
      <c r="G189" s="288"/>
    </row>
    <row r="190" spans="1:7" ht="12.75">
      <c r="A190" s="417"/>
      <c r="B190" s="417"/>
      <c r="C190" s="302"/>
      <c r="D190" s="282"/>
      <c r="E190" s="283"/>
      <c r="F190" s="283"/>
      <c r="G190" s="288"/>
    </row>
    <row r="191" spans="1:7" ht="14.25">
      <c r="A191" s="413"/>
      <c r="B191" s="948" t="s">
        <v>136</v>
      </c>
      <c r="C191" s="302"/>
      <c r="D191" s="1564" t="s">
        <v>1744</v>
      </c>
      <c r="E191" s="1564"/>
      <c r="F191" s="1564"/>
      <c r="G191" s="288"/>
    </row>
    <row r="192" spans="1:7" ht="14.25">
      <c r="A192" s="413"/>
      <c r="B192" s="413"/>
      <c r="C192" s="302"/>
      <c r="D192" s="1564"/>
      <c r="E192" s="1564"/>
      <c r="F192" s="1564"/>
      <c r="G192" s="288"/>
    </row>
    <row r="193" spans="1:7" ht="14.25">
      <c r="A193" s="413"/>
      <c r="B193" s="413"/>
      <c r="C193" s="302"/>
      <c r="D193" s="1564"/>
      <c r="E193" s="1564"/>
      <c r="F193" s="1564"/>
      <c r="G193" s="288"/>
    </row>
    <row r="194" spans="1:7" ht="14.25">
      <c r="A194" s="413"/>
      <c r="B194" s="413"/>
      <c r="C194" s="302"/>
      <c r="D194" s="1564"/>
      <c r="E194" s="1564"/>
      <c r="F194" s="1564"/>
      <c r="G194" s="288"/>
    </row>
    <row r="195" spans="1:7" ht="12.75">
      <c r="A195" s="417"/>
      <c r="B195" s="417"/>
      <c r="C195" s="302"/>
      <c r="D195" s="1657" t="s">
        <v>2044</v>
      </c>
      <c r="E195" s="1657"/>
      <c r="F195" s="1657"/>
      <c r="G195" s="288"/>
    </row>
    <row r="196" spans="1:7" ht="12.75">
      <c r="A196" s="417"/>
      <c r="B196" s="417"/>
      <c r="C196" s="302"/>
      <c r="D196" s="985"/>
      <c r="E196" s="985"/>
      <c r="F196" s="985"/>
      <c r="G196" s="288"/>
    </row>
    <row r="197" spans="1:7" ht="14.25">
      <c r="A197" s="413"/>
      <c r="B197" s="948" t="s">
        <v>136</v>
      </c>
      <c r="C197" s="302"/>
      <c r="D197" s="1656" t="s">
        <v>1745</v>
      </c>
      <c r="E197" s="1656"/>
      <c r="F197" s="1656"/>
      <c r="G197" s="288"/>
    </row>
    <row r="198" spans="1:7" ht="12.75">
      <c r="A198" s="417"/>
      <c r="B198" s="417"/>
      <c r="C198" s="302"/>
      <c r="D198" s="283"/>
      <c r="E198" s="283"/>
      <c r="F198" s="283"/>
      <c r="G198" s="288"/>
    </row>
    <row r="199" spans="1:7" ht="12.75">
      <c r="A199" s="1597" t="s">
        <v>1542</v>
      </c>
      <c r="B199" s="1597"/>
      <c r="C199" s="1597"/>
      <c r="D199" s="1597"/>
      <c r="E199" s="1597"/>
      <c r="F199" s="1597"/>
      <c r="G199" s="1597"/>
    </row>
    <row r="200" spans="1:7" ht="12.75">
      <c r="A200" s="417"/>
      <c r="B200" s="417"/>
      <c r="C200" s="302"/>
      <c r="D200" s="282"/>
      <c r="E200" s="283"/>
      <c r="F200" s="283"/>
      <c r="G200" s="288"/>
    </row>
    <row r="201" spans="1:7" ht="12.75">
      <c r="A201" s="140"/>
      <c r="B201" s="140"/>
      <c r="C201" s="925"/>
      <c r="D201" s="1603" t="s">
        <v>1541</v>
      </c>
      <c r="E201" s="1603"/>
      <c r="F201" s="1603"/>
      <c r="G201" s="288"/>
    </row>
    <row r="202" spans="1:7" ht="12.75">
      <c r="A202" s="926"/>
      <c r="B202" s="926"/>
      <c r="C202" s="925"/>
      <c r="D202" s="1603" t="s">
        <v>763</v>
      </c>
      <c r="E202" s="1603"/>
      <c r="F202" s="1603"/>
      <c r="G202" s="288"/>
    </row>
    <row r="203" spans="1:7" ht="12.75">
      <c r="A203" s="414"/>
      <c r="B203" s="414"/>
      <c r="C203" s="298"/>
      <c r="D203" s="1637" t="s">
        <v>1576</v>
      </c>
      <c r="E203" s="1637"/>
      <c r="F203" s="1637"/>
      <c r="G203" s="288"/>
    </row>
    <row r="204" spans="1:7" ht="12.75">
      <c r="A204" s="414"/>
      <c r="B204" s="414"/>
      <c r="C204" s="298"/>
      <c r="D204" s="283"/>
      <c r="E204" s="283"/>
      <c r="F204" s="283"/>
      <c r="G204" s="288"/>
    </row>
    <row r="205" spans="1:7" ht="12.75">
      <c r="A205" s="414"/>
      <c r="B205" s="414"/>
      <c r="C205" s="298"/>
      <c r="D205" s="1612" t="s">
        <v>1586</v>
      </c>
      <c r="E205" s="1612"/>
      <c r="F205" s="1612"/>
      <c r="G205" s="288"/>
    </row>
    <row r="206" spans="1:7" ht="12.75">
      <c r="A206" s="414"/>
      <c r="B206" s="414"/>
      <c r="C206" s="298"/>
      <c r="D206" s="1612"/>
      <c r="E206" s="1612"/>
      <c r="F206" s="1612"/>
      <c r="G206" s="288"/>
    </row>
    <row r="207" spans="1:7" ht="12.75">
      <c r="A207" s="414"/>
      <c r="B207" s="414"/>
      <c r="C207" s="298"/>
      <c r="D207" s="1612"/>
      <c r="E207" s="1612"/>
      <c r="F207" s="1612"/>
      <c r="G207" s="288"/>
    </row>
    <row r="208" spans="1:7" ht="12.75">
      <c r="A208" s="414"/>
      <c r="B208" s="414"/>
      <c r="C208" s="298"/>
      <c r="D208" s="1612"/>
      <c r="E208" s="1612"/>
      <c r="F208" s="1612"/>
      <c r="G208" s="288"/>
    </row>
    <row r="209" spans="1:7" ht="12.75">
      <c r="A209" s="414"/>
      <c r="B209" s="414"/>
      <c r="C209" s="298"/>
      <c r="D209" s="288"/>
      <c r="E209" s="283"/>
      <c r="F209" s="283"/>
      <c r="G209" s="288"/>
    </row>
    <row r="210" spans="1:7" ht="12.75">
      <c r="A210" s="414"/>
      <c r="B210" s="414"/>
      <c r="C210" s="298"/>
      <c r="D210" s="1611" t="s">
        <v>2049</v>
      </c>
      <c r="E210" s="1612"/>
      <c r="F210" s="1612"/>
      <c r="G210" s="288"/>
    </row>
    <row r="211" spans="1:7" ht="12.75">
      <c r="A211" s="414"/>
      <c r="B211" s="414"/>
      <c r="C211" s="298"/>
      <c r="D211" s="1612"/>
      <c r="E211" s="1612"/>
      <c r="F211" s="1612"/>
      <c r="G211" s="288"/>
    </row>
    <row r="212" spans="1:7" ht="12.75">
      <c r="A212" s="414"/>
      <c r="B212" s="414"/>
      <c r="C212" s="298"/>
      <c r="D212" s="1612"/>
      <c r="E212" s="1612"/>
      <c r="F212" s="1612"/>
      <c r="G212" s="288"/>
    </row>
    <row r="213" spans="1:7" ht="12.75">
      <c r="A213" s="414"/>
      <c r="B213" s="414"/>
      <c r="C213" s="298"/>
      <c r="D213" s="1612"/>
      <c r="E213" s="1612"/>
      <c r="F213" s="1612"/>
      <c r="G213" s="288"/>
    </row>
    <row r="214" spans="1:7" ht="12.75">
      <c r="A214" s="414"/>
      <c r="B214" s="414"/>
      <c r="C214" s="298"/>
      <c r="D214" s="1612"/>
      <c r="E214" s="1612"/>
      <c r="F214" s="1612"/>
      <c r="G214" s="288"/>
    </row>
    <row r="215" spans="1:7" ht="12.75">
      <c r="A215" s="414"/>
      <c r="B215" s="414"/>
      <c r="C215" s="298"/>
      <c r="D215" s="1612"/>
      <c r="E215" s="1612"/>
      <c r="F215" s="1612"/>
      <c r="G215" s="288"/>
    </row>
    <row r="216" spans="1:7" ht="12.75">
      <c r="A216" s="415"/>
      <c r="B216" s="415"/>
      <c r="C216" s="299"/>
      <c r="D216" s="282"/>
      <c r="E216" s="283"/>
      <c r="F216" s="283"/>
      <c r="G216" s="288"/>
    </row>
    <row r="217" spans="1:7" ht="14.45" customHeight="1">
      <c r="A217" s="413"/>
      <c r="B217" s="948" t="s">
        <v>1532</v>
      </c>
      <c r="C217" s="299"/>
      <c r="D217" s="1583" t="s">
        <v>322</v>
      </c>
      <c r="E217" s="1583"/>
      <c r="F217" s="1583"/>
      <c r="G217" s="288"/>
    </row>
    <row r="218" spans="1:7" ht="14.25">
      <c r="A218" s="413"/>
      <c r="B218" s="14"/>
      <c r="C218" s="299"/>
      <c r="D218" s="1590" t="s">
        <v>1230</v>
      </c>
      <c r="E218" s="1590"/>
      <c r="F218" s="1590"/>
      <c r="G218" s="288"/>
    </row>
    <row r="219" spans="1:7" ht="14.25">
      <c r="A219" s="413"/>
      <c r="B219" s="413"/>
      <c r="C219" s="299"/>
      <c r="D219" s="954" t="s">
        <v>1594</v>
      </c>
      <c r="E219" s="1613" t="s">
        <v>1593</v>
      </c>
      <c r="F219" s="1613"/>
      <c r="G219" s="288"/>
    </row>
    <row r="220" spans="1:7" ht="12.75">
      <c r="A220" s="417"/>
      <c r="B220" s="417"/>
      <c r="C220" s="302"/>
      <c r="D220" s="1589" t="s">
        <v>1569</v>
      </c>
      <c r="E220" s="1590"/>
      <c r="F220" s="1590"/>
      <c r="G220" s="288"/>
    </row>
    <row r="221" spans="1:7" ht="12.75">
      <c r="A221" s="417"/>
      <c r="B221" s="417"/>
      <c r="C221" s="302"/>
      <c r="D221" s="283"/>
      <c r="E221" s="283"/>
      <c r="F221" s="283"/>
      <c r="G221" s="288"/>
    </row>
    <row r="222" spans="1:7" ht="14.25">
      <c r="A222" s="413"/>
      <c r="B222" s="948" t="s">
        <v>136</v>
      </c>
      <c r="C222" s="302"/>
      <c r="D222" s="1590" t="s">
        <v>323</v>
      </c>
      <c r="E222" s="1590"/>
      <c r="F222" s="1590"/>
      <c r="G222" s="288"/>
    </row>
    <row r="223" spans="1:7" ht="14.25">
      <c r="A223" s="413"/>
      <c r="B223" s="14"/>
      <c r="C223" s="302"/>
      <c r="D223" s="1583" t="s">
        <v>1230</v>
      </c>
      <c r="E223" s="1583"/>
      <c r="F223" s="1583"/>
      <c r="G223" s="288"/>
    </row>
    <row r="224" spans="1:7" ht="14.25">
      <c r="A224" s="413"/>
      <c r="B224" s="413"/>
      <c r="C224" s="302"/>
      <c r="D224" s="300" t="s">
        <v>1595</v>
      </c>
      <c r="E224" s="1598" t="s">
        <v>1596</v>
      </c>
      <c r="F224" s="1598"/>
      <c r="G224" s="288"/>
    </row>
    <row r="225" spans="1:7" ht="12.75">
      <c r="A225" s="417"/>
      <c r="B225" s="417"/>
      <c r="C225" s="302"/>
      <c r="D225" s="1590" t="s">
        <v>1570</v>
      </c>
      <c r="E225" s="1590"/>
      <c r="F225" s="1590"/>
      <c r="G225" s="288"/>
    </row>
    <row r="226" spans="1:7" ht="12.75">
      <c r="A226" s="417"/>
      <c r="B226" s="417"/>
      <c r="C226" s="302"/>
      <c r="D226" s="283"/>
      <c r="E226" s="283"/>
      <c r="F226" s="283"/>
      <c r="G226" s="288"/>
    </row>
    <row r="227" spans="1:7" ht="14.25">
      <c r="A227" s="413"/>
      <c r="B227" s="948" t="s">
        <v>136</v>
      </c>
      <c r="C227" s="302"/>
      <c r="D227" s="1590" t="s">
        <v>707</v>
      </c>
      <c r="E227" s="1590"/>
      <c r="F227" s="1590"/>
      <c r="G227" s="288"/>
    </row>
    <row r="228" spans="1:7" ht="14.25">
      <c r="A228" s="413"/>
      <c r="B228" s="14"/>
      <c r="C228" s="302"/>
      <c r="D228" s="287" t="s">
        <v>1230</v>
      </c>
      <c r="E228" s="283"/>
      <c r="F228" s="283"/>
      <c r="G228" s="288"/>
    </row>
    <row r="229" spans="1:7" ht="14.25">
      <c r="A229" s="413"/>
      <c r="B229" s="413"/>
      <c r="C229" s="302"/>
      <c r="D229" s="300" t="s">
        <v>1594</v>
      </c>
      <c r="E229" s="1598" t="s">
        <v>1597</v>
      </c>
      <c r="F229" s="1598"/>
      <c r="G229" s="288"/>
    </row>
    <row r="230" spans="1:7" ht="14.25">
      <c r="A230" s="413"/>
      <c r="B230" s="413"/>
      <c r="C230" s="302"/>
      <c r="D230" s="1581" t="s">
        <v>1599</v>
      </c>
      <c r="E230" s="1581"/>
      <c r="F230" s="1581"/>
      <c r="G230" s="288"/>
    </row>
    <row r="231" spans="1:7" ht="12.75">
      <c r="A231" s="417"/>
      <c r="B231" s="417"/>
      <c r="C231" s="302"/>
      <c r="D231" s="1581"/>
      <c r="E231" s="1581"/>
      <c r="F231" s="1581"/>
      <c r="G231" s="288"/>
    </row>
    <row r="232" spans="1:7" ht="12.75">
      <c r="A232" s="417"/>
      <c r="B232" s="417"/>
      <c r="C232" s="302"/>
      <c r="D232" s="1581"/>
      <c r="E232" s="1581"/>
      <c r="F232" s="1581"/>
      <c r="G232" s="288"/>
    </row>
    <row r="233" spans="1:7" ht="12.75">
      <c r="A233" s="417"/>
      <c r="B233" s="417"/>
      <c r="C233" s="302"/>
      <c r="D233" s="1581"/>
      <c r="E233" s="1581"/>
      <c r="F233" s="1581"/>
      <c r="G233" s="288"/>
    </row>
    <row r="234" spans="1:7" ht="12.75">
      <c r="A234" s="417"/>
      <c r="B234" s="417"/>
      <c r="C234" s="302"/>
      <c r="D234" s="1581"/>
      <c r="E234" s="1581"/>
      <c r="F234" s="1581"/>
      <c r="G234" s="288"/>
    </row>
    <row r="235" spans="1:7" ht="12.75">
      <c r="A235" s="417"/>
      <c r="B235" s="417"/>
      <c r="C235" s="302"/>
      <c r="D235" s="1581" t="s">
        <v>1571</v>
      </c>
      <c r="E235" s="1581"/>
      <c r="F235" s="1581"/>
      <c r="G235" s="288"/>
    </row>
    <row r="236" spans="1:7" ht="12.75">
      <c r="A236" s="417"/>
      <c r="B236" s="417"/>
      <c r="C236" s="302"/>
      <c r="D236" s="287"/>
      <c r="E236" s="283"/>
      <c r="F236" s="283"/>
      <c r="G236" s="288"/>
    </row>
    <row r="237" spans="1:7" ht="14.25">
      <c r="A237" s="413"/>
      <c r="B237" s="948" t="s">
        <v>136</v>
      </c>
      <c r="C237" s="302"/>
      <c r="D237" s="1590" t="s">
        <v>708</v>
      </c>
      <c r="E237" s="1590"/>
      <c r="F237" s="1590"/>
      <c r="G237" s="288"/>
    </row>
    <row r="238" spans="1:7" ht="14.25">
      <c r="A238" s="413"/>
      <c r="B238" s="14"/>
      <c r="C238" s="302"/>
      <c r="D238" s="1590" t="s">
        <v>1230</v>
      </c>
      <c r="E238" s="1590"/>
      <c r="F238" s="1590"/>
      <c r="G238" s="288"/>
    </row>
    <row r="239" spans="1:7" ht="14.25">
      <c r="A239" s="413"/>
      <c r="B239" s="413"/>
      <c r="C239" s="302"/>
      <c r="D239" s="300" t="s">
        <v>1594</v>
      </c>
      <c r="E239" s="1598" t="s">
        <v>1600</v>
      </c>
      <c r="F239" s="1598"/>
      <c r="G239" s="288"/>
    </row>
    <row r="240" spans="1:7" ht="12.75">
      <c r="A240" s="417"/>
      <c r="B240" s="417"/>
      <c r="C240" s="302"/>
      <c r="D240" s="1589" t="s">
        <v>2206</v>
      </c>
      <c r="E240" s="1590"/>
      <c r="F240" s="1590"/>
      <c r="G240" s="288"/>
    </row>
    <row r="241" spans="1:7" ht="12.75">
      <c r="A241" s="417"/>
      <c r="B241" s="417"/>
      <c r="C241" s="302"/>
      <c r="D241" s="1376"/>
      <c r="E241" s="1376"/>
      <c r="F241" s="1376"/>
      <c r="G241" s="288"/>
    </row>
    <row r="242" spans="1:7" ht="14.25">
      <c r="A242" s="413"/>
      <c r="B242" s="1378" t="s">
        <v>136</v>
      </c>
      <c r="C242" s="302"/>
      <c r="D242" s="1589" t="s">
        <v>2205</v>
      </c>
      <c r="E242" s="1590"/>
      <c r="F242" s="1590"/>
      <c r="G242" s="288"/>
    </row>
    <row r="243" spans="1:7" ht="14.25">
      <c r="A243" s="413"/>
      <c r="B243" s="14"/>
      <c r="C243" s="302"/>
      <c r="D243" s="1590" t="s">
        <v>1230</v>
      </c>
      <c r="E243" s="1590"/>
      <c r="F243" s="1590"/>
      <c r="G243" s="288"/>
    </row>
    <row r="244" spans="1:7" ht="14.25">
      <c r="A244" s="413"/>
      <c r="B244" s="413"/>
      <c r="C244" s="302"/>
      <c r="D244" s="1377" t="s">
        <v>1594</v>
      </c>
      <c r="E244" s="1598" t="s">
        <v>2207</v>
      </c>
      <c r="F244" s="1598"/>
      <c r="G244" s="288"/>
    </row>
    <row r="245" spans="1:7" ht="12.75">
      <c r="A245" s="417"/>
      <c r="B245" s="417"/>
      <c r="C245" s="302"/>
      <c r="D245" s="1589" t="s">
        <v>2208</v>
      </c>
      <c r="E245" s="1590"/>
      <c r="F245" s="1590"/>
      <c r="G245" s="288"/>
    </row>
    <row r="246" spans="1:7" ht="12.75">
      <c r="A246" s="417"/>
      <c r="B246" s="417"/>
      <c r="C246" s="302"/>
      <c r="D246" s="403"/>
      <c r="E246" s="288"/>
      <c r="F246" s="288"/>
      <c r="G246" s="288"/>
    </row>
    <row r="247" spans="1:7" ht="14.25">
      <c r="A247" s="413"/>
      <c r="B247" s="948" t="s">
        <v>136</v>
      </c>
      <c r="D247" s="958" t="s">
        <v>1625</v>
      </c>
      <c r="E247" s="958"/>
      <c r="F247" s="958"/>
    </row>
    <row r="248" spans="1:7" ht="14.25">
      <c r="A248" s="413"/>
      <c r="B248" s="2"/>
      <c r="D248" s="1580" t="s">
        <v>1981</v>
      </c>
      <c r="E248" s="1581"/>
      <c r="F248" s="1581"/>
    </row>
    <row r="249" spans="1:7" ht="14.25">
      <c r="A249" s="413"/>
      <c r="B249" s="417"/>
      <c r="D249" s="1581"/>
      <c r="E249" s="1581"/>
      <c r="F249" s="1581"/>
    </row>
    <row r="250" spans="1:7" ht="14.25">
      <c r="A250" s="413"/>
      <c r="B250" s="417"/>
      <c r="D250" s="1581"/>
      <c r="E250" s="1581"/>
      <c r="F250" s="1581"/>
    </row>
    <row r="251" spans="1:7" ht="14.25">
      <c r="A251" s="413"/>
      <c r="B251" s="417"/>
      <c r="D251" s="957"/>
      <c r="E251" s="957"/>
      <c r="F251" s="957"/>
    </row>
    <row r="252" spans="1:7" ht="14.25">
      <c r="A252" s="413"/>
      <c r="B252" s="948" t="s">
        <v>136</v>
      </c>
      <c r="D252" s="1638" t="s">
        <v>1134</v>
      </c>
      <c r="E252" s="1638"/>
      <c r="F252" s="1638"/>
    </row>
    <row r="253" spans="1:7" ht="14.25">
      <c r="A253" s="413"/>
      <c r="B253" s="417"/>
      <c r="D253" s="958"/>
      <c r="E253" s="958"/>
      <c r="F253" s="958"/>
    </row>
    <row r="254" spans="1:7" ht="12.75">
      <c r="A254" s="1597" t="s">
        <v>1544</v>
      </c>
      <c r="B254" s="1597"/>
      <c r="C254" s="1597"/>
      <c r="D254" s="1597"/>
      <c r="E254" s="1597"/>
      <c r="F254" s="1597"/>
      <c r="G254" s="1597"/>
    </row>
    <row r="255" spans="1:7" ht="12.75">
      <c r="A255" s="140"/>
      <c r="B255" s="140"/>
      <c r="C255" s="14"/>
      <c r="D255" s="287"/>
      <c r="E255" s="282"/>
      <c r="F255" s="282"/>
    </row>
    <row r="256" spans="1:7" ht="12.75">
      <c r="A256" s="140"/>
      <c r="B256" s="140"/>
      <c r="C256" s="924"/>
      <c r="D256" s="1588" t="s">
        <v>1543</v>
      </c>
      <c r="E256" s="1588"/>
      <c r="F256" s="1588"/>
    </row>
    <row r="257" spans="1:7" ht="12.75">
      <c r="A257" s="414"/>
      <c r="B257" s="414"/>
      <c r="C257" s="298"/>
      <c r="D257" s="1583" t="s">
        <v>1577</v>
      </c>
      <c r="E257" s="1583"/>
      <c r="F257" s="1583"/>
    </row>
    <row r="258" spans="1:7" ht="12.75">
      <c r="A258" s="33"/>
      <c r="B258" s="33"/>
      <c r="C258" s="320"/>
      <c r="D258" s="6"/>
      <c r="E258" s="282"/>
      <c r="F258" s="282"/>
    </row>
    <row r="259" spans="1:7" ht="12.75">
      <c r="A259" s="33"/>
      <c r="B259" s="14"/>
      <c r="C259" s="320"/>
      <c r="D259" s="1588" t="s">
        <v>232</v>
      </c>
      <c r="E259" s="1588"/>
      <c r="F259" s="1588"/>
      <c r="G259" s="2"/>
    </row>
    <row r="260" spans="1:7" ht="14.45" customHeight="1">
      <c r="A260" s="413"/>
      <c r="B260" s="1394" t="s">
        <v>1532</v>
      </c>
      <c r="C260" s="1487"/>
      <c r="D260" s="1605" t="s">
        <v>2306</v>
      </c>
      <c r="E260" s="1605"/>
      <c r="F260" s="1605"/>
      <c r="G260" s="2"/>
    </row>
    <row r="261" spans="1:7" ht="14.25">
      <c r="A261" s="413"/>
      <c r="B261" s="1488"/>
      <c r="C261" s="1487"/>
      <c r="D261" s="1605"/>
      <c r="E261" s="1605"/>
      <c r="F261" s="1605"/>
      <c r="G261" s="2"/>
    </row>
    <row r="262" spans="1:7" ht="14.25">
      <c r="A262" s="413"/>
      <c r="B262" s="1488"/>
      <c r="C262" s="1487"/>
      <c r="D262" s="1605"/>
      <c r="E262" s="1605"/>
      <c r="F262" s="1605"/>
      <c r="G262" s="2"/>
    </row>
    <row r="263" spans="1:7" ht="14.45" customHeight="1">
      <c r="A263" s="413"/>
      <c r="B263" s="1488"/>
      <c r="C263" s="1487"/>
      <c r="D263" s="1605"/>
      <c r="E263" s="1605"/>
      <c r="F263" s="1605"/>
      <c r="G263" s="2"/>
    </row>
    <row r="264" spans="1:7" ht="14.25">
      <c r="A264" s="413"/>
      <c r="B264" s="1488"/>
      <c r="C264" s="1487"/>
      <c r="D264" s="1489"/>
      <c r="E264" s="1489"/>
      <c r="F264" s="1489"/>
      <c r="G264" s="2"/>
    </row>
    <row r="265" spans="1:7" ht="14.25">
      <c r="A265" s="413"/>
      <c r="B265" s="1394" t="s">
        <v>1532</v>
      </c>
      <c r="C265" s="1487"/>
      <c r="D265" s="1605" t="s">
        <v>2307</v>
      </c>
      <c r="E265" s="1605"/>
      <c r="F265" s="1605"/>
      <c r="G265" s="2"/>
    </row>
    <row r="266" spans="1:7" ht="14.25">
      <c r="A266" s="413"/>
      <c r="B266" s="1488"/>
      <c r="C266" s="1487"/>
      <c r="D266" s="1605"/>
      <c r="E266" s="1605"/>
      <c r="F266" s="1605"/>
      <c r="G266" s="2"/>
    </row>
    <row r="267" spans="1:7" ht="14.25">
      <c r="A267" s="413"/>
      <c r="B267" s="1488"/>
      <c r="C267" s="1487"/>
      <c r="D267" s="1605"/>
      <c r="E267" s="1605"/>
      <c r="F267" s="1605"/>
      <c r="G267" s="2"/>
    </row>
    <row r="268" spans="1:7" ht="14.25">
      <c r="A268" s="413"/>
      <c r="B268" s="1488"/>
      <c r="C268" s="1487"/>
      <c r="D268" s="1605"/>
      <c r="E268" s="1605"/>
      <c r="F268" s="1605"/>
      <c r="G268" s="2"/>
    </row>
    <row r="269" spans="1:7" ht="14.25">
      <c r="A269" s="413"/>
      <c r="B269" s="1488"/>
      <c r="C269" s="1487"/>
      <c r="D269" s="1605"/>
      <c r="E269" s="1605"/>
      <c r="F269" s="1605"/>
      <c r="G269" s="2"/>
    </row>
    <row r="270" spans="1:7" ht="14.25">
      <c r="A270" s="413"/>
      <c r="B270" s="1488"/>
      <c r="C270" s="1487"/>
      <c r="D270" s="1489"/>
      <c r="E270" s="1489"/>
      <c r="F270" s="1489"/>
      <c r="G270" s="2"/>
    </row>
    <row r="271" spans="1:7" ht="14.25">
      <c r="A271" s="413"/>
      <c r="B271" s="1488"/>
      <c r="C271" s="1487"/>
      <c r="D271" s="1605" t="s">
        <v>1756</v>
      </c>
      <c r="E271" s="1605"/>
      <c r="F271" s="1605"/>
      <c r="G271" s="2"/>
    </row>
    <row r="272" spans="1:7" ht="14.25">
      <c r="A272" s="413"/>
      <c r="B272" s="1488"/>
      <c r="C272" s="1487"/>
      <c r="D272" s="1605"/>
      <c r="E272" s="1605"/>
      <c r="F272" s="1605"/>
      <c r="G272" s="2"/>
    </row>
    <row r="273" spans="1:7" ht="14.25">
      <c r="A273" s="413"/>
      <c r="B273" s="1488"/>
      <c r="C273" s="1487"/>
      <c r="D273" s="1605"/>
      <c r="E273" s="1605"/>
      <c r="F273" s="1605"/>
      <c r="G273" s="2"/>
    </row>
    <row r="274" spans="1:7" ht="14.25">
      <c r="A274" s="413"/>
      <c r="B274" s="1488"/>
      <c r="C274" s="1487"/>
      <c r="D274" s="1605"/>
      <c r="E274" s="1605"/>
      <c r="F274" s="1605"/>
      <c r="G274" s="2"/>
    </row>
    <row r="275" spans="1:7" ht="14.25">
      <c r="A275" s="413"/>
      <c r="B275" s="1488"/>
      <c r="C275" s="1487"/>
      <c r="D275" s="1605"/>
      <c r="E275" s="1605"/>
      <c r="F275" s="1605"/>
      <c r="G275" s="2"/>
    </row>
    <row r="276" spans="1:7" ht="14.25">
      <c r="A276" s="413"/>
      <c r="B276" s="413"/>
      <c r="C276" s="14"/>
      <c r="D276" s="978"/>
      <c r="E276" s="978"/>
      <c r="F276" s="978"/>
      <c r="G276" s="2"/>
    </row>
    <row r="277" spans="1:7" s="768" customFormat="1" ht="14.45" customHeight="1">
      <c r="A277" s="1364"/>
      <c r="B277" s="1363" t="s">
        <v>136</v>
      </c>
      <c r="C277" s="1365"/>
      <c r="D277" s="1599" t="s">
        <v>2198</v>
      </c>
      <c r="E277" s="1599"/>
      <c r="F277" s="1599"/>
      <c r="G277" s="1366"/>
    </row>
    <row r="278" spans="1:7" s="768" customFormat="1" ht="14.25">
      <c r="A278" s="1364"/>
      <c r="B278" s="1365"/>
      <c r="C278" s="1365"/>
      <c r="D278" s="1599"/>
      <c r="E278" s="1599"/>
      <c r="F278" s="1599"/>
      <c r="G278" s="1366"/>
    </row>
    <row r="279" spans="1:7" s="768" customFormat="1" ht="14.25">
      <c r="A279" s="1364"/>
      <c r="B279" s="1365"/>
      <c r="C279" s="1365"/>
      <c r="D279" s="1599"/>
      <c r="E279" s="1599"/>
      <c r="F279" s="1599"/>
      <c r="G279" s="1366"/>
    </row>
    <row r="280" spans="1:7" s="768" customFormat="1" ht="12.75">
      <c r="A280" s="1365"/>
      <c r="B280" s="1365"/>
      <c r="C280" s="1365"/>
      <c r="D280" s="1600" t="s">
        <v>2199</v>
      </c>
      <c r="E280" s="1600"/>
      <c r="F280" s="1600"/>
      <c r="G280" s="1366"/>
    </row>
    <row r="281" spans="1:7" ht="14.25">
      <c r="A281" s="413"/>
      <c r="B281" s="413"/>
      <c r="C281" s="14"/>
      <c r="D281" s="287"/>
      <c r="E281" s="2"/>
      <c r="F281" s="2"/>
      <c r="G281" s="2"/>
    </row>
    <row r="282" spans="1:7" ht="14.25">
      <c r="A282" s="413"/>
      <c r="B282" s="948" t="s">
        <v>1532</v>
      </c>
      <c r="C282" s="14"/>
      <c r="D282" s="1583" t="s">
        <v>1231</v>
      </c>
      <c r="E282" s="1583"/>
      <c r="F282" s="1583"/>
      <c r="G282" s="2"/>
    </row>
    <row r="283" spans="1:7" ht="14.25">
      <c r="A283" s="413"/>
      <c r="B283" s="413"/>
      <c r="C283" s="14"/>
      <c r="D283" s="1583" t="s">
        <v>1757</v>
      </c>
      <c r="E283" s="1583"/>
      <c r="F283" s="1583"/>
      <c r="G283" s="2"/>
    </row>
    <row r="284" spans="1:7" ht="14.25">
      <c r="A284" s="413"/>
      <c r="B284" s="413"/>
      <c r="C284" s="14"/>
      <c r="D284" s="987" t="s">
        <v>1159</v>
      </c>
      <c r="E284" s="987"/>
      <c r="F284" s="987"/>
    </row>
    <row r="285" spans="1:7" ht="12.75">
      <c r="A285" s="140"/>
      <c r="B285" s="140"/>
      <c r="C285" s="14"/>
      <c r="D285" s="321"/>
      <c r="E285" s="282"/>
      <c r="F285" s="282"/>
    </row>
    <row r="286" spans="1:7" ht="14.25">
      <c r="A286" s="413"/>
      <c r="B286" s="948" t="s">
        <v>1532</v>
      </c>
      <c r="C286" s="14"/>
      <c r="D286" s="1581" t="s">
        <v>1758</v>
      </c>
      <c r="E286" s="1581"/>
      <c r="F286" s="1581"/>
    </row>
    <row r="287" spans="1:7" ht="14.25">
      <c r="A287" s="413"/>
      <c r="B287" s="413"/>
      <c r="C287" s="14"/>
      <c r="D287" s="1581"/>
      <c r="E287" s="1581"/>
      <c r="F287" s="1581"/>
    </row>
    <row r="288" spans="1:7" ht="12.75">
      <c r="A288" s="140"/>
      <c r="B288" s="140"/>
      <c r="C288" s="14"/>
      <c r="D288" s="321"/>
      <c r="E288" s="282"/>
      <c r="F288" s="282"/>
    </row>
    <row r="289" spans="1:7" ht="12.75">
      <c r="A289" s="1597" t="s">
        <v>1546</v>
      </c>
      <c r="B289" s="1597"/>
      <c r="C289" s="1597"/>
      <c r="D289" s="1597"/>
      <c r="E289" s="1597"/>
      <c r="F289" s="1597"/>
      <c r="G289" s="1597"/>
    </row>
    <row r="290" spans="1:7" ht="12.75">
      <c r="A290" s="140"/>
      <c r="B290" s="140"/>
      <c r="C290" s="14"/>
      <c r="D290" s="321"/>
      <c r="E290" s="282"/>
      <c r="F290" s="282"/>
    </row>
    <row r="291" spans="1:7" ht="12.75">
      <c r="A291" s="140"/>
      <c r="B291" s="140"/>
      <c r="C291" s="924"/>
      <c r="D291" s="1588" t="s">
        <v>1545</v>
      </c>
      <c r="E291" s="1588"/>
      <c r="F291" s="1588"/>
    </row>
    <row r="292" spans="1:7" ht="12.75">
      <c r="A292" s="414"/>
      <c r="B292" s="414"/>
      <c r="C292" s="298"/>
      <c r="D292" s="287"/>
      <c r="E292" s="282"/>
      <c r="F292" s="282"/>
    </row>
    <row r="293" spans="1:7" ht="12.75">
      <c r="A293" s="415"/>
      <c r="B293" s="415"/>
      <c r="C293" s="299"/>
      <c r="D293" s="1588" t="s">
        <v>234</v>
      </c>
      <c r="E293" s="1588"/>
      <c r="F293" s="1588"/>
    </row>
    <row r="294" spans="1:7" ht="14.45" customHeight="1">
      <c r="A294" s="413"/>
      <c r="B294" s="948" t="s">
        <v>1532</v>
      </c>
      <c r="C294" s="14"/>
      <c r="D294" s="1580" t="s">
        <v>2146</v>
      </c>
      <c r="E294" s="1581"/>
      <c r="F294" s="1581"/>
    </row>
    <row r="295" spans="1:7" ht="12.75">
      <c r="A295" s="140"/>
      <c r="B295" s="140"/>
      <c r="C295" s="14"/>
      <c r="D295" s="1581"/>
      <c r="E295" s="1581"/>
      <c r="F295" s="1581"/>
    </row>
    <row r="296" spans="1:7" ht="12.75">
      <c r="A296" s="140"/>
      <c r="B296" s="140"/>
      <c r="C296" s="14"/>
      <c r="D296" s="1581"/>
      <c r="E296" s="1581"/>
      <c r="F296" s="1581"/>
    </row>
    <row r="297" spans="1:7" ht="12.75">
      <c r="A297" s="1026"/>
      <c r="B297" s="1026"/>
      <c r="C297" s="14"/>
      <c r="D297" s="1362"/>
      <c r="E297" s="1362"/>
      <c r="F297" s="1362"/>
    </row>
    <row r="298" spans="1:7" s="768" customFormat="1" ht="14.45" customHeight="1">
      <c r="A298" s="1364"/>
      <c r="B298" s="1363" t="s">
        <v>136</v>
      </c>
      <c r="C298" s="1365"/>
      <c r="D298" s="1599" t="s">
        <v>2200</v>
      </c>
      <c r="E298" s="1599"/>
      <c r="F298" s="1599"/>
      <c r="G298" s="1366"/>
    </row>
    <row r="299" spans="1:7" s="768" customFormat="1" ht="12.75">
      <c r="A299" s="1365"/>
      <c r="B299" s="1365"/>
      <c r="C299" s="1365"/>
      <c r="D299" s="1599"/>
      <c r="E299" s="1599"/>
      <c r="F299" s="1599"/>
      <c r="G299" s="1366"/>
    </row>
    <row r="300" spans="1:7" s="768" customFormat="1" ht="12.75">
      <c r="A300" s="1365"/>
      <c r="B300" s="1365"/>
      <c r="C300" s="1365"/>
      <c r="D300" s="1599"/>
      <c r="E300" s="1599"/>
      <c r="F300" s="1599"/>
      <c r="G300" s="1366"/>
    </row>
    <row r="301" spans="1:7" s="768" customFormat="1" ht="12.75">
      <c r="A301" s="1365"/>
      <c r="B301" s="1365"/>
      <c r="C301" s="1365"/>
      <c r="D301" s="1601" t="s">
        <v>2201</v>
      </c>
      <c r="E301" s="1601"/>
      <c r="F301" s="1601"/>
      <c r="G301" s="1366"/>
    </row>
    <row r="302" spans="1:7" ht="12.75">
      <c r="A302" s="140"/>
      <c r="B302" s="140"/>
      <c r="C302" s="14"/>
      <c r="D302" s="332"/>
      <c r="E302" s="282"/>
      <c r="F302" s="282"/>
    </row>
    <row r="303" spans="1:7" ht="12.75">
      <c r="A303" s="1597" t="s">
        <v>1547</v>
      </c>
      <c r="B303" s="1597"/>
      <c r="C303" s="1597"/>
      <c r="D303" s="1597"/>
      <c r="E303" s="1597"/>
      <c r="F303" s="1597"/>
      <c r="G303" s="1597"/>
    </row>
    <row r="304" spans="1:7" ht="12.75">
      <c r="A304" s="140"/>
      <c r="B304" s="140"/>
      <c r="C304" s="14"/>
      <c r="D304" s="332"/>
      <c r="E304" s="282"/>
      <c r="F304" s="282"/>
    </row>
    <row r="305" spans="1:7" ht="12.75">
      <c r="A305" s="140"/>
      <c r="B305" s="140"/>
      <c r="C305" s="298"/>
      <c r="D305" s="1616" t="s">
        <v>1759</v>
      </c>
      <c r="E305" s="1616"/>
      <c r="F305" s="1616"/>
    </row>
    <row r="306" spans="1:7" ht="12.75">
      <c r="A306" s="140"/>
      <c r="B306" s="140"/>
      <c r="C306" s="298"/>
      <c r="D306" s="1616"/>
      <c r="E306" s="1616"/>
      <c r="F306" s="1616"/>
    </row>
    <row r="307" spans="1:7" ht="12.75">
      <c r="A307" s="415"/>
      <c r="B307" s="415"/>
      <c r="C307" s="299"/>
      <c r="D307" s="6"/>
      <c r="E307" s="282"/>
      <c r="F307" s="282"/>
    </row>
    <row r="308" spans="1:7" ht="12.75">
      <c r="A308" s="140"/>
      <c r="B308" s="140"/>
      <c r="C308" s="299"/>
      <c r="D308" s="1588" t="s">
        <v>179</v>
      </c>
      <c r="E308" s="1588"/>
      <c r="F308" s="1588"/>
    </row>
    <row r="309" spans="1:7" ht="14.25">
      <c r="A309" s="413"/>
      <c r="B309" s="413"/>
      <c r="C309" s="14"/>
      <c r="D309" s="1607" t="s">
        <v>1760</v>
      </c>
      <c r="E309" s="1607"/>
      <c r="F309" s="1607"/>
    </row>
    <row r="310" spans="1:7" ht="12" customHeight="1">
      <c r="A310" s="140"/>
      <c r="B310" s="140"/>
      <c r="C310" s="14"/>
      <c r="D310" s="282"/>
      <c r="E310" s="282"/>
      <c r="F310" s="282"/>
    </row>
    <row r="311" spans="1:7" ht="14.45" customHeight="1">
      <c r="A311" s="413"/>
      <c r="B311" s="948" t="s">
        <v>136</v>
      </c>
      <c r="C311" s="14"/>
      <c r="D311" s="1581" t="s">
        <v>1761</v>
      </c>
      <c r="E311" s="1581"/>
      <c r="F311" s="1581"/>
    </row>
    <row r="312" spans="1:7" ht="14.25">
      <c r="A312" s="413"/>
      <c r="B312" s="413"/>
      <c r="C312" s="14"/>
      <c r="D312" s="1581"/>
      <c r="E312" s="1581"/>
      <c r="F312" s="1581"/>
    </row>
    <row r="313" spans="1:7" ht="12.75">
      <c r="A313" s="140"/>
      <c r="B313" s="140"/>
      <c r="C313" s="14"/>
      <c r="D313" s="282"/>
      <c r="E313" s="282"/>
      <c r="F313" s="282"/>
    </row>
    <row r="314" spans="1:7" ht="14.45" customHeight="1">
      <c r="A314" s="413"/>
      <c r="B314" s="948" t="s">
        <v>136</v>
      </c>
      <c r="C314" s="14"/>
      <c r="D314" s="1579" t="s">
        <v>1762</v>
      </c>
      <c r="E314" s="1579"/>
      <c r="F314" s="1579"/>
    </row>
    <row r="315" spans="1:7" ht="14.25">
      <c r="A315" s="413"/>
      <c r="B315" s="413"/>
      <c r="C315" s="14"/>
      <c r="D315" s="1579"/>
      <c r="E315" s="1579"/>
      <c r="F315" s="1579"/>
    </row>
    <row r="316" spans="1:7" ht="14.25">
      <c r="A316" s="413"/>
      <c r="B316" s="413"/>
      <c r="C316" s="14"/>
      <c r="D316" s="1579"/>
      <c r="E316" s="1579"/>
      <c r="F316" s="1579"/>
    </row>
    <row r="317" spans="1:7" ht="12.75">
      <c r="A317" s="140"/>
      <c r="B317" s="140"/>
      <c r="C317" s="14"/>
      <c r="D317" s="143"/>
      <c r="E317"/>
      <c r="F317"/>
      <c r="G317"/>
    </row>
    <row r="318" spans="1:7" ht="14.25">
      <c r="A318" s="413"/>
      <c r="B318" s="948" t="s">
        <v>136</v>
      </c>
      <c r="C318" s="14"/>
      <c r="D318" s="1581" t="s">
        <v>1763</v>
      </c>
      <c r="E318" s="1581"/>
      <c r="F318" s="1581"/>
    </row>
    <row r="319" spans="1:7" ht="14.25">
      <c r="A319" s="413"/>
      <c r="B319" s="413"/>
      <c r="C319" s="14"/>
      <c r="D319" s="1581"/>
      <c r="E319" s="1581"/>
      <c r="F319" s="1581"/>
    </row>
    <row r="320" spans="1:7" ht="12.75">
      <c r="A320" s="33"/>
      <c r="B320" s="33"/>
      <c r="C320" s="14"/>
      <c r="D320" s="287"/>
      <c r="E320" s="282"/>
      <c r="F320" s="282"/>
    </row>
    <row r="321" spans="1:7" ht="12.75">
      <c r="A321" s="1597" t="s">
        <v>1534</v>
      </c>
      <c r="B321" s="1597"/>
      <c r="C321" s="1597"/>
      <c r="D321" s="1597"/>
      <c r="E321" s="1597"/>
      <c r="F321" s="1597"/>
      <c r="G321" s="1597"/>
    </row>
    <row r="322" spans="1:7" ht="12.75">
      <c r="A322" s="33"/>
      <c r="B322" s="33"/>
      <c r="C322" s="14"/>
      <c r="D322" s="287"/>
      <c r="E322" s="282"/>
      <c r="F322" s="282"/>
      <c r="G322" s="2"/>
    </row>
    <row r="323" spans="1:7" ht="12.75">
      <c r="A323" s="140"/>
      <c r="B323" s="140"/>
      <c r="C323" s="320"/>
      <c r="D323" s="1588" t="s">
        <v>180</v>
      </c>
      <c r="E323" s="1588"/>
      <c r="F323" s="1588"/>
      <c r="G323" s="2"/>
    </row>
    <row r="324" spans="1:7" ht="12.75">
      <c r="A324" s="140"/>
      <c r="B324" s="140"/>
      <c r="C324" s="320"/>
      <c r="D324" s="1583" t="s">
        <v>1578</v>
      </c>
      <c r="E324" s="1583"/>
      <c r="F324" s="1583"/>
      <c r="G324" s="2"/>
    </row>
    <row r="325" spans="1:7" ht="12.75">
      <c r="A325" s="140"/>
      <c r="B325" s="140"/>
      <c r="C325" s="320"/>
      <c r="D325" s="290"/>
      <c r="E325" s="282"/>
      <c r="F325" s="282"/>
      <c r="G325" s="2"/>
    </row>
    <row r="326" spans="1:7" ht="12.75">
      <c r="A326" s="140"/>
      <c r="B326" s="948" t="s">
        <v>136</v>
      </c>
      <c r="C326" s="14"/>
      <c r="D326" s="1583" t="s">
        <v>1764</v>
      </c>
      <c r="E326" s="1583"/>
      <c r="F326" s="1583"/>
      <c r="G326" s="2"/>
    </row>
    <row r="327" spans="1:7" ht="14.25">
      <c r="A327" s="569"/>
      <c r="B327" s="569"/>
      <c r="D327" s="701"/>
      <c r="G327" s="2"/>
    </row>
    <row r="328" spans="1:7" ht="14.25">
      <c r="A328" s="413"/>
      <c r="B328" s="948" t="s">
        <v>136</v>
      </c>
      <c r="C328" s="14"/>
      <c r="D328" s="1583" t="s">
        <v>1765</v>
      </c>
      <c r="E328" s="1583"/>
      <c r="F328" s="1583"/>
      <c r="G328" s="2"/>
    </row>
    <row r="329" spans="1:7" ht="12.75">
      <c r="A329" s="140"/>
      <c r="B329" s="140"/>
      <c r="C329" s="14"/>
      <c r="D329" s="282"/>
      <c r="E329" s="282"/>
      <c r="F329" s="282"/>
      <c r="G329" s="2"/>
    </row>
    <row r="330" spans="1:7" ht="14.45" customHeight="1">
      <c r="A330" s="413"/>
      <c r="B330" s="948" t="s">
        <v>136</v>
      </c>
      <c r="C330" s="14"/>
      <c r="D330" s="1579" t="s">
        <v>1771</v>
      </c>
      <c r="E330" s="1579"/>
      <c r="F330" s="1579"/>
      <c r="G330" s="2"/>
    </row>
    <row r="331" spans="1:7" ht="14.25">
      <c r="A331" s="413"/>
      <c r="B331" s="413"/>
      <c r="C331" s="14"/>
      <c r="D331" s="1579"/>
      <c r="E331" s="1579"/>
      <c r="F331" s="1579"/>
      <c r="G331" s="2"/>
    </row>
    <row r="332" spans="1:7" ht="14.25">
      <c r="A332" s="413"/>
      <c r="B332" s="413"/>
      <c r="C332" s="14"/>
      <c r="D332" s="1579"/>
      <c r="E332" s="1579"/>
      <c r="F332" s="1579"/>
      <c r="G332" s="2"/>
    </row>
    <row r="333" spans="1:7" ht="14.25">
      <c r="A333" s="413"/>
      <c r="B333" s="413"/>
      <c r="C333" s="14"/>
      <c r="D333" s="1579"/>
      <c r="E333" s="1579"/>
      <c r="F333" s="1579"/>
      <c r="G333" s="2"/>
    </row>
    <row r="334" spans="1:7" ht="14.25">
      <c r="A334" s="413"/>
      <c r="B334" s="413"/>
      <c r="C334" s="14"/>
      <c r="D334" s="1579"/>
      <c r="E334" s="1579"/>
      <c r="F334" s="1579"/>
      <c r="G334" s="2"/>
    </row>
    <row r="335" spans="1:7" ht="14.25">
      <c r="A335" s="413"/>
      <c r="B335" s="413"/>
      <c r="C335" s="14"/>
      <c r="D335" s="1579"/>
      <c r="E335" s="1579"/>
      <c r="F335" s="1579"/>
      <c r="G335" s="2"/>
    </row>
    <row r="336" spans="1:7" ht="14.25">
      <c r="A336" s="413"/>
      <c r="B336" s="413"/>
      <c r="C336" s="14"/>
      <c r="D336" s="1579"/>
      <c r="E336" s="1579"/>
      <c r="F336" s="1579"/>
      <c r="G336" s="2"/>
    </row>
    <row r="337" spans="1:8" ht="14.25">
      <c r="A337" s="413"/>
      <c r="B337" s="413"/>
      <c r="C337" s="14"/>
      <c r="D337" s="1579"/>
      <c r="E337" s="1579"/>
      <c r="F337" s="1579"/>
      <c r="G337" s="2"/>
    </row>
    <row r="338" spans="1:8" ht="14.25">
      <c r="A338" s="413"/>
      <c r="B338" s="413"/>
      <c r="C338" s="14"/>
      <c r="D338" s="1579"/>
      <c r="E338" s="1579"/>
      <c r="F338" s="1579"/>
    </row>
    <row r="339" spans="1:8" ht="14.25">
      <c r="A339" s="413"/>
      <c r="B339" s="413"/>
      <c r="C339" s="14"/>
      <c r="D339" s="1579"/>
      <c r="E339" s="1579"/>
      <c r="F339" s="1579"/>
    </row>
    <row r="340" spans="1:8" ht="14.25">
      <c r="A340" s="413"/>
      <c r="B340" s="413"/>
      <c r="C340" s="14"/>
      <c r="D340" s="1579"/>
      <c r="E340" s="1579"/>
      <c r="F340" s="1579"/>
    </row>
    <row r="341" spans="1:8" ht="14.25">
      <c r="A341" s="413"/>
      <c r="B341" s="413"/>
      <c r="C341" s="14"/>
      <c r="D341" s="1579"/>
      <c r="E341" s="1579"/>
      <c r="F341" s="1579"/>
    </row>
    <row r="342" spans="1:8" ht="14.25">
      <c r="A342" s="413"/>
      <c r="B342" s="413"/>
      <c r="C342" s="14"/>
      <c r="D342" s="1579"/>
      <c r="E342" s="1579"/>
      <c r="F342" s="1579"/>
    </row>
    <row r="343" spans="1:8" ht="14.25">
      <c r="A343" s="413"/>
      <c r="B343" s="413"/>
      <c r="C343" s="14"/>
      <c r="D343" s="1579"/>
      <c r="E343" s="1579"/>
      <c r="F343" s="1579"/>
    </row>
    <row r="344" spans="1:8" ht="14.25">
      <c r="A344" s="413"/>
      <c r="B344" s="413"/>
      <c r="C344" s="14"/>
      <c r="D344" s="1579"/>
      <c r="E344" s="1579"/>
      <c r="F344" s="1579"/>
    </row>
    <row r="345" spans="1:8" ht="12.75">
      <c r="A345" s="140"/>
      <c r="B345" s="140"/>
      <c r="C345" s="14"/>
      <c r="D345" s="282"/>
      <c r="E345" s="282"/>
      <c r="F345" s="282"/>
    </row>
    <row r="346" spans="1:8" s="50" customFormat="1" ht="14.45" customHeight="1">
      <c r="A346" s="413"/>
      <c r="B346" s="948" t="s">
        <v>136</v>
      </c>
      <c r="C346" s="140"/>
      <c r="D346" s="1579" t="s">
        <v>1766</v>
      </c>
      <c r="E346" s="1579"/>
      <c r="F346" s="1579"/>
      <c r="G346" s="8"/>
      <c r="H346" s="16"/>
    </row>
    <row r="347" spans="1:8" s="50" customFormat="1" ht="12.75">
      <c r="A347" s="140"/>
      <c r="B347" s="140"/>
      <c r="C347" s="140"/>
      <c r="D347" s="1579"/>
      <c r="E347" s="1579"/>
      <c r="F347" s="1579"/>
      <c r="G347" s="8"/>
      <c r="H347" s="16"/>
    </row>
    <row r="348" spans="1:8" s="50" customFormat="1" ht="12.75">
      <c r="A348" s="140"/>
      <c r="B348" s="140"/>
      <c r="C348" s="140"/>
      <c r="D348" s="1579"/>
      <c r="E348" s="1579"/>
      <c r="F348" s="1579"/>
      <c r="G348" s="8"/>
      <c r="H348" s="16"/>
    </row>
    <row r="349" spans="1:8" s="50" customFormat="1" ht="12.75">
      <c r="A349" s="140"/>
      <c r="B349" s="140"/>
      <c r="C349" s="140"/>
      <c r="D349" s="1579"/>
      <c r="E349" s="1579"/>
      <c r="F349" s="1579"/>
      <c r="G349" s="8"/>
      <c r="H349" s="16"/>
    </row>
    <row r="350" spans="1:8" s="50" customFormat="1" ht="12.75">
      <c r="A350" s="140"/>
      <c r="B350" s="140"/>
      <c r="C350" s="140"/>
      <c r="D350" s="1579"/>
      <c r="E350" s="1579"/>
      <c r="F350" s="1579"/>
      <c r="G350" s="8"/>
      <c r="H350" s="16"/>
    </row>
    <row r="351" spans="1:8" s="50" customFormat="1" ht="12.75">
      <c r="A351" s="140"/>
      <c r="B351" s="140"/>
      <c r="C351" s="140"/>
      <c r="D351" s="1579"/>
      <c r="E351" s="1579"/>
      <c r="F351" s="1579"/>
      <c r="G351" s="8"/>
      <c r="H351" s="16"/>
    </row>
    <row r="352" spans="1:8" s="50" customFormat="1" ht="12.75">
      <c r="A352" s="140"/>
      <c r="B352" s="140"/>
      <c r="C352" s="140"/>
      <c r="D352" s="1579"/>
      <c r="E352" s="1579"/>
      <c r="F352" s="1579"/>
      <c r="G352" s="8"/>
      <c r="H352" s="16"/>
    </row>
    <row r="353" spans="1:8" s="50" customFormat="1" ht="12.75">
      <c r="A353" s="140"/>
      <c r="B353" s="140"/>
      <c r="C353" s="140"/>
      <c r="D353" s="1579"/>
      <c r="E353" s="1579"/>
      <c r="F353" s="1579"/>
      <c r="G353" s="8"/>
      <c r="H353" s="16"/>
    </row>
    <row r="354" spans="1:8" s="50" customFormat="1" ht="12.75">
      <c r="A354" s="140"/>
      <c r="B354" s="140"/>
      <c r="C354" s="140"/>
      <c r="D354" s="1579"/>
      <c r="E354" s="1579"/>
      <c r="F354" s="1579"/>
      <c r="G354" s="8"/>
      <c r="H354" s="16"/>
    </row>
    <row r="355" spans="1:8" ht="12.75">
      <c r="A355" s="150"/>
      <c r="B355" s="150"/>
      <c r="E355" s="403"/>
      <c r="F355" s="403"/>
    </row>
    <row r="356" spans="1:8" ht="14.25">
      <c r="A356" s="413"/>
      <c r="B356" s="948" t="s">
        <v>136</v>
      </c>
      <c r="C356" s="14"/>
      <c r="D356" s="1580" t="s">
        <v>2138</v>
      </c>
      <c r="E356" s="1581"/>
      <c r="F356" s="1581"/>
    </row>
    <row r="357" spans="1:8" ht="12.75">
      <c r="A357" s="140"/>
      <c r="B357" s="140"/>
      <c r="C357" s="14"/>
      <c r="D357" s="1581"/>
      <c r="E357" s="1581"/>
      <c r="F357" s="1581"/>
    </row>
    <row r="358" spans="1:8" ht="12.75">
      <c r="A358" s="140"/>
      <c r="B358" s="140"/>
      <c r="C358" s="14"/>
      <c r="D358" s="1581"/>
      <c r="E358" s="1581"/>
      <c r="F358" s="1581"/>
    </row>
    <row r="359" spans="1:8" ht="12.75">
      <c r="A359" s="140"/>
      <c r="B359" s="140"/>
      <c r="C359" s="14"/>
      <c r="D359" s="1581"/>
      <c r="E359" s="1581"/>
      <c r="F359" s="1581"/>
    </row>
    <row r="360" spans="1:8" ht="12.75">
      <c r="A360" s="984"/>
      <c r="B360" s="984"/>
      <c r="C360" s="14"/>
      <c r="D360" s="1581"/>
      <c r="E360" s="1581"/>
      <c r="F360" s="1581"/>
    </row>
    <row r="361" spans="1:8" ht="12.75">
      <c r="A361" s="140"/>
      <c r="B361" s="140"/>
      <c r="C361" s="14"/>
      <c r="D361" s="1581"/>
      <c r="E361" s="1581"/>
      <c r="F361" s="1581"/>
    </row>
    <row r="362" spans="1:8" ht="13.5" thickBot="1">
      <c r="A362" s="140"/>
      <c r="B362" s="140"/>
      <c r="C362" s="14"/>
      <c r="D362" s="1296"/>
      <c r="E362" s="809"/>
      <c r="F362" s="809"/>
      <c r="G362" s="288"/>
    </row>
    <row r="363" spans="1:8" ht="14.25" thickTop="1" thickBot="1">
      <c r="A363" s="140"/>
      <c r="B363" s="140"/>
      <c r="C363" s="140"/>
      <c r="D363" s="1606" t="s">
        <v>1401</v>
      </c>
      <c r="E363" s="1606"/>
      <c r="F363" s="1606"/>
      <c r="G363" s="71"/>
    </row>
    <row r="364" spans="1:8" ht="13.5" thickTop="1">
      <c r="A364" s="140"/>
      <c r="B364" s="140"/>
      <c r="C364" s="140"/>
      <c r="D364" s="1610" t="s">
        <v>1767</v>
      </c>
      <c r="E364" s="1610"/>
      <c r="F364" s="1610"/>
      <c r="G364" s="8"/>
    </row>
    <row r="365" spans="1:8" ht="12.75">
      <c r="A365" s="140"/>
      <c r="B365" s="140"/>
      <c r="C365" s="140"/>
      <c r="D365" s="287"/>
      <c r="E365" s="8"/>
      <c r="F365" s="8"/>
      <c r="G365" s="8"/>
    </row>
    <row r="366" spans="1:8" ht="14.25">
      <c r="A366" s="413"/>
      <c r="B366" s="948" t="s">
        <v>136</v>
      </c>
      <c r="C366" s="596"/>
      <c r="D366" s="1604" t="s">
        <v>1772</v>
      </c>
      <c r="E366" s="1604"/>
      <c r="F366" s="1604"/>
      <c r="G366" s="8"/>
    </row>
    <row r="367" spans="1:8" ht="14.25">
      <c r="A367" s="413"/>
      <c r="B367" s="413"/>
      <c r="C367" s="596"/>
      <c r="D367" s="665"/>
      <c r="E367" s="8"/>
      <c r="F367" s="8"/>
      <c r="G367" s="8"/>
    </row>
    <row r="368" spans="1:8" ht="14.25">
      <c r="A368" s="413"/>
      <c r="B368" s="948" t="s">
        <v>136</v>
      </c>
      <c r="C368" s="596"/>
      <c r="D368" s="1608" t="s">
        <v>1775</v>
      </c>
      <c r="E368" s="1609"/>
      <c r="F368" s="1609"/>
      <c r="G368" s="8"/>
    </row>
    <row r="369" spans="1:7" ht="14.25">
      <c r="A369" s="413"/>
      <c r="B369" s="413"/>
      <c r="C369" s="596"/>
      <c r="D369" s="1609"/>
      <c r="E369" s="1609"/>
      <c r="F369" s="1609"/>
      <c r="G369" s="8"/>
    </row>
    <row r="370" spans="1:7" ht="14.25">
      <c r="A370" s="413"/>
      <c r="B370" s="413"/>
      <c r="C370" s="596"/>
      <c r="D370" s="1609"/>
      <c r="E370" s="1609"/>
      <c r="F370" s="1609"/>
      <c r="G370" s="8"/>
    </row>
    <row r="371" spans="1:7" ht="14.25">
      <c r="A371" s="413"/>
      <c r="B371" s="413"/>
      <c r="C371" s="596"/>
      <c r="D371" s="1609"/>
      <c r="E371" s="1609"/>
      <c r="F371" s="1609"/>
      <c r="G371" s="8"/>
    </row>
    <row r="372" spans="1:7" ht="14.25">
      <c r="A372" s="413"/>
      <c r="B372" s="413"/>
      <c r="C372" s="596"/>
      <c r="D372" s="1609"/>
      <c r="E372" s="1609"/>
      <c r="F372" s="1609"/>
      <c r="G372" s="8"/>
    </row>
    <row r="373" spans="1:7" ht="14.25">
      <c r="A373" s="413"/>
      <c r="B373" s="413"/>
      <c r="C373" s="596"/>
      <c r="D373" s="1609"/>
      <c r="E373" s="1609"/>
      <c r="F373" s="1609"/>
      <c r="G373" s="8"/>
    </row>
    <row r="374" spans="1:7" ht="14.25">
      <c r="A374" s="413"/>
      <c r="B374" s="413"/>
      <c r="C374" s="596"/>
      <c r="D374" s="1609"/>
      <c r="E374" s="1609"/>
      <c r="F374" s="1609"/>
      <c r="G374" s="8"/>
    </row>
    <row r="375" spans="1:7" ht="14.25">
      <c r="A375" s="413"/>
      <c r="B375" s="413"/>
      <c r="C375" s="596"/>
      <c r="D375" s="1609"/>
      <c r="E375" s="1609"/>
      <c r="F375" s="1609"/>
      <c r="G375" s="8"/>
    </row>
    <row r="376" spans="1:7" ht="14.25">
      <c r="A376" s="413"/>
      <c r="B376" s="413"/>
      <c r="C376" s="596"/>
      <c r="D376" s="1609"/>
      <c r="E376" s="1609"/>
      <c r="F376" s="1609"/>
      <c r="G376" s="8"/>
    </row>
    <row r="377" spans="1:7" ht="14.25">
      <c r="A377" s="413"/>
      <c r="B377" s="413"/>
      <c r="C377" s="596"/>
      <c r="D377" s="1609"/>
      <c r="E377" s="1609"/>
      <c r="F377" s="1609"/>
      <c r="G377" s="8"/>
    </row>
    <row r="378" spans="1:7" ht="14.25">
      <c r="A378" s="413"/>
      <c r="B378" s="413"/>
      <c r="C378" s="596"/>
      <c r="D378" s="989"/>
      <c r="E378" s="989"/>
      <c r="F378" s="989"/>
      <c r="G378" s="8"/>
    </row>
    <row r="379" spans="1:7" ht="14.25">
      <c r="A379" s="413"/>
      <c r="B379" s="948" t="s">
        <v>136</v>
      </c>
      <c r="C379" s="596"/>
      <c r="D379" s="1602" t="s">
        <v>1768</v>
      </c>
      <c r="E379" s="1602"/>
      <c r="F379" s="1602"/>
      <c r="G379" s="8"/>
    </row>
    <row r="380" spans="1:7" ht="12.75">
      <c r="A380" s="596"/>
      <c r="B380" s="596"/>
      <c r="C380" s="596"/>
      <c r="D380" s="1602"/>
      <c r="E380" s="1602"/>
      <c r="F380" s="1602"/>
      <c r="G380" s="8"/>
    </row>
    <row r="381" spans="1:7" ht="12.75">
      <c r="A381" s="596"/>
      <c r="B381" s="596"/>
      <c r="C381" s="596"/>
      <c r="D381" s="1602"/>
      <c r="E381" s="1602"/>
      <c r="F381" s="1602"/>
      <c r="G381" s="8"/>
    </row>
    <row r="382" spans="1:7" ht="12.75">
      <c r="A382" s="596"/>
      <c r="B382" s="596"/>
      <c r="C382" s="596"/>
      <c r="D382" s="1602"/>
      <c r="E382" s="1602"/>
      <c r="F382" s="1602"/>
      <c r="G382" s="8"/>
    </row>
    <row r="383" spans="1:7" ht="12.75">
      <c r="A383" s="596"/>
      <c r="B383" s="596"/>
      <c r="C383" s="596"/>
      <c r="D383" s="993"/>
      <c r="E383" s="993"/>
      <c r="F383" s="993"/>
      <c r="G383" s="8"/>
    </row>
    <row r="384" spans="1:7" ht="12.75">
      <c r="A384" s="596"/>
      <c r="B384" s="596"/>
      <c r="C384" s="596"/>
      <c r="D384" s="1602" t="s">
        <v>1769</v>
      </c>
      <c r="E384" s="1602"/>
      <c r="F384" s="1602"/>
      <c r="G384" s="8"/>
    </row>
    <row r="385" spans="1:7" ht="12.75">
      <c r="A385" s="596"/>
      <c r="B385" s="596"/>
      <c r="C385" s="596"/>
      <c r="D385" s="1602"/>
      <c r="E385" s="1602"/>
      <c r="F385" s="1602"/>
      <c r="G385" s="8"/>
    </row>
    <row r="386" spans="1:7" ht="12.75">
      <c r="A386" s="596"/>
      <c r="B386" s="596"/>
      <c r="C386" s="596"/>
      <c r="D386" s="1602"/>
      <c r="E386" s="1602"/>
      <c r="F386" s="1602"/>
      <c r="G386" s="8"/>
    </row>
    <row r="387" spans="1:7" ht="12.75">
      <c r="A387" s="596"/>
      <c r="B387" s="596"/>
      <c r="C387" s="596"/>
      <c r="D387" s="1602"/>
      <c r="E387" s="1602"/>
      <c r="F387" s="1602"/>
      <c r="G387" s="8"/>
    </row>
    <row r="388" spans="1:7" ht="12.75">
      <c r="A388" s="596"/>
      <c r="B388" s="596"/>
      <c r="C388" s="596"/>
      <c r="D388" s="1602"/>
      <c r="E388" s="1602"/>
      <c r="F388" s="1602"/>
      <c r="G388" s="8"/>
    </row>
    <row r="389" spans="1:7" ht="12.75">
      <c r="A389" s="596"/>
      <c r="B389" s="596"/>
      <c r="C389" s="596"/>
      <c r="D389" s="1602"/>
      <c r="E389" s="1602"/>
      <c r="F389" s="1602"/>
      <c r="G389" s="8"/>
    </row>
    <row r="390" spans="1:7" ht="12.75">
      <c r="A390" s="596"/>
      <c r="B390" s="596"/>
      <c r="C390" s="596"/>
      <c r="D390" s="1602"/>
      <c r="E390" s="1602"/>
      <c r="F390" s="1602"/>
      <c r="G390" s="8"/>
    </row>
    <row r="391" spans="1:7" ht="12.75">
      <c r="A391" s="596"/>
      <c r="B391" s="596"/>
      <c r="C391" s="596"/>
      <c r="D391" s="1602"/>
      <c r="E391" s="1602"/>
      <c r="F391" s="1602"/>
      <c r="G391" s="8"/>
    </row>
    <row r="392" spans="1:7" ht="12.75">
      <c r="A392" s="596"/>
      <c r="B392" s="596"/>
      <c r="C392" s="596"/>
      <c r="D392" s="1602"/>
      <c r="E392" s="1602"/>
      <c r="F392" s="1602"/>
      <c r="G392" s="8"/>
    </row>
    <row r="393" spans="1:7" ht="13.7" customHeight="1">
      <c r="A393" s="596"/>
      <c r="B393" s="596"/>
      <c r="C393" s="596"/>
      <c r="D393" s="1582" t="s">
        <v>1773</v>
      </c>
      <c r="E393" s="1582"/>
      <c r="F393" s="1582"/>
      <c r="G393" s="8"/>
    </row>
    <row r="394" spans="1:7" ht="13.7" customHeight="1">
      <c r="A394" s="596"/>
      <c r="B394" s="596"/>
      <c r="C394" s="596"/>
      <c r="D394" s="1582"/>
      <c r="E394" s="1582"/>
      <c r="F394" s="1582"/>
      <c r="G394" s="8"/>
    </row>
    <row r="395" spans="1:7" ht="13.7" customHeight="1">
      <c r="A395" s="596"/>
      <c r="B395" s="596"/>
      <c r="C395" s="596"/>
      <c r="D395" s="1582"/>
      <c r="E395" s="1582"/>
      <c r="F395" s="1582"/>
      <c r="G395" s="8"/>
    </row>
    <row r="396" spans="1:7" ht="13.7" customHeight="1">
      <c r="A396" s="596"/>
      <c r="B396" s="596"/>
      <c r="C396" s="596"/>
      <c r="D396" s="1582"/>
      <c r="E396" s="1582"/>
      <c r="F396" s="1582"/>
      <c r="G396" s="8"/>
    </row>
    <row r="397" spans="1:7" ht="13.7" customHeight="1">
      <c r="A397" s="596"/>
      <c r="B397" s="596"/>
      <c r="C397" s="596"/>
      <c r="D397" s="1582"/>
      <c r="E397" s="1582"/>
      <c r="F397" s="1582"/>
      <c r="G397" s="8"/>
    </row>
    <row r="398" spans="1:7" ht="13.7" customHeight="1">
      <c r="A398" s="596"/>
      <c r="B398" s="596"/>
      <c r="C398" s="596"/>
      <c r="D398" s="1582"/>
      <c r="E398" s="1582"/>
      <c r="F398" s="1582"/>
      <c r="G398" s="8"/>
    </row>
    <row r="399" spans="1:7" ht="13.7" customHeight="1">
      <c r="A399" s="596"/>
      <c r="B399" s="596"/>
      <c r="C399" s="596"/>
      <c r="D399" s="1582"/>
      <c r="E399" s="1582"/>
      <c r="F399" s="1582"/>
      <c r="G399" s="8"/>
    </row>
    <row r="400" spans="1:7" ht="13.7" customHeight="1">
      <c r="A400" s="596"/>
      <c r="B400" s="596"/>
      <c r="C400" s="596"/>
      <c r="D400" s="1582"/>
      <c r="E400" s="1582"/>
      <c r="F400" s="1582"/>
      <c r="G400" s="8"/>
    </row>
    <row r="401" spans="1:7" ht="13.7" customHeight="1">
      <c r="A401" s="596"/>
      <c r="B401" s="596"/>
      <c r="C401" s="596"/>
      <c r="D401" s="1582"/>
      <c r="E401" s="1582"/>
      <c r="F401" s="1582"/>
      <c r="G401" s="8"/>
    </row>
    <row r="402" spans="1:7" ht="13.7" customHeight="1">
      <c r="A402" s="596"/>
      <c r="B402" s="596"/>
      <c r="C402" s="596"/>
      <c r="D402" s="1582"/>
      <c r="E402" s="1582"/>
      <c r="F402" s="1582"/>
      <c r="G402" s="8"/>
    </row>
    <row r="403" spans="1:7" ht="13.7" customHeight="1">
      <c r="A403" s="596"/>
      <c r="B403" s="596"/>
      <c r="C403" s="596"/>
      <c r="D403" s="1582"/>
      <c r="E403" s="1582"/>
      <c r="F403" s="1582"/>
      <c r="G403" s="8"/>
    </row>
    <row r="404" spans="1:7" ht="13.7" customHeight="1">
      <c r="A404" s="596"/>
      <c r="B404" s="596"/>
      <c r="C404" s="596"/>
      <c r="D404" s="1582"/>
      <c r="E404" s="1582"/>
      <c r="F404" s="1582"/>
      <c r="G404" s="8"/>
    </row>
    <row r="405" spans="1:7" ht="13.7" customHeight="1">
      <c r="A405" s="596"/>
      <c r="B405" s="596"/>
      <c r="C405" s="596"/>
      <c r="D405" s="1582"/>
      <c r="E405" s="1582"/>
      <c r="F405" s="1582"/>
      <c r="G405" s="8"/>
    </row>
    <row r="406" spans="1:7" ht="13.7" customHeight="1">
      <c r="A406" s="596"/>
      <c r="B406" s="596"/>
      <c r="C406" s="596"/>
      <c r="D406" s="1582"/>
      <c r="E406" s="1582"/>
      <c r="F406" s="1582"/>
      <c r="G406" s="8"/>
    </row>
    <row r="407" spans="1:7" ht="13.7" customHeight="1">
      <c r="A407" s="596"/>
      <c r="B407" s="596"/>
      <c r="C407" s="596"/>
      <c r="D407" s="1582"/>
      <c r="E407" s="1582"/>
      <c r="F407" s="1582"/>
      <c r="G407" s="8"/>
    </row>
    <row r="408" spans="1:7" ht="13.7" customHeight="1">
      <c r="A408" s="596"/>
      <c r="B408" s="596"/>
      <c r="C408" s="596"/>
      <c r="D408" s="1582"/>
      <c r="E408" s="1582"/>
      <c r="F408" s="1582"/>
      <c r="G408" s="8"/>
    </row>
    <row r="409" spans="1:7" ht="13.7" customHeight="1">
      <c r="A409" s="596"/>
      <c r="B409" s="596"/>
      <c r="C409" s="596"/>
      <c r="D409" s="1582"/>
      <c r="E409" s="1582"/>
      <c r="F409" s="1582"/>
      <c r="G409" s="8"/>
    </row>
    <row r="410" spans="1:7" ht="13.7" customHeight="1">
      <c r="A410" s="596"/>
      <c r="B410" s="596"/>
      <c r="C410" s="596"/>
      <c r="D410" s="1582"/>
      <c r="E410" s="1582"/>
      <c r="F410" s="1582"/>
      <c r="G410" s="8"/>
    </row>
    <row r="411" spans="1:7" ht="12.75">
      <c r="A411" s="596"/>
      <c r="B411" s="596"/>
      <c r="C411" s="596"/>
      <c r="D411" s="806"/>
      <c r="E411" s="8"/>
      <c r="F411" s="8"/>
      <c r="G411" s="8"/>
    </row>
    <row r="412" spans="1:7" ht="13.7" customHeight="1">
      <c r="A412" s="596"/>
      <c r="B412" s="948" t="s">
        <v>136</v>
      </c>
      <c r="C412" s="596"/>
      <c r="D412" s="1582" t="s">
        <v>1770</v>
      </c>
      <c r="E412" s="1582"/>
      <c r="F412" s="1582"/>
      <c r="G412" s="8"/>
    </row>
    <row r="413" spans="1:7" ht="12.75">
      <c r="A413" s="596"/>
      <c r="B413" s="596"/>
      <c r="C413" s="596"/>
      <c r="D413" s="1582"/>
      <c r="E413" s="1582"/>
      <c r="F413" s="1582"/>
      <c r="G413" s="8"/>
    </row>
    <row r="414" spans="1:7" ht="12.75">
      <c r="A414" s="596"/>
      <c r="B414" s="596"/>
      <c r="C414" s="596"/>
      <c r="D414" s="1351"/>
      <c r="E414" s="1351"/>
      <c r="F414" s="1351"/>
      <c r="G414" s="8"/>
    </row>
    <row r="415" spans="1:7" ht="12.75">
      <c r="A415" s="596"/>
      <c r="B415" s="1353" t="s">
        <v>136</v>
      </c>
      <c r="C415" s="596"/>
      <c r="D415" s="1586" t="s">
        <v>2143</v>
      </c>
      <c r="E415" s="1586"/>
      <c r="F415" s="1586"/>
      <c r="G415" s="8"/>
    </row>
    <row r="416" spans="1:7" ht="12.75">
      <c r="A416" s="596"/>
      <c r="B416" s="596"/>
      <c r="C416" s="596"/>
      <c r="D416" s="1586"/>
      <c r="E416" s="1586"/>
      <c r="F416" s="1586"/>
      <c r="G416" s="8"/>
    </row>
    <row r="417" spans="1:7" ht="12.75">
      <c r="A417" s="596"/>
      <c r="B417" s="596"/>
      <c r="C417" s="596"/>
      <c r="D417" s="1586"/>
      <c r="E417" s="1586"/>
      <c r="F417" s="1586"/>
      <c r="G417" s="8"/>
    </row>
    <row r="418" spans="1:7" ht="12.75">
      <c r="A418" s="596"/>
      <c r="B418" s="596"/>
      <c r="C418" s="596"/>
      <c r="D418" s="1586"/>
      <c r="E418" s="1586"/>
      <c r="F418" s="1586"/>
      <c r="G418" s="8"/>
    </row>
    <row r="419" spans="1:7" ht="12.75">
      <c r="A419" s="596"/>
      <c r="B419" s="596"/>
      <c r="C419" s="596"/>
      <c r="D419" s="1586"/>
      <c r="E419" s="1586"/>
      <c r="F419" s="1586"/>
      <c r="G419" s="8"/>
    </row>
    <row r="420" spans="1:7" ht="12.75">
      <c r="A420" s="596"/>
      <c r="B420" s="596"/>
      <c r="C420" s="596"/>
      <c r="D420" s="1586"/>
      <c r="E420" s="1586"/>
      <c r="F420" s="1586"/>
      <c r="G420" s="8"/>
    </row>
    <row r="421" spans="1:7" ht="14.45" customHeight="1">
      <c r="A421" s="413"/>
      <c r="B421" s="948" t="s">
        <v>136</v>
      </c>
      <c r="C421" s="596"/>
      <c r="D421" s="1586" t="s">
        <v>2120</v>
      </c>
      <c r="E421" s="1586"/>
      <c r="F421" s="1586"/>
      <c r="G421" s="8"/>
    </row>
    <row r="422" spans="1:7" ht="14.25">
      <c r="A422" s="807"/>
      <c r="B422" s="807"/>
      <c r="C422" s="596"/>
      <c r="D422" s="1586"/>
      <c r="E422" s="1586"/>
      <c r="F422" s="1586"/>
      <c r="G422" s="8"/>
    </row>
    <row r="423" spans="1:7" ht="14.25">
      <c r="A423" s="807"/>
      <c r="B423" s="807"/>
      <c r="C423" s="596"/>
      <c r="D423" s="1586"/>
      <c r="E423" s="1586"/>
      <c r="F423" s="1586"/>
      <c r="G423" s="8"/>
    </row>
    <row r="424" spans="1:7" ht="14.25">
      <c r="A424" s="807"/>
      <c r="B424" s="807"/>
      <c r="C424" s="596"/>
      <c r="D424" s="1586"/>
      <c r="E424" s="1586"/>
      <c r="F424" s="1586"/>
      <c r="G424" s="8"/>
    </row>
    <row r="425" spans="1:7" ht="14.25" customHeight="1">
      <c r="A425" s="807"/>
      <c r="B425" s="807"/>
      <c r="C425" s="596"/>
      <c r="D425" s="1587" t="s">
        <v>2139</v>
      </c>
      <c r="E425" s="1587"/>
      <c r="F425" s="1587"/>
      <c r="G425" s="8"/>
    </row>
    <row r="426" spans="1:7" ht="12.75">
      <c r="A426" s="140"/>
      <c r="B426" s="140"/>
      <c r="C426" s="140"/>
      <c r="D426" s="143"/>
      <c r="E426" s="8"/>
      <c r="F426" s="8"/>
      <c r="G426" s="8"/>
    </row>
    <row r="427" spans="1:7" ht="14.45" customHeight="1">
      <c r="A427" s="413"/>
      <c r="B427" s="948" t="s">
        <v>136</v>
      </c>
      <c r="C427" s="355"/>
      <c r="D427" s="1581" t="s">
        <v>1776</v>
      </c>
      <c r="E427" s="1581"/>
      <c r="F427" s="1581"/>
      <c r="G427" s="8"/>
    </row>
    <row r="428" spans="1:7" ht="14.25">
      <c r="A428" s="413"/>
      <c r="B428" s="413"/>
      <c r="C428" s="140"/>
      <c r="D428" s="1581"/>
      <c r="E428" s="1581"/>
      <c r="F428" s="1581"/>
      <c r="G428" s="8"/>
    </row>
    <row r="429" spans="1:7" ht="14.25">
      <c r="A429" s="413"/>
      <c r="B429" s="413"/>
      <c r="C429" s="990"/>
      <c r="D429" s="1581"/>
      <c r="E429" s="1581"/>
      <c r="F429" s="1581"/>
      <c r="G429" s="8"/>
    </row>
    <row r="430" spans="1:7" ht="14.25">
      <c r="A430" s="413"/>
      <c r="B430" s="413"/>
      <c r="C430" s="990"/>
      <c r="D430" s="1581"/>
      <c r="E430" s="1581"/>
      <c r="F430" s="1581"/>
      <c r="G430" s="8"/>
    </row>
    <row r="431" spans="1:7" ht="14.25">
      <c r="A431" s="413"/>
      <c r="B431" s="413"/>
      <c r="C431" s="990"/>
      <c r="D431" s="1581"/>
      <c r="E431" s="1581"/>
      <c r="F431" s="1581"/>
      <c r="G431" s="8"/>
    </row>
    <row r="432" spans="1:7" ht="14.25">
      <c r="A432" s="413"/>
      <c r="B432" s="413"/>
      <c r="C432" s="990"/>
      <c r="D432" s="1581"/>
      <c r="E432" s="1581"/>
      <c r="F432" s="1581"/>
      <c r="G432" s="8"/>
    </row>
    <row r="433" spans="1:7" ht="14.25">
      <c r="A433" s="413"/>
      <c r="B433" s="413"/>
      <c r="C433" s="990"/>
      <c r="D433" s="1581"/>
      <c r="E433" s="1581"/>
      <c r="F433" s="1581"/>
      <c r="G433" s="8"/>
    </row>
    <row r="434" spans="1:7" ht="14.25">
      <c r="A434" s="413"/>
      <c r="B434" s="413"/>
      <c r="C434" s="990"/>
      <c r="D434" s="1581"/>
      <c r="E434" s="1581"/>
      <c r="F434" s="1581"/>
      <c r="G434" s="8"/>
    </row>
    <row r="435" spans="1:7" ht="14.25">
      <c r="A435" s="413"/>
      <c r="B435" s="413"/>
      <c r="C435" s="990"/>
      <c r="D435" s="1581"/>
      <c r="E435" s="1581"/>
      <c r="F435" s="1581"/>
      <c r="G435" s="8"/>
    </row>
    <row r="436" spans="1:7" ht="14.25">
      <c r="A436" s="413"/>
      <c r="B436" s="413"/>
      <c r="C436" s="990"/>
      <c r="D436" s="1581"/>
      <c r="E436" s="1581"/>
      <c r="F436" s="1581"/>
      <c r="G436" s="8"/>
    </row>
    <row r="437" spans="1:7" ht="14.25">
      <c r="A437" s="413"/>
      <c r="B437" s="413"/>
      <c r="C437" s="990"/>
      <c r="D437" s="1581"/>
      <c r="E437" s="1581"/>
      <c r="F437" s="1581"/>
      <c r="G437" s="8"/>
    </row>
    <row r="438" spans="1:7" ht="14.25">
      <c r="A438" s="413"/>
      <c r="B438" s="413"/>
      <c r="C438" s="990"/>
      <c r="D438" s="1581"/>
      <c r="E438" s="1581"/>
      <c r="F438" s="1581"/>
      <c r="G438" s="8"/>
    </row>
    <row r="439" spans="1:7" ht="14.25">
      <c r="A439" s="413"/>
      <c r="B439" s="413"/>
      <c r="C439" s="990"/>
      <c r="D439" s="1581"/>
      <c r="E439" s="1581"/>
      <c r="F439" s="1581"/>
      <c r="G439" s="8"/>
    </row>
    <row r="440" spans="1:7" ht="14.25">
      <c r="A440" s="413"/>
      <c r="B440" s="413"/>
      <c r="C440" s="990"/>
      <c r="D440" s="1581"/>
      <c r="E440" s="1581"/>
      <c r="F440" s="1581"/>
      <c r="G440" s="8"/>
    </row>
    <row r="441" spans="1:7" ht="14.25">
      <c r="A441" s="413"/>
      <c r="B441" s="413"/>
      <c r="C441" s="990"/>
      <c r="D441" s="1581"/>
      <c r="E441" s="1581"/>
      <c r="F441" s="1581"/>
      <c r="G441" s="8"/>
    </row>
    <row r="442" spans="1:7" ht="14.25">
      <c r="A442" s="413"/>
      <c r="B442" s="413"/>
      <c r="C442" s="990"/>
      <c r="D442" s="1581"/>
      <c r="E442" s="1581"/>
      <c r="F442" s="1581"/>
      <c r="G442" s="8"/>
    </row>
    <row r="443" spans="1:7" ht="14.25">
      <c r="A443" s="413"/>
      <c r="B443" s="413"/>
      <c r="C443" s="990"/>
      <c r="D443" s="1581"/>
      <c r="E443" s="1581"/>
      <c r="F443" s="1581"/>
      <c r="G443" s="8"/>
    </row>
    <row r="444" spans="1:7" ht="14.25">
      <c r="A444" s="413"/>
      <c r="B444" s="413"/>
      <c r="C444" s="990"/>
      <c r="D444" s="1581"/>
      <c r="E444" s="1581"/>
      <c r="F444" s="1581"/>
      <c r="G444" s="8"/>
    </row>
    <row r="445" spans="1:7" ht="14.25">
      <c r="A445" s="413"/>
      <c r="B445" s="413"/>
      <c r="C445" s="990"/>
      <c r="D445" s="1581"/>
      <c r="E445" s="1581"/>
      <c r="F445" s="1581"/>
      <c r="G445" s="8"/>
    </row>
    <row r="446" spans="1:7" ht="14.25">
      <c r="A446" s="413"/>
      <c r="B446" s="413"/>
      <c r="C446" s="990"/>
      <c r="D446" s="1581"/>
      <c r="E446" s="1581"/>
      <c r="F446" s="1581"/>
      <c r="G446" s="8"/>
    </row>
    <row r="447" spans="1:7" ht="14.25">
      <c r="A447" s="413"/>
      <c r="B447" s="413"/>
      <c r="C447" s="990"/>
      <c r="D447" s="1581"/>
      <c r="E447" s="1581"/>
      <c r="F447" s="1581"/>
      <c r="G447" s="8"/>
    </row>
    <row r="448" spans="1:7" ht="14.25">
      <c r="A448" s="413"/>
      <c r="B448" s="413"/>
      <c r="C448" s="990"/>
      <c r="D448" s="1581"/>
      <c r="E448" s="1581"/>
      <c r="F448" s="1581"/>
      <c r="G448" s="8"/>
    </row>
    <row r="449" spans="1:7" ht="14.25">
      <c r="A449" s="413"/>
      <c r="B449" s="413"/>
      <c r="C449" s="990"/>
      <c r="D449" s="1581"/>
      <c r="E449" s="1581"/>
      <c r="F449" s="1581"/>
      <c r="G449" s="8"/>
    </row>
    <row r="450" spans="1:7" ht="14.25">
      <c r="A450" s="413"/>
      <c r="B450" s="413"/>
      <c r="C450" s="990"/>
      <c r="D450" s="1581"/>
      <c r="E450" s="1581"/>
      <c r="F450" s="1581"/>
      <c r="G450" s="8"/>
    </row>
    <row r="451" spans="1:7" ht="14.25">
      <c r="A451" s="413"/>
      <c r="B451" s="413"/>
      <c r="C451" s="990"/>
      <c r="D451" s="1581"/>
      <c r="E451" s="1581"/>
      <c r="F451" s="1581"/>
      <c r="G451" s="8"/>
    </row>
    <row r="452" spans="1:7" ht="14.25">
      <c r="A452" s="413"/>
      <c r="B452" s="413"/>
      <c r="C452" s="990"/>
      <c r="D452" s="1581"/>
      <c r="E452" s="1581"/>
      <c r="F452" s="1581"/>
      <c r="G452" s="8"/>
    </row>
    <row r="453" spans="1:7" ht="14.25">
      <c r="A453" s="413"/>
      <c r="B453" s="413"/>
      <c r="C453" s="990"/>
      <c r="D453" s="1581"/>
      <c r="E453" s="1581"/>
      <c r="F453" s="1581"/>
      <c r="G453" s="8"/>
    </row>
    <row r="454" spans="1:7" ht="14.25">
      <c r="A454" s="413"/>
      <c r="B454" s="413"/>
      <c r="C454" s="990"/>
      <c r="D454" s="1581"/>
      <c r="E454" s="1581"/>
      <c r="F454" s="1581"/>
      <c r="G454" s="8"/>
    </row>
    <row r="455" spans="1:7" ht="14.25">
      <c r="A455" s="413"/>
      <c r="B455" s="413"/>
      <c r="C455" s="990"/>
      <c r="D455" s="1581"/>
      <c r="E455" s="1581"/>
      <c r="F455" s="1581"/>
      <c r="G455" s="8"/>
    </row>
    <row r="456" spans="1:7" ht="14.25">
      <c r="A456" s="413"/>
      <c r="B456" s="413"/>
      <c r="C456" s="990"/>
      <c r="D456" s="1581"/>
      <c r="E456" s="1581"/>
      <c r="F456" s="1581"/>
      <c r="G456" s="8"/>
    </row>
    <row r="457" spans="1:7" ht="12.75" hidden="1">
      <c r="A457" s="140"/>
      <c r="B457" s="140"/>
      <c r="C457" s="140"/>
      <c r="D457" s="1581"/>
      <c r="E457" s="1581"/>
      <c r="F457" s="1581"/>
      <c r="G457" s="8"/>
    </row>
    <row r="458" spans="1:7" ht="12.75" hidden="1">
      <c r="A458" s="140"/>
      <c r="B458" s="140"/>
      <c r="C458" s="140"/>
      <c r="D458" s="143"/>
      <c r="E458" s="40"/>
      <c r="F458" s="40"/>
      <c r="G458" s="40"/>
    </row>
    <row r="459" spans="1:7" ht="14.25">
      <c r="A459" s="413"/>
      <c r="B459" s="948" t="s">
        <v>136</v>
      </c>
      <c r="C459" s="355"/>
      <c r="D459" s="1583" t="s">
        <v>1774</v>
      </c>
      <c r="E459" s="1583"/>
      <c r="F459" s="1583"/>
      <c r="G459" s="8"/>
    </row>
    <row r="460" spans="1:7" ht="12.75">
      <c r="A460" s="140"/>
      <c r="B460" s="140"/>
      <c r="C460" s="140"/>
      <c r="D460" s="1584" t="s">
        <v>2116</v>
      </c>
      <c r="E460" s="1584"/>
      <c r="F460" s="1584"/>
      <c r="G460" s="8"/>
    </row>
    <row r="461" spans="1:7" ht="13.7" customHeight="1">
      <c r="A461" s="140"/>
      <c r="B461" s="140"/>
      <c r="C461" s="140"/>
      <c r="D461" s="1585" t="s">
        <v>2117</v>
      </c>
      <c r="E461" s="1579"/>
      <c r="F461" s="1579"/>
      <c r="G461" s="8"/>
    </row>
    <row r="462" spans="1:7" ht="13.7" customHeight="1">
      <c r="A462" s="990"/>
      <c r="B462" s="990"/>
      <c r="C462" s="990"/>
      <c r="D462" s="1579"/>
      <c r="E462" s="1579"/>
      <c r="F462" s="1579"/>
      <c r="G462" s="8"/>
    </row>
    <row r="463" spans="1:7" ht="13.7" customHeight="1">
      <c r="A463" s="990"/>
      <c r="B463" s="990"/>
      <c r="C463" s="990"/>
      <c r="D463" s="1579"/>
      <c r="E463" s="1579"/>
      <c r="F463" s="1579"/>
      <c r="G463" s="8"/>
    </row>
    <row r="464" spans="1:7" ht="12.75">
      <c r="A464" s="140"/>
      <c r="B464" s="140"/>
      <c r="C464" s="140"/>
      <c r="D464" s="143"/>
      <c r="E464" s="8"/>
      <c r="F464" s="8"/>
      <c r="G464" s="8"/>
    </row>
    <row r="465" spans="1:7" ht="14.45" customHeight="1">
      <c r="A465" s="413"/>
      <c r="B465" s="948" t="s">
        <v>136</v>
      </c>
      <c r="C465" s="355"/>
      <c r="D465" s="1581" t="s">
        <v>1777</v>
      </c>
      <c r="E465" s="1581"/>
      <c r="F465" s="1581"/>
      <c r="G465" s="8"/>
    </row>
    <row r="466" spans="1:7" ht="12.75">
      <c r="A466" s="140"/>
      <c r="B466" s="140"/>
      <c r="C466" s="140"/>
      <c r="D466" s="1581"/>
      <c r="E466" s="1581"/>
      <c r="F466" s="1581"/>
      <c r="G466" s="8"/>
    </row>
    <row r="467" spans="1:7" ht="12.75">
      <c r="A467" s="140"/>
      <c r="B467" s="140"/>
      <c r="C467" s="140"/>
      <c r="D467" s="1581"/>
      <c r="E467" s="1581"/>
      <c r="F467" s="1581"/>
      <c r="G467" s="8"/>
    </row>
    <row r="468" spans="1:7" ht="12.75">
      <c r="A468" s="990"/>
      <c r="B468" s="990"/>
      <c r="C468" s="990"/>
      <c r="D468" s="988"/>
      <c r="E468" s="988"/>
      <c r="F468" s="988"/>
      <c r="G468" s="8"/>
    </row>
    <row r="469" spans="1:7" ht="14.25">
      <c r="A469" s="140"/>
      <c r="B469" s="948" t="s">
        <v>136</v>
      </c>
      <c r="C469" s="413"/>
      <c r="D469" s="1585" t="s">
        <v>1936</v>
      </c>
      <c r="E469" s="1579"/>
      <c r="F469" s="1579"/>
      <c r="G469" s="8"/>
    </row>
    <row r="470" spans="1:7" ht="12.75">
      <c r="A470" s="140"/>
      <c r="B470" s="140"/>
      <c r="C470" s="140"/>
      <c r="D470" s="1579"/>
      <c r="E470" s="1579"/>
      <c r="F470" s="1579"/>
      <c r="G470" s="8"/>
    </row>
    <row r="471" spans="1:7" ht="12.75">
      <c r="A471" s="140"/>
      <c r="B471" s="140"/>
      <c r="C471" s="140"/>
      <c r="D471" s="143"/>
      <c r="E471" s="700"/>
      <c r="F471" s="8"/>
      <c r="G471" s="8"/>
    </row>
    <row r="472" spans="1:7" ht="14.25">
      <c r="A472" s="140"/>
      <c r="B472" s="948" t="s">
        <v>136</v>
      </c>
      <c r="C472" s="413"/>
      <c r="D472" s="1579" t="s">
        <v>1778</v>
      </c>
      <c r="E472" s="1579"/>
      <c r="F472" s="1579"/>
      <c r="G472" s="8"/>
    </row>
    <row r="473" spans="1:7" ht="12.75">
      <c r="A473" s="140"/>
      <c r="B473" s="140"/>
      <c r="C473" s="140"/>
      <c r="D473" s="1579"/>
      <c r="E473" s="1579"/>
      <c r="F473" s="1579"/>
      <c r="G473" s="8"/>
    </row>
    <row r="474" spans="1:7" ht="12.75">
      <c r="A474" s="140"/>
      <c r="B474" s="140"/>
      <c r="C474" s="140"/>
      <c r="D474" s="1579"/>
      <c r="E474" s="1579"/>
      <c r="F474" s="1579"/>
      <c r="G474" s="8"/>
    </row>
    <row r="475" spans="1:7" ht="12.75">
      <c r="A475" s="990"/>
      <c r="B475" s="990"/>
      <c r="C475" s="990"/>
      <c r="D475" s="1579"/>
      <c r="E475" s="1579"/>
      <c r="F475" s="1579"/>
      <c r="G475" s="8"/>
    </row>
    <row r="476" spans="1:7" ht="12.75">
      <c r="A476" s="990"/>
      <c r="B476" s="948" t="s">
        <v>136</v>
      </c>
      <c r="C476" s="990"/>
      <c r="D476" s="1579"/>
      <c r="E476" s="1579"/>
      <c r="F476" s="1579"/>
      <c r="G476" s="8"/>
    </row>
    <row r="477" spans="1:7" ht="12.75">
      <c r="A477" s="990"/>
      <c r="B477" s="990"/>
      <c r="C477" s="990"/>
      <c r="D477" s="1579"/>
      <c r="E477" s="1579"/>
      <c r="F477" s="1579"/>
      <c r="G477" s="8"/>
    </row>
    <row r="478" spans="1:7" ht="12.75">
      <c r="A478" s="990"/>
      <c r="B478" s="990"/>
      <c r="C478" s="990"/>
      <c r="D478" s="1579"/>
      <c r="E478" s="1579"/>
      <c r="F478" s="1579"/>
      <c r="G478" s="8"/>
    </row>
    <row r="479" spans="1:7" ht="12.75">
      <c r="A479" s="990"/>
      <c r="B479" s="948" t="s">
        <v>136</v>
      </c>
      <c r="C479" s="990"/>
      <c r="D479" s="1579"/>
      <c r="E479" s="1579"/>
      <c r="F479" s="1579"/>
      <c r="G479" s="8"/>
    </row>
    <row r="480" spans="1:7" ht="12.75">
      <c r="A480" s="990"/>
      <c r="B480" s="990"/>
      <c r="C480" s="990"/>
      <c r="D480" s="1579"/>
      <c r="E480" s="1579"/>
      <c r="F480" s="1579"/>
      <c r="G480" s="8"/>
    </row>
    <row r="481" spans="1:7" ht="12.75">
      <c r="A481" s="990"/>
      <c r="B481" s="990"/>
      <c r="C481" s="990"/>
      <c r="D481" s="1579"/>
      <c r="E481" s="1579"/>
      <c r="F481" s="1579"/>
      <c r="G481" s="8"/>
    </row>
    <row r="482" spans="1:7" ht="12.75">
      <c r="A482" s="990"/>
      <c r="B482" s="990"/>
      <c r="C482" s="990"/>
      <c r="D482" s="1579"/>
      <c r="E482" s="1579"/>
      <c r="F482" s="1579"/>
      <c r="G482" s="8"/>
    </row>
    <row r="483" spans="1:7" ht="12.75">
      <c r="A483" s="990"/>
      <c r="B483" s="948" t="s">
        <v>136</v>
      </c>
      <c r="C483" s="990"/>
      <c r="D483" s="1579"/>
      <c r="E483" s="1579"/>
      <c r="F483" s="1579"/>
      <c r="G483" s="8"/>
    </row>
    <row r="484" spans="1:7" ht="12.75">
      <c r="A484" s="990"/>
      <c r="B484" s="990"/>
      <c r="C484" s="990"/>
      <c r="D484" s="1579"/>
      <c r="E484" s="1579"/>
      <c r="F484" s="1579"/>
      <c r="G484" s="8"/>
    </row>
    <row r="485" spans="1:7" ht="12.75">
      <c r="A485" s="990"/>
      <c r="B485" s="948" t="s">
        <v>136</v>
      </c>
      <c r="C485" s="990"/>
      <c r="D485" s="1579"/>
      <c r="E485" s="1579"/>
      <c r="F485" s="1579"/>
      <c r="G485" s="8"/>
    </row>
    <row r="486" spans="1:7" ht="12.75">
      <c r="A486" s="990"/>
      <c r="B486" s="14"/>
      <c r="C486" s="990"/>
      <c r="D486" s="1579"/>
      <c r="E486" s="1579"/>
      <c r="F486" s="1579"/>
      <c r="G486" s="8"/>
    </row>
    <row r="487" spans="1:7" ht="13.7" customHeight="1">
      <c r="A487" s="140"/>
      <c r="B487" s="991" t="s">
        <v>136</v>
      </c>
      <c r="C487" s="140"/>
      <c r="D487" s="1579" t="s">
        <v>1779</v>
      </c>
      <c r="E487" s="1579"/>
      <c r="F487" s="1579"/>
      <c r="G487" s="8"/>
    </row>
    <row r="488" spans="1:7" ht="12.75">
      <c r="A488" s="140"/>
      <c r="B488" s="140"/>
      <c r="C488" s="140"/>
      <c r="D488" s="1579"/>
      <c r="E488" s="1579"/>
      <c r="F488" s="1579"/>
      <c r="G488" s="8"/>
    </row>
    <row r="489" spans="1:7" ht="12.75">
      <c r="A489" s="140"/>
      <c r="B489" s="140"/>
      <c r="C489" s="140"/>
      <c r="D489" s="1579"/>
      <c r="E489" s="1579"/>
      <c r="F489" s="1579"/>
      <c r="G489" s="8"/>
    </row>
    <row r="490" spans="1:7" ht="12.75">
      <c r="A490" s="140"/>
      <c r="B490" s="140"/>
      <c r="C490" s="140"/>
      <c r="D490" s="1579"/>
      <c r="E490" s="1579"/>
      <c r="F490" s="1579"/>
      <c r="G490" s="8"/>
    </row>
    <row r="491" spans="1:7" ht="12.75">
      <c r="A491" s="140"/>
      <c r="B491" s="140"/>
      <c r="C491" s="140"/>
      <c r="D491" s="1579"/>
      <c r="E491" s="1579"/>
      <c r="F491" s="1579"/>
      <c r="G491" s="8"/>
    </row>
    <row r="492" spans="1:7" ht="12.75">
      <c r="A492" s="140"/>
      <c r="B492" s="140"/>
      <c r="C492" s="140"/>
      <c r="D492" s="143"/>
      <c r="E492" s="8"/>
      <c r="F492" s="8"/>
      <c r="G492" s="8"/>
    </row>
    <row r="493" spans="1:7" ht="12.75">
      <c r="A493" s="140"/>
      <c r="B493" s="948" t="s">
        <v>136</v>
      </c>
      <c r="C493" s="140"/>
      <c r="D493" s="1591" t="s">
        <v>1579</v>
      </c>
      <c r="E493" s="1591"/>
      <c r="F493" s="1591"/>
      <c r="G493" s="8"/>
    </row>
    <row r="494" spans="1:7" ht="12.75">
      <c r="A494" s="143"/>
      <c r="B494" s="143"/>
      <c r="C494" s="14"/>
      <c r="D494" s="282"/>
      <c r="E494" s="282"/>
      <c r="F494" s="282"/>
    </row>
    <row r="495" spans="1:7" ht="12.75">
      <c r="A495" s="1597" t="s">
        <v>1535</v>
      </c>
      <c r="B495" s="1597"/>
      <c r="C495" s="1597"/>
      <c r="D495" s="1597"/>
      <c r="E495" s="1597"/>
      <c r="F495" s="1597"/>
      <c r="G495" s="1597"/>
    </row>
    <row r="496" spans="1:7" ht="12.75">
      <c r="A496" s="143"/>
      <c r="B496" s="143"/>
      <c r="C496" s="14"/>
      <c r="D496" s="282"/>
      <c r="E496" s="282"/>
      <c r="F496" s="282"/>
    </row>
    <row r="497" spans="1:7" ht="12.75">
      <c r="A497" s="140"/>
      <c r="B497" s="140"/>
      <c r="C497" s="14"/>
      <c r="D497" s="1592" t="s">
        <v>1239</v>
      </c>
      <c r="E497" s="1592"/>
      <c r="F497" s="1592"/>
    </row>
    <row r="498" spans="1:7" ht="12.75">
      <c r="D498" s="1593" t="s">
        <v>1572</v>
      </c>
      <c r="E498" s="1593"/>
      <c r="F498" s="1593"/>
    </row>
    <row r="499" spans="1:7" ht="14.25">
      <c r="A499" s="413"/>
      <c r="B499" s="413"/>
      <c r="C499" s="14"/>
      <c r="D499" s="666"/>
      <c r="E499" s="282"/>
      <c r="F499" s="282"/>
    </row>
    <row r="500" spans="1:7" ht="14.25">
      <c r="A500" s="413"/>
      <c r="B500" s="948" t="s">
        <v>136</v>
      </c>
      <c r="C500" s="14"/>
      <c r="D500" s="1594" t="s">
        <v>1780</v>
      </c>
      <c r="E500" s="1594"/>
      <c r="F500" s="1594"/>
    </row>
    <row r="501" spans="1:7" ht="14.25">
      <c r="A501" s="413"/>
      <c r="B501" s="413"/>
      <c r="C501" s="14"/>
      <c r="D501" s="1594"/>
      <c r="E501" s="1594"/>
      <c r="F501" s="1594"/>
    </row>
    <row r="502" spans="1:7" ht="14.25">
      <c r="A502" s="413"/>
      <c r="B502" s="413"/>
      <c r="C502" s="14"/>
      <c r="D502" s="287"/>
      <c r="E502" s="282"/>
      <c r="F502" s="282"/>
    </row>
    <row r="503" spans="1:7" ht="14.25">
      <c r="A503" s="569"/>
      <c r="B503" s="948" t="s">
        <v>136</v>
      </c>
      <c r="D503" s="1595" t="s">
        <v>2140</v>
      </c>
      <c r="E503" s="1596"/>
      <c r="F503" s="1596"/>
    </row>
    <row r="504" spans="1:7" ht="14.25">
      <c r="A504" s="569"/>
      <c r="B504" s="569"/>
      <c r="D504" s="1596"/>
      <c r="E504" s="1596"/>
      <c r="F504" s="1596"/>
    </row>
    <row r="505" spans="1:7" ht="14.25">
      <c r="A505" s="569"/>
      <c r="B505" s="569"/>
      <c r="D505" s="1596"/>
      <c r="E505" s="1596"/>
      <c r="F505" s="1596"/>
      <c r="G505" s="2"/>
    </row>
    <row r="506" spans="1:7" ht="14.25">
      <c r="A506" s="569"/>
      <c r="B506" s="569"/>
      <c r="D506" s="1596"/>
      <c r="E506" s="1596"/>
      <c r="F506" s="1596"/>
      <c r="G506" s="2"/>
    </row>
    <row r="507" spans="1:7" ht="12.75">
      <c r="A507" s="150"/>
      <c r="B507" s="150"/>
      <c r="G507" s="2"/>
    </row>
    <row r="508" spans="1:7" ht="14.25">
      <c r="A508" s="413"/>
      <c r="B508" s="948" t="s">
        <v>136</v>
      </c>
      <c r="C508" s="14"/>
      <c r="D508" s="1583" t="s">
        <v>1782</v>
      </c>
      <c r="E508" s="1583"/>
      <c r="F508" s="1583"/>
      <c r="G508" s="2"/>
    </row>
    <row r="509" spans="1:7" ht="12.75">
      <c r="A509" s="140"/>
      <c r="B509" s="140"/>
      <c r="C509" s="14"/>
      <c r="D509" s="287"/>
      <c r="E509" s="282"/>
      <c r="F509" s="282"/>
      <c r="G509" s="2"/>
    </row>
    <row r="510" spans="1:7" ht="14.25">
      <c r="A510" s="413"/>
      <c r="B510" s="948" t="s">
        <v>136</v>
      </c>
      <c r="C510" s="14"/>
      <c r="D510" s="1581" t="s">
        <v>1783</v>
      </c>
      <c r="E510" s="1581"/>
      <c r="F510" s="1581"/>
      <c r="G510" s="2"/>
    </row>
    <row r="511" spans="1:7" ht="12.75">
      <c r="A511" s="140"/>
      <c r="B511" s="140"/>
      <c r="C511" s="14"/>
      <c r="D511" s="1581"/>
      <c r="E511" s="1581"/>
      <c r="F511" s="1581"/>
      <c r="G511" s="2"/>
    </row>
    <row r="512" spans="1:7" ht="12.75">
      <c r="A512" s="140"/>
      <c r="B512" s="140"/>
      <c r="C512" s="14"/>
      <c r="D512" s="701"/>
      <c r="E512" s="282"/>
      <c r="F512" s="282"/>
      <c r="G512" s="2"/>
    </row>
    <row r="513" spans="1:7" ht="14.25">
      <c r="A513" s="413"/>
      <c r="B513" s="948" t="s">
        <v>136</v>
      </c>
      <c r="C513" s="14"/>
      <c r="D513" s="1583" t="s">
        <v>1781</v>
      </c>
      <c r="E513" s="1583"/>
      <c r="F513" s="1583"/>
    </row>
    <row r="514" spans="1:7" ht="14.25">
      <c r="A514" s="413"/>
      <c r="B514" s="413"/>
      <c r="C514" s="14"/>
      <c r="D514" s="287"/>
      <c r="E514" s="282"/>
      <c r="F514" s="282"/>
    </row>
    <row r="515" spans="1:7" ht="12.75">
      <c r="A515" s="1597" t="s">
        <v>1536</v>
      </c>
      <c r="B515" s="1597"/>
      <c r="C515" s="1597"/>
      <c r="D515" s="1597"/>
      <c r="E515" s="1597"/>
      <c r="F515" s="1597"/>
      <c r="G515" s="1597"/>
    </row>
    <row r="516" spans="1:7" ht="12" customHeight="1">
      <c r="A516" s="413"/>
      <c r="B516" s="413"/>
      <c r="C516" s="14"/>
      <c r="D516" s="287"/>
      <c r="E516" s="282"/>
      <c r="F516" s="282"/>
    </row>
    <row r="517" spans="1:7" ht="12.75">
      <c r="A517" s="150"/>
      <c r="B517" s="948" t="s">
        <v>1532</v>
      </c>
      <c r="C517" s="406"/>
      <c r="D517" s="1639" t="s">
        <v>1711</v>
      </c>
      <c r="E517" s="1639"/>
      <c r="F517" s="1639"/>
    </row>
    <row r="518" spans="1:7" ht="12.75">
      <c r="A518" s="150"/>
      <c r="C518" s="406"/>
      <c r="D518" s="1639"/>
      <c r="E518" s="1639"/>
      <c r="F518" s="1639"/>
    </row>
    <row r="519" spans="1:7" ht="12.75">
      <c r="A519" s="572"/>
      <c r="B519" s="572"/>
      <c r="C519" s="570"/>
      <c r="D519" s="1639"/>
      <c r="E519" s="1639"/>
      <c r="F519" s="1639"/>
    </row>
    <row r="520" spans="1:7" ht="12.75">
      <c r="A520" s="572"/>
      <c r="B520" s="572"/>
      <c r="C520" s="570"/>
      <c r="D520" s="1639"/>
      <c r="E520" s="1639"/>
      <c r="F520" s="1639"/>
    </row>
    <row r="521" spans="1:7" ht="12.75">
      <c r="A521" s="572"/>
      <c r="B521" s="572"/>
      <c r="C521" s="570"/>
    </row>
    <row r="522" spans="1:7" ht="14.25">
      <c r="A522" s="413"/>
      <c r="B522" s="948" t="s">
        <v>136</v>
      </c>
      <c r="C522" s="322"/>
      <c r="D522" s="1615" t="s">
        <v>1727</v>
      </c>
      <c r="E522" s="1615"/>
      <c r="F522" s="1615"/>
      <c r="G522" s="2"/>
    </row>
    <row r="523" spans="1:7" ht="12.75">
      <c r="A523" s="355"/>
      <c r="B523" s="355"/>
      <c r="C523" s="322"/>
      <c r="D523" s="1615"/>
      <c r="E523" s="1615"/>
      <c r="F523" s="1615"/>
      <c r="G523" s="2"/>
    </row>
    <row r="524" spans="1:7" ht="12.75">
      <c r="A524" s="572"/>
      <c r="B524" s="572"/>
      <c r="C524" s="570"/>
      <c r="D524" s="403"/>
      <c r="G524" s="2"/>
    </row>
    <row r="525" spans="1:7" ht="14.25">
      <c r="A525" s="569"/>
      <c r="B525" s="948" t="s">
        <v>136</v>
      </c>
      <c r="D525" s="1640" t="s">
        <v>1701</v>
      </c>
      <c r="E525" s="1640"/>
      <c r="F525" s="1640"/>
      <c r="G525" s="2"/>
    </row>
    <row r="526" spans="1:7" ht="14.25">
      <c r="A526" s="569"/>
      <c r="B526" s="569"/>
      <c r="D526" s="1640"/>
      <c r="E526" s="1640"/>
      <c r="F526" s="1640"/>
      <c r="G526" s="2"/>
    </row>
    <row r="527" spans="1:7" ht="12.75">
      <c r="A527" s="150"/>
      <c r="B527" s="150"/>
      <c r="D527" s="1640"/>
      <c r="E527" s="1640"/>
      <c r="F527" s="1640"/>
    </row>
    <row r="528" spans="1:7" ht="12" customHeight="1">
      <c r="A528" s="700"/>
      <c r="B528" s="700"/>
      <c r="C528" s="405"/>
      <c r="E528" s="403"/>
    </row>
    <row r="529" spans="1:7" ht="12.75">
      <c r="A529" s="1597" t="s">
        <v>1548</v>
      </c>
      <c r="B529" s="1597"/>
      <c r="C529" s="1597"/>
      <c r="D529" s="1597"/>
      <c r="E529" s="1597"/>
      <c r="F529" s="1597"/>
      <c r="G529" s="1597"/>
    </row>
    <row r="530" spans="1:7" ht="12" customHeight="1">
      <c r="A530" s="143"/>
      <c r="B530" s="143"/>
      <c r="C530" s="322"/>
      <c r="D530" s="282"/>
      <c r="E530" s="287"/>
      <c r="F530" s="282"/>
    </row>
    <row r="531" spans="1:7" ht="12.75">
      <c r="A531" s="140"/>
      <c r="B531" s="140"/>
      <c r="C531" s="322"/>
      <c r="D531" s="1588" t="s">
        <v>1580</v>
      </c>
      <c r="E531" s="1588"/>
      <c r="F531" s="1588"/>
    </row>
    <row r="532" spans="1:7" ht="12.75">
      <c r="A532" s="140"/>
      <c r="B532" s="140"/>
      <c r="C532" s="14"/>
      <c r="D532" s="282"/>
      <c r="E532" s="282"/>
      <c r="F532" s="282"/>
    </row>
    <row r="533" spans="1:7" ht="12.75">
      <c r="A533" s="140"/>
      <c r="B533" s="948" t="s">
        <v>136</v>
      </c>
      <c r="C533" s="14"/>
      <c r="D533" s="1581" t="s">
        <v>1746</v>
      </c>
      <c r="E533" s="1581"/>
      <c r="F533" s="1581"/>
    </row>
    <row r="534" spans="1:7" ht="12.75">
      <c r="A534" s="140"/>
      <c r="B534" s="140"/>
      <c r="C534" s="14"/>
      <c r="D534" s="1581"/>
      <c r="E534" s="1581"/>
      <c r="F534" s="1581"/>
    </row>
    <row r="535" spans="1:7" ht="12" customHeight="1">
      <c r="A535" s="355"/>
      <c r="B535" s="355"/>
      <c r="C535" s="322"/>
      <c r="D535" s="287"/>
      <c r="E535" s="282"/>
      <c r="F535" s="282"/>
    </row>
    <row r="536" spans="1:7" ht="14.25">
      <c r="A536" s="413"/>
      <c r="B536" s="948" t="s">
        <v>136</v>
      </c>
      <c r="C536" s="322"/>
      <c r="D536" s="1581" t="s">
        <v>1747</v>
      </c>
      <c r="E536" s="1581"/>
      <c r="F536" s="1581"/>
    </row>
    <row r="537" spans="1:7" ht="12.75">
      <c r="A537" s="355"/>
      <c r="B537" s="355"/>
      <c r="C537" s="322"/>
      <c r="D537" s="1581"/>
      <c r="E537" s="1581"/>
      <c r="F537" s="1581"/>
    </row>
    <row r="538" spans="1:7" ht="12" customHeight="1">
      <c r="A538" s="355"/>
      <c r="B538" s="355"/>
      <c r="C538" s="322"/>
      <c r="D538" s="287"/>
      <c r="E538" s="282"/>
      <c r="F538" s="282"/>
    </row>
    <row r="539" spans="1:7" ht="12.75">
      <c r="A539" s="1632" t="s">
        <v>1589</v>
      </c>
      <c r="B539" s="1632"/>
      <c r="C539" s="1632"/>
      <c r="D539" s="1632"/>
      <c r="E539" s="1632"/>
      <c r="F539" s="1632"/>
      <c r="G539" s="1632"/>
    </row>
    <row r="540" spans="1:7" ht="12" customHeight="1">
      <c r="A540" s="143"/>
      <c r="B540" s="143"/>
      <c r="C540" s="322"/>
      <c r="D540" s="287"/>
      <c r="E540" s="282"/>
      <c r="F540" s="282"/>
    </row>
    <row r="541" spans="1:7" ht="12.75">
      <c r="A541" s="140"/>
      <c r="B541" s="140"/>
      <c r="C541" s="322"/>
      <c r="D541" s="1588" t="s">
        <v>181</v>
      </c>
      <c r="E541" s="1588"/>
      <c r="F541" s="1588"/>
    </row>
    <row r="542" spans="1:7" ht="12.75">
      <c r="A542" s="140"/>
      <c r="B542" s="140"/>
      <c r="C542" s="322"/>
      <c r="D542" s="1583" t="s">
        <v>1723</v>
      </c>
      <c r="E542" s="1583"/>
      <c r="F542" s="1583"/>
    </row>
    <row r="543" spans="1:7" ht="12.75">
      <c r="A543" s="140"/>
      <c r="B543" s="140"/>
      <c r="C543" s="322"/>
      <c r="D543" s="287"/>
      <c r="E543" s="287"/>
      <c r="F543" s="287"/>
    </row>
    <row r="544" spans="1:7" ht="14.25">
      <c r="A544" s="413"/>
      <c r="B544" s="948" t="s">
        <v>1532</v>
      </c>
      <c r="C544" s="322"/>
      <c r="D544" s="1583" t="s">
        <v>1232</v>
      </c>
      <c r="E544" s="1583"/>
      <c r="F544" s="1583"/>
    </row>
    <row r="545" spans="1:7" ht="12" customHeight="1">
      <c r="A545" s="355"/>
      <c r="B545" s="355"/>
      <c r="C545" s="322"/>
      <c r="D545" s="287"/>
      <c r="E545" s="2"/>
      <c r="F545" s="2"/>
      <c r="G545" s="2"/>
    </row>
    <row r="546" spans="1:7" ht="14.45" customHeight="1">
      <c r="A546" s="413"/>
      <c r="B546" s="948" t="s">
        <v>1532</v>
      </c>
      <c r="C546" s="322"/>
      <c r="D546" s="1581" t="s">
        <v>1722</v>
      </c>
      <c r="E546" s="1581"/>
      <c r="F546" s="1581"/>
      <c r="G546" s="2"/>
    </row>
    <row r="547" spans="1:7" ht="12.75">
      <c r="A547" s="355"/>
      <c r="B547" s="355"/>
      <c r="C547" s="322"/>
      <c r="D547" s="1581"/>
      <c r="E547" s="1581"/>
      <c r="F547" s="1581"/>
      <c r="G547" s="2"/>
    </row>
    <row r="548" spans="1:7" ht="12" customHeight="1">
      <c r="A548" s="355"/>
      <c r="B548" s="355"/>
      <c r="C548" s="322"/>
      <c r="D548" s="287"/>
      <c r="E548" s="2"/>
      <c r="F548" s="2"/>
      <c r="G548" s="2"/>
    </row>
    <row r="549" spans="1:7" ht="14.25">
      <c r="A549" s="413"/>
      <c r="B549" s="948" t="s">
        <v>1532</v>
      </c>
      <c r="C549" s="322"/>
      <c r="D549" s="1581" t="s">
        <v>1724</v>
      </c>
      <c r="E549" s="1581"/>
      <c r="F549" s="1581"/>
      <c r="G549" s="2"/>
    </row>
    <row r="550" spans="1:7" ht="12.75">
      <c r="A550" s="355"/>
      <c r="B550" s="355"/>
      <c r="C550" s="322"/>
      <c r="D550" s="1581"/>
      <c r="E550" s="1581"/>
      <c r="F550" s="1581"/>
      <c r="G550" s="2"/>
    </row>
    <row r="551" spans="1:7" ht="12" customHeight="1">
      <c r="A551" s="355"/>
      <c r="B551" s="355"/>
      <c r="C551" s="322"/>
      <c r="D551" s="287"/>
      <c r="E551" s="2"/>
      <c r="F551" s="2"/>
      <c r="G551" s="2"/>
    </row>
    <row r="552" spans="1:7" ht="14.25">
      <c r="A552" s="413"/>
      <c r="B552" s="948" t="s">
        <v>1532</v>
      </c>
      <c r="C552" s="322"/>
      <c r="D552" s="1581" t="s">
        <v>1725</v>
      </c>
      <c r="E552" s="1581"/>
      <c r="F552" s="1581"/>
      <c r="G552" s="2"/>
    </row>
    <row r="553" spans="1:7" ht="12.75">
      <c r="A553" s="355"/>
      <c r="B553" s="355"/>
      <c r="C553" s="322"/>
      <c r="D553" s="1581"/>
      <c r="E553" s="1581"/>
      <c r="F553" s="1581"/>
      <c r="G553" s="2"/>
    </row>
    <row r="554" spans="1:7" ht="12" customHeight="1">
      <c r="A554" s="355"/>
      <c r="B554" s="355"/>
      <c r="C554" s="322"/>
      <c r="D554" s="287"/>
      <c r="E554" s="2"/>
      <c r="F554" s="2"/>
      <c r="G554" s="2"/>
    </row>
    <row r="555" spans="1:7" ht="14.45" customHeight="1">
      <c r="A555" s="413"/>
      <c r="B555" s="948" t="s">
        <v>1532</v>
      </c>
      <c r="C555" s="322"/>
      <c r="D555" s="1581" t="s">
        <v>1726</v>
      </c>
      <c r="E555" s="1581"/>
      <c r="F555" s="1581"/>
      <c r="G555" s="2"/>
    </row>
    <row r="556" spans="1:7" ht="12.75">
      <c r="A556" s="355"/>
      <c r="B556" s="355"/>
      <c r="C556" s="322"/>
      <c r="D556" s="1581"/>
      <c r="E556" s="1581"/>
      <c r="F556" s="1581"/>
      <c r="G556" s="2"/>
    </row>
    <row r="557" spans="1:7" ht="12.75">
      <c r="A557" s="355"/>
      <c r="B557" s="355"/>
      <c r="C557" s="322"/>
      <c r="D557" s="1581"/>
      <c r="E557" s="1581"/>
      <c r="F557" s="1581"/>
      <c r="G557" s="2"/>
    </row>
    <row r="558" spans="1:7" ht="12.75">
      <c r="A558" s="355"/>
      <c r="B558" s="355"/>
      <c r="C558" s="322"/>
      <c r="D558" s="287"/>
      <c r="E558" s="2"/>
      <c r="F558" s="2"/>
      <c r="G558" s="2"/>
    </row>
    <row r="559" spans="1:7" ht="14.25">
      <c r="A559" s="413"/>
      <c r="B559" s="948" t="s">
        <v>136</v>
      </c>
      <c r="C559" s="322"/>
      <c r="D559" s="1614" t="s">
        <v>1838</v>
      </c>
      <c r="E559" s="1615"/>
      <c r="F559" s="1615"/>
      <c r="G559" s="2"/>
    </row>
    <row r="560" spans="1:7" ht="12.75">
      <c r="A560" s="355"/>
      <c r="B560" s="355"/>
      <c r="C560" s="322"/>
      <c r="D560" s="1615"/>
      <c r="E560" s="1615"/>
      <c r="F560" s="1615"/>
      <c r="G560" s="2"/>
    </row>
    <row r="561" spans="1:7" ht="12.75">
      <c r="A561" s="355"/>
      <c r="B561" s="355"/>
      <c r="C561" s="322"/>
      <c r="D561" s="700"/>
      <c r="E561" s="282"/>
      <c r="F561" s="282"/>
      <c r="G561" s="2"/>
    </row>
    <row r="562" spans="1:7" ht="14.25">
      <c r="A562" s="413"/>
      <c r="B562" s="948" t="s">
        <v>136</v>
      </c>
      <c r="C562" s="322"/>
      <c r="D562" s="1581" t="s">
        <v>1728</v>
      </c>
      <c r="E562" s="1581"/>
      <c r="F562" s="1581"/>
      <c r="G562" s="2"/>
    </row>
    <row r="563" spans="1:7" ht="12.75">
      <c r="A563" s="355"/>
      <c r="B563" s="355"/>
      <c r="C563" s="322"/>
      <c r="D563" s="1581"/>
      <c r="E563" s="1581"/>
      <c r="F563" s="1581"/>
      <c r="G563" s="2"/>
    </row>
    <row r="564" spans="1:7" ht="12" customHeight="1">
      <c r="A564" s="355"/>
      <c r="B564" s="355"/>
      <c r="C564" s="322"/>
      <c r="D564" s="287"/>
      <c r="E564" s="282"/>
      <c r="F564" s="282"/>
      <c r="G564" s="2"/>
    </row>
    <row r="565" spans="1:7" ht="14.25">
      <c r="A565" s="413"/>
      <c r="B565" s="948" t="s">
        <v>1532</v>
      </c>
      <c r="C565" s="322"/>
      <c r="D565" s="1583" t="s">
        <v>1729</v>
      </c>
      <c r="E565" s="1583"/>
      <c r="F565" s="1583"/>
      <c r="G565" s="2"/>
    </row>
    <row r="566" spans="1:7" ht="14.25">
      <c r="A566" s="413"/>
      <c r="B566" s="413"/>
      <c r="C566" s="322"/>
      <c r="D566" s="1583" t="s">
        <v>1135</v>
      </c>
      <c r="E566" s="1583"/>
      <c r="F566" s="1583"/>
      <c r="G566" s="2"/>
    </row>
    <row r="567" spans="1:7" ht="12.75">
      <c r="A567" s="410"/>
      <c r="B567" s="410"/>
      <c r="C567" s="405"/>
      <c r="D567" s="282"/>
      <c r="E567" s="1607" t="s">
        <v>1730</v>
      </c>
      <c r="F567" s="1607"/>
      <c r="G567" s="2"/>
    </row>
    <row r="568" spans="1:7" ht="15" customHeight="1">
      <c r="A568" s="410"/>
      <c r="B568" s="410"/>
      <c r="C568" s="405"/>
      <c r="D568" s="1626" t="s">
        <v>1979</v>
      </c>
      <c r="E568" s="1625"/>
      <c r="F568" s="1625"/>
      <c r="G568" s="2"/>
    </row>
    <row r="569" spans="1:7" ht="12.75">
      <c r="A569" s="410"/>
      <c r="B569" s="410"/>
      <c r="C569" s="405"/>
      <c r="D569" s="1625"/>
      <c r="E569" s="1625"/>
      <c r="F569" s="1625"/>
      <c r="G569" s="2"/>
    </row>
    <row r="570" spans="1:7" ht="12.75">
      <c r="A570" s="410"/>
      <c r="B570" s="410"/>
      <c r="C570" s="405"/>
      <c r="D570" s="1625"/>
      <c r="E570" s="1625"/>
      <c r="F570" s="1625"/>
      <c r="G570" s="2"/>
    </row>
    <row r="571" spans="1:7" ht="12.75">
      <c r="A571" s="410"/>
      <c r="B571" s="410"/>
      <c r="C571" s="405"/>
      <c r="D571" s="1625"/>
      <c r="E571" s="1625"/>
      <c r="F571" s="1625"/>
      <c r="G571" s="2"/>
    </row>
    <row r="572" spans="1:7" ht="12.75">
      <c r="A572" s="410"/>
      <c r="B572" s="410"/>
      <c r="C572" s="405"/>
      <c r="D572" s="1625"/>
      <c r="E572" s="1625"/>
      <c r="F572" s="1625"/>
      <c r="G572" s="2"/>
    </row>
    <row r="573" spans="1:7" ht="12.75">
      <c r="A573" s="410"/>
      <c r="B573" s="410"/>
      <c r="C573" s="405"/>
      <c r="D573" s="1625"/>
      <c r="E573" s="1625"/>
      <c r="F573" s="1625"/>
      <c r="G573" s="2"/>
    </row>
    <row r="574" spans="1:7" ht="12.75">
      <c r="A574" s="410"/>
      <c r="B574" s="410"/>
      <c r="C574" s="405"/>
      <c r="D574" s="1625"/>
      <c r="E574" s="1625"/>
      <c r="F574" s="1625"/>
      <c r="G574" s="2"/>
    </row>
    <row r="575" spans="1:7" ht="12.75">
      <c r="A575" s="410"/>
      <c r="B575" s="410"/>
      <c r="C575" s="405"/>
      <c r="D575" s="1625"/>
      <c r="E575" s="1625"/>
      <c r="F575" s="1625"/>
      <c r="G575" s="2"/>
    </row>
    <row r="576" spans="1:7" ht="12.75">
      <c r="A576" s="410"/>
      <c r="B576" s="410"/>
      <c r="C576" s="405"/>
      <c r="D576" s="1625"/>
      <c r="E576" s="1625"/>
      <c r="F576" s="1625"/>
      <c r="G576" s="2"/>
    </row>
    <row r="577" spans="1:7" ht="12.75">
      <c r="A577" s="410"/>
      <c r="B577" s="410"/>
      <c r="C577" s="405"/>
      <c r="D577" s="952"/>
      <c r="E577" s="952"/>
      <c r="F577" s="952"/>
      <c r="G577" s="2"/>
    </row>
    <row r="578" spans="1:7" ht="14.25">
      <c r="A578" s="569"/>
      <c r="B578" s="948" t="s">
        <v>1532</v>
      </c>
      <c r="C578" s="405"/>
      <c r="D578" s="1643" t="s">
        <v>1731</v>
      </c>
      <c r="E578" s="1643"/>
      <c r="F578" s="1643"/>
      <c r="G578" s="2"/>
    </row>
    <row r="579" spans="1:7" ht="13.7" customHeight="1">
      <c r="A579" s="140"/>
      <c r="B579" s="140"/>
      <c r="C579" s="322"/>
      <c r="D579" s="1581" t="s">
        <v>1732</v>
      </c>
      <c r="E579" s="1581"/>
      <c r="F579" s="1581"/>
      <c r="G579" s="2"/>
    </row>
    <row r="580" spans="1:7" ht="12.75">
      <c r="A580" s="355"/>
      <c r="B580" s="355"/>
      <c r="C580" s="322"/>
      <c r="D580" s="1581"/>
      <c r="E580" s="1581"/>
      <c r="F580" s="1581"/>
      <c r="G580" s="2"/>
    </row>
    <row r="581" spans="1:7" ht="12.75">
      <c r="A581" s="355"/>
      <c r="B581" s="355"/>
      <c r="C581" s="322"/>
      <c r="D581" s="1581"/>
      <c r="E581" s="1581"/>
      <c r="F581" s="1581"/>
      <c r="G581" s="2"/>
    </row>
    <row r="582" spans="1:7" ht="12.75">
      <c r="A582" s="355"/>
      <c r="B582" s="355"/>
      <c r="C582" s="322"/>
      <c r="D582" s="978"/>
      <c r="E582" s="978"/>
      <c r="F582" s="978"/>
      <c r="G582" s="2"/>
    </row>
    <row r="583" spans="1:7" ht="14.45" customHeight="1">
      <c r="A583" s="413"/>
      <c r="B583" s="948" t="s">
        <v>1532</v>
      </c>
      <c r="C583" s="322"/>
      <c r="D583" s="1581" t="s">
        <v>1733</v>
      </c>
      <c r="E583" s="1581"/>
      <c r="F583" s="1581"/>
      <c r="G583" s="2"/>
    </row>
    <row r="584" spans="1:7" ht="14.25">
      <c r="A584" s="413"/>
      <c r="B584" s="413"/>
      <c r="C584" s="322"/>
      <c r="D584" s="1581"/>
      <c r="E584" s="1581"/>
      <c r="F584" s="1581"/>
      <c r="G584" s="2"/>
    </row>
    <row r="585" spans="1:7" ht="14.25">
      <c r="A585" s="413"/>
      <c r="B585" s="413"/>
      <c r="C585" s="322"/>
      <c r="D585" s="1581"/>
      <c r="E585" s="1581"/>
      <c r="F585" s="1581"/>
    </row>
    <row r="586" spans="1:7" ht="12.75">
      <c r="A586" s="355"/>
      <c r="B586" s="355"/>
      <c r="C586" s="322"/>
      <c r="D586" s="1581"/>
      <c r="E586" s="1581"/>
      <c r="F586" s="1581"/>
    </row>
    <row r="587" spans="1:7" ht="12.75">
      <c r="A587" s="355"/>
      <c r="B587" s="355"/>
      <c r="C587" s="322"/>
      <c r="D587" s="287"/>
      <c r="E587" s="282"/>
      <c r="F587" s="282"/>
    </row>
    <row r="588" spans="1:7" ht="12.75">
      <c r="A588" s="415"/>
      <c r="B588" s="948" t="s">
        <v>136</v>
      </c>
      <c r="C588" s="299"/>
      <c r="D588" s="1589" t="s">
        <v>2050</v>
      </c>
      <c r="E588" s="1590"/>
      <c r="F588" s="1590"/>
      <c r="G588" s="288"/>
    </row>
    <row r="589" spans="1:7" ht="12.75">
      <c r="A589" s="415"/>
      <c r="B589" s="415"/>
      <c r="C589" s="299"/>
      <c r="D589" s="282"/>
      <c r="E589" s="282"/>
      <c r="F589" s="282"/>
      <c r="G589" s="288"/>
    </row>
    <row r="590" spans="1:7" ht="12.75">
      <c r="A590" s="355"/>
      <c r="B590" s="355"/>
      <c r="C590" s="322"/>
      <c r="D590" s="957"/>
      <c r="E590" s="957"/>
      <c r="F590" s="957"/>
    </row>
    <row r="591" spans="1:7" ht="12.75">
      <c r="A591" s="1597" t="s">
        <v>1550</v>
      </c>
      <c r="B591" s="1597"/>
      <c r="C591" s="1597"/>
      <c r="D591" s="1597"/>
      <c r="E591" s="1597"/>
      <c r="F591" s="1597"/>
      <c r="G591" s="1597"/>
    </row>
    <row r="592" spans="1:7" ht="12.75">
      <c r="A592" s="355"/>
      <c r="B592" s="355"/>
      <c r="C592" s="322"/>
      <c r="D592" s="282"/>
      <c r="E592" s="282"/>
      <c r="F592" s="282"/>
    </row>
    <row r="593" spans="1:7" ht="12.75">
      <c r="A593" s="140"/>
      <c r="B593" s="140"/>
      <c r="C593" s="298"/>
      <c r="D593" s="1616" t="s">
        <v>182</v>
      </c>
      <c r="E593" s="1616"/>
      <c r="F593" s="1616"/>
      <c r="G593" s="288"/>
    </row>
    <row r="594" spans="1:7" ht="12.75">
      <c r="A594" s="140"/>
      <c r="B594" s="140"/>
      <c r="C594" s="298"/>
      <c r="D594" s="1646" t="s">
        <v>1610</v>
      </c>
      <c r="E594" s="1646"/>
      <c r="F594" s="1646"/>
      <c r="G594" s="288"/>
    </row>
    <row r="595" spans="1:7" ht="12.75">
      <c r="A595" s="140"/>
      <c r="B595" s="140"/>
      <c r="C595" s="298"/>
      <c r="D595" s="592"/>
      <c r="E595" s="282"/>
      <c r="F595" s="282"/>
      <c r="G595" s="288"/>
    </row>
    <row r="596" spans="1:7" ht="14.25">
      <c r="A596" s="413"/>
      <c r="B596" s="948" t="s">
        <v>1532</v>
      </c>
      <c r="C596" s="14"/>
      <c r="D596" s="1646" t="s">
        <v>1233</v>
      </c>
      <c r="E596" s="1646"/>
      <c r="F596" s="1646"/>
      <c r="G596" s="288"/>
    </row>
    <row r="597" spans="1:7" ht="12.75">
      <c r="A597" s="33"/>
      <c r="B597" s="33"/>
      <c r="C597" s="14"/>
      <c r="D597" s="596"/>
      <c r="E597" s="282"/>
      <c r="F597" s="282"/>
      <c r="G597" s="288"/>
    </row>
    <row r="598" spans="1:7" ht="14.45" customHeight="1">
      <c r="A598" s="413"/>
      <c r="B598" s="948" t="s">
        <v>1532</v>
      </c>
      <c r="C598" s="14"/>
      <c r="D598" s="1596" t="s">
        <v>1612</v>
      </c>
      <c r="E598" s="1596"/>
      <c r="F598" s="1596"/>
      <c r="G598" s="288"/>
    </row>
    <row r="599" spans="1:7" ht="14.45" customHeight="1">
      <c r="A599" s="413"/>
      <c r="B599" s="413"/>
      <c r="C599" s="14"/>
      <c r="D599" s="1596"/>
      <c r="E599" s="1596"/>
      <c r="F599" s="1596"/>
      <c r="G599" s="288"/>
    </row>
    <row r="600" spans="1:7" ht="14.25">
      <c r="A600" s="413"/>
      <c r="B600" s="413"/>
      <c r="C600" s="14"/>
      <c r="D600" s="1596"/>
      <c r="E600" s="1596"/>
      <c r="F600" s="1596"/>
      <c r="G600" s="288"/>
    </row>
    <row r="601" spans="1:7" ht="14.25">
      <c r="A601" s="413"/>
      <c r="B601" s="413"/>
      <c r="C601" s="14"/>
      <c r="D601" s="956"/>
      <c r="E601" s="956"/>
      <c r="F601" s="956"/>
      <c r="G601" s="288"/>
    </row>
    <row r="602" spans="1:7" ht="14.25">
      <c r="A602" s="413"/>
      <c r="B602" s="948" t="s">
        <v>136</v>
      </c>
      <c r="C602" s="14"/>
      <c r="D602" s="1596" t="s">
        <v>1611</v>
      </c>
      <c r="E602" s="1596"/>
      <c r="F602" s="1596"/>
      <c r="G602" s="288"/>
    </row>
    <row r="603" spans="1:7" ht="14.25">
      <c r="A603" s="413"/>
      <c r="B603" s="413"/>
      <c r="C603" s="14"/>
      <c r="D603" s="1596"/>
      <c r="E603" s="1596"/>
      <c r="F603" s="1596"/>
      <c r="G603" s="288"/>
    </row>
    <row r="604" spans="1:7" ht="14.25">
      <c r="A604" s="413"/>
      <c r="B604" s="413"/>
      <c r="C604" s="14"/>
      <c r="D604" s="1596"/>
      <c r="E604" s="1596"/>
      <c r="F604" s="1596"/>
      <c r="G604" s="288"/>
    </row>
    <row r="605" spans="1:7" ht="14.25">
      <c r="A605" s="413"/>
      <c r="B605" s="413"/>
      <c r="C605" s="14"/>
      <c r="D605" s="1596"/>
      <c r="E605" s="1596"/>
      <c r="F605" s="1596"/>
      <c r="G605" s="288"/>
    </row>
    <row r="606" spans="1:7" ht="14.25">
      <c r="A606" s="413"/>
      <c r="B606" s="413"/>
      <c r="C606" s="14"/>
      <c r="D606" s="592"/>
      <c r="E606" s="282"/>
      <c r="F606" s="282"/>
      <c r="G606" s="288"/>
    </row>
    <row r="607" spans="1:7" ht="14.25">
      <c r="A607" s="569"/>
      <c r="B607" s="948" t="s">
        <v>1532</v>
      </c>
      <c r="D607" s="1596" t="s">
        <v>1613</v>
      </c>
      <c r="E607" s="1596"/>
      <c r="F607" s="1596"/>
      <c r="G607" s="288"/>
    </row>
    <row r="608" spans="1:7" ht="14.25">
      <c r="A608" s="569"/>
      <c r="B608" s="569"/>
      <c r="D608" s="1596"/>
      <c r="E608" s="1596"/>
      <c r="F608" s="1596"/>
      <c r="G608" s="288"/>
    </row>
    <row r="609" spans="1:7" ht="14.25">
      <c r="A609" s="413"/>
      <c r="B609" s="413"/>
      <c r="C609" s="14"/>
      <c r="D609" s="592"/>
      <c r="E609" s="282"/>
      <c r="F609" s="282"/>
      <c r="G609" s="288"/>
    </row>
    <row r="610" spans="1:7" ht="14.45" customHeight="1">
      <c r="A610" s="413"/>
      <c r="B610" s="948" t="s">
        <v>136</v>
      </c>
      <c r="C610" s="14"/>
      <c r="D610" s="1646" t="s">
        <v>1619</v>
      </c>
      <c r="E610" s="1646"/>
      <c r="F610" s="1646"/>
      <c r="G610" s="288"/>
    </row>
    <row r="611" spans="1:7" ht="14.25">
      <c r="A611" s="413"/>
      <c r="B611" s="413"/>
      <c r="C611" s="14"/>
      <c r="D611" s="1646"/>
      <c r="E611" s="1646"/>
      <c r="F611" s="1646"/>
      <c r="G611" s="288"/>
    </row>
    <row r="612" spans="1:7" ht="14.25">
      <c r="A612" s="413"/>
      <c r="B612" s="413"/>
      <c r="C612" s="14"/>
      <c r="D612" s="592"/>
      <c r="E612" s="282"/>
      <c r="F612" s="282"/>
      <c r="G612" s="288"/>
    </row>
    <row r="613" spans="1:7" ht="14.25">
      <c r="A613" s="413"/>
      <c r="B613" s="948" t="s">
        <v>1532</v>
      </c>
      <c r="C613" s="14"/>
      <c r="D613" s="1646" t="s">
        <v>1234</v>
      </c>
      <c r="E613" s="1646"/>
      <c r="F613" s="1646"/>
      <c r="G613" s="288"/>
    </row>
    <row r="614" spans="1:7" ht="12.75">
      <c r="A614" s="33"/>
      <c r="B614" s="33"/>
      <c r="C614" s="14"/>
      <c r="D614" s="282"/>
      <c r="E614" s="282"/>
      <c r="F614" s="282"/>
      <c r="G614" s="288"/>
    </row>
    <row r="615" spans="1:7" ht="12.75">
      <c r="A615" s="1597" t="s">
        <v>1552</v>
      </c>
      <c r="B615" s="1597"/>
      <c r="C615" s="1597"/>
      <c r="D615" s="1597"/>
      <c r="E615" s="1597"/>
      <c r="F615" s="1597"/>
      <c r="G615" s="1597"/>
    </row>
    <row r="616" spans="1:7" ht="12.75">
      <c r="A616" s="107"/>
      <c r="B616" s="107"/>
      <c r="C616" s="302"/>
      <c r="D616" s="283"/>
      <c r="E616" s="283"/>
      <c r="F616" s="283"/>
      <c r="G616" s="288"/>
    </row>
    <row r="617" spans="1:7" ht="12.75">
      <c r="A617" s="140"/>
      <c r="B617" s="140"/>
      <c r="C617" s="299"/>
      <c r="D617" s="1647" t="s">
        <v>1551</v>
      </c>
      <c r="E617" s="1647"/>
      <c r="F617" s="1647"/>
    </row>
    <row r="618" spans="1:7" ht="12.75">
      <c r="A618" s="140"/>
      <c r="B618" s="140"/>
      <c r="C618" s="299"/>
      <c r="D618" s="1590" t="s">
        <v>1581</v>
      </c>
      <c r="E618" s="1590"/>
      <c r="F618" s="1590"/>
    </row>
    <row r="619" spans="1:7" ht="12.75">
      <c r="A619" s="982"/>
      <c r="B619" s="982"/>
      <c r="C619" s="299"/>
      <c r="D619" s="980"/>
      <c r="E619" s="980"/>
      <c r="F619" s="980"/>
    </row>
    <row r="620" spans="1:7" ht="14.25">
      <c r="A620" s="569"/>
      <c r="B620" s="948" t="s">
        <v>1532</v>
      </c>
      <c r="D620" s="1662" t="s">
        <v>1748</v>
      </c>
      <c r="E620" s="1662"/>
      <c r="F620" s="1662"/>
    </row>
    <row r="621" spans="1:7" ht="12.75">
      <c r="A621" s="140"/>
      <c r="B621" s="140"/>
      <c r="C621" s="14"/>
      <c r="D621" s="1662"/>
      <c r="E621" s="1662"/>
      <c r="F621" s="1662"/>
    </row>
    <row r="622" spans="1:7" ht="12.75">
      <c r="A622" s="140"/>
      <c r="B622" s="140"/>
      <c r="C622" s="14"/>
      <c r="D622" s="1662"/>
      <c r="E622" s="1662"/>
      <c r="F622" s="1662"/>
    </row>
    <row r="623" spans="1:7" ht="12.75">
      <c r="A623" s="107"/>
      <c r="B623" s="107"/>
      <c r="C623" s="302"/>
      <c r="D623" s="283"/>
      <c r="E623" s="283"/>
      <c r="F623" s="283"/>
      <c r="G623" s="288"/>
    </row>
    <row r="624" spans="1:7" ht="12" customHeight="1">
      <c r="A624" s="1597" t="s">
        <v>1554</v>
      </c>
      <c r="B624" s="1597"/>
      <c r="C624" s="1597"/>
      <c r="D624" s="1597"/>
      <c r="E624" s="1597"/>
      <c r="F624" s="1597"/>
      <c r="G624" s="1597"/>
    </row>
    <row r="625" spans="1:7" ht="12.75">
      <c r="A625" s="143"/>
      <c r="B625" s="143"/>
      <c r="C625" s="14"/>
      <c r="D625" s="282"/>
      <c r="E625" s="282"/>
      <c r="F625" s="282"/>
      <c r="G625" s="288"/>
    </row>
    <row r="626" spans="1:7" ht="12.75">
      <c r="A626" s="140"/>
      <c r="B626" s="140"/>
      <c r="C626" s="303"/>
      <c r="D626" s="1588" t="s">
        <v>1553</v>
      </c>
      <c r="E626" s="1588"/>
      <c r="F626" s="1588"/>
      <c r="G626" s="288"/>
    </row>
    <row r="627" spans="1:7" ht="12.75">
      <c r="A627" s="415"/>
      <c r="B627" s="415"/>
      <c r="C627" s="299"/>
      <c r="D627" s="1583" t="s">
        <v>1749</v>
      </c>
      <c r="E627" s="1583"/>
      <c r="F627" s="1583"/>
      <c r="G627" s="288"/>
    </row>
    <row r="628" spans="1:7" ht="12.75">
      <c r="A628" s="415"/>
      <c r="B628" s="415"/>
      <c r="C628" s="299"/>
      <c r="D628" s="282"/>
      <c r="E628" s="282"/>
      <c r="F628" s="282"/>
      <c r="G628" s="288"/>
    </row>
    <row r="629" spans="1:7" ht="14.25">
      <c r="A629" s="413"/>
      <c r="B629" s="413"/>
      <c r="C629" s="14"/>
      <c r="D629" s="1647" t="s">
        <v>956</v>
      </c>
      <c r="E629" s="1647"/>
      <c r="F629" s="1647"/>
      <c r="G629" s="288"/>
    </row>
    <row r="630" spans="1:7" ht="14.25">
      <c r="A630" s="413"/>
      <c r="B630" s="948" t="s">
        <v>1532</v>
      </c>
      <c r="C630" s="14"/>
      <c r="D630" s="1590" t="s">
        <v>1750</v>
      </c>
      <c r="E630" s="1590"/>
      <c r="F630" s="1590"/>
      <c r="G630" s="288"/>
    </row>
    <row r="631" spans="1:7" ht="14.25">
      <c r="A631" s="413"/>
      <c r="B631" s="413"/>
      <c r="C631" s="14"/>
      <c r="D631" s="287"/>
      <c r="E631" s="282"/>
      <c r="F631" s="282"/>
      <c r="G631" s="288"/>
    </row>
    <row r="632" spans="1:7" ht="14.25">
      <c r="A632" s="413"/>
      <c r="B632" s="948" t="s">
        <v>136</v>
      </c>
      <c r="C632" s="14"/>
      <c r="D632" s="1581" t="s">
        <v>1751</v>
      </c>
      <c r="E632" s="1581"/>
      <c r="F632" s="1581"/>
      <c r="G632" s="288"/>
    </row>
    <row r="633" spans="1:7" ht="14.25">
      <c r="A633" s="413"/>
      <c r="B633" s="413"/>
      <c r="C633" s="14"/>
      <c r="D633" s="1581"/>
      <c r="E633" s="1581"/>
      <c r="F633" s="1581"/>
      <c r="G633" s="288"/>
    </row>
    <row r="634" spans="1:7" ht="14.25">
      <c r="A634" s="413"/>
      <c r="B634" s="413"/>
      <c r="C634" s="14"/>
      <c r="D634" s="287"/>
      <c r="E634" s="282"/>
      <c r="F634" s="282"/>
      <c r="G634" s="288"/>
    </row>
    <row r="635" spans="1:7" ht="14.25">
      <c r="A635" s="569"/>
      <c r="B635" s="948" t="s">
        <v>1532</v>
      </c>
      <c r="D635" s="1626" t="s">
        <v>2194</v>
      </c>
      <c r="E635" s="1626"/>
      <c r="F635" s="1626"/>
      <c r="G635" s="288"/>
    </row>
    <row r="636" spans="1:7" ht="13.7" customHeight="1">
      <c r="D636" s="1626"/>
      <c r="E636" s="1626"/>
      <c r="F636" s="1626"/>
    </row>
    <row r="637" spans="1:7" ht="12.75">
      <c r="A637" s="140"/>
      <c r="B637" s="140"/>
      <c r="C637" s="14"/>
      <c r="D637" s="282"/>
      <c r="E637" s="282"/>
      <c r="F637" s="282"/>
      <c r="G637" s="288"/>
    </row>
    <row r="638" spans="1:7" ht="14.25">
      <c r="A638" s="413"/>
      <c r="B638" s="948" t="s">
        <v>1532</v>
      </c>
      <c r="C638" s="14"/>
      <c r="D638" s="1590" t="s">
        <v>1752</v>
      </c>
      <c r="E638" s="1590"/>
      <c r="F638" s="1590"/>
      <c r="G638" s="288"/>
    </row>
    <row r="639" spans="1:7" ht="12.75">
      <c r="A639" s="418"/>
      <c r="B639" s="418"/>
      <c r="C639" s="303"/>
      <c r="D639" s="282"/>
      <c r="E639" s="282"/>
      <c r="F639" s="282"/>
      <c r="G639" s="288"/>
    </row>
    <row r="640" spans="1:7" ht="12.75">
      <c r="A640" s="1597" t="s">
        <v>1555</v>
      </c>
      <c r="B640" s="1597"/>
      <c r="C640" s="1597"/>
      <c r="D640" s="1597"/>
      <c r="E640" s="1597"/>
      <c r="F640" s="1597"/>
      <c r="G640" s="1597"/>
    </row>
    <row r="641" spans="1:7" ht="12.75">
      <c r="A641" s="418"/>
      <c r="B641" s="418"/>
      <c r="C641" s="303"/>
      <c r="D641" s="282"/>
      <c r="E641" s="282"/>
      <c r="F641" s="282"/>
      <c r="G641" s="288"/>
    </row>
    <row r="642" spans="1:7" ht="12.75">
      <c r="A642" s="140"/>
      <c r="B642" s="140"/>
      <c r="C642" s="320"/>
      <c r="D642" s="1667" t="s">
        <v>1582</v>
      </c>
      <c r="E642" s="1667"/>
      <c r="F642" s="1667"/>
      <c r="G642" s="288"/>
    </row>
    <row r="643" spans="1:7" ht="12.75">
      <c r="A643" s="33"/>
      <c r="B643" s="33"/>
      <c r="C643" s="302"/>
      <c r="D643" s="6"/>
      <c r="E643" s="283"/>
      <c r="F643" s="283"/>
      <c r="G643" s="288"/>
    </row>
    <row r="644" spans="1:7" ht="14.25">
      <c r="A644" s="413"/>
      <c r="B644" s="948" t="s">
        <v>1532</v>
      </c>
      <c r="C644" s="302"/>
      <c r="D644" s="1668" t="s">
        <v>1753</v>
      </c>
      <c r="E644" s="1668"/>
      <c r="F644" s="1668"/>
      <c r="G644" s="288"/>
    </row>
    <row r="645" spans="1:7" ht="14.25">
      <c r="A645" s="413"/>
      <c r="B645" s="413"/>
      <c r="C645" s="302"/>
      <c r="D645" s="1668"/>
      <c r="E645" s="1668"/>
      <c r="F645" s="1668"/>
      <c r="G645" s="288"/>
    </row>
    <row r="646" spans="1:7" ht="12.75">
      <c r="A646" s="140"/>
      <c r="B646" s="140"/>
      <c r="C646" s="302"/>
      <c r="D646" s="1668"/>
      <c r="E646" s="1668"/>
      <c r="F646" s="1668"/>
      <c r="G646" s="288"/>
    </row>
    <row r="647" spans="1:7" ht="12.75">
      <c r="A647" s="140"/>
      <c r="B647" s="140"/>
      <c r="C647" s="302"/>
      <c r="D647" s="1668"/>
      <c r="E647" s="1668"/>
      <c r="F647" s="1668"/>
      <c r="G647" s="288"/>
    </row>
    <row r="648" spans="1:7" ht="12.75">
      <c r="A648" s="140"/>
      <c r="B648" s="140"/>
      <c r="C648" s="302"/>
      <c r="D648" s="1668"/>
      <c r="E648" s="1668"/>
      <c r="F648" s="1668"/>
      <c r="G648" s="288"/>
    </row>
    <row r="649" spans="1:7" ht="12.75">
      <c r="A649" s="140"/>
      <c r="B649" s="140"/>
      <c r="C649" s="302"/>
      <c r="D649" s="1668"/>
      <c r="E649" s="1668"/>
      <c r="F649" s="1668"/>
      <c r="G649" s="288"/>
    </row>
    <row r="650" spans="1:7" ht="12.75">
      <c r="A650" s="140"/>
      <c r="B650" s="140"/>
      <c r="C650" s="302"/>
      <c r="D650" s="282"/>
      <c r="E650" s="283"/>
      <c r="F650" s="283"/>
      <c r="G650" s="288"/>
    </row>
    <row r="651" spans="1:7" ht="14.25">
      <c r="A651" s="484"/>
      <c r="B651" s="948" t="s">
        <v>136</v>
      </c>
      <c r="C651" s="302"/>
      <c r="D651" s="1668" t="s">
        <v>1754</v>
      </c>
      <c r="E651" s="1668"/>
      <c r="F651" s="1668"/>
      <c r="G651" s="284"/>
    </row>
    <row r="652" spans="1:7" ht="14.25">
      <c r="A652" s="484"/>
      <c r="B652" s="484"/>
      <c r="C652" s="302"/>
      <c r="D652" s="1668"/>
      <c r="E652" s="1668"/>
      <c r="F652" s="1668"/>
      <c r="G652" s="284"/>
    </row>
    <row r="653" spans="1:7" ht="14.25">
      <c r="A653" s="484"/>
      <c r="B653" s="484"/>
      <c r="C653" s="302"/>
      <c r="D653" s="287"/>
      <c r="E653" s="286"/>
      <c r="F653" s="286"/>
      <c r="G653" s="284"/>
    </row>
    <row r="654" spans="1:7" ht="13.7" customHeight="1">
      <c r="A654" s="484"/>
      <c r="B654" s="948" t="s">
        <v>136</v>
      </c>
      <c r="C654" s="302"/>
      <c r="D654" s="1636" t="s">
        <v>2051</v>
      </c>
      <c r="E654" s="1636"/>
      <c r="F654" s="1636"/>
      <c r="G654" s="284"/>
    </row>
    <row r="655" spans="1:7" ht="14.25">
      <c r="A655" s="484"/>
      <c r="B655" s="484"/>
      <c r="C655" s="302"/>
      <c r="D655" s="1636"/>
      <c r="E655" s="1636"/>
      <c r="F655" s="1636"/>
      <c r="G655" s="284"/>
    </row>
    <row r="656" spans="1:7" ht="14.25">
      <c r="A656" s="569"/>
      <c r="B656" s="569"/>
      <c r="C656" s="285"/>
      <c r="D656" s="986"/>
      <c r="E656" s="986"/>
      <c r="F656" s="986"/>
      <c r="G656" s="284"/>
    </row>
    <row r="657" spans="1:9" ht="14.25">
      <c r="A657" s="413"/>
      <c r="B657" s="948" t="s">
        <v>136</v>
      </c>
      <c r="C657" s="322"/>
      <c r="D657" s="1669" t="s">
        <v>1755</v>
      </c>
      <c r="E657" s="1669"/>
      <c r="F657" s="1669"/>
      <c r="G657" s="284"/>
    </row>
    <row r="658" spans="1:9" ht="12.75">
      <c r="A658" s="143"/>
      <c r="B658" s="143"/>
      <c r="C658" s="322"/>
      <c r="D658" s="286"/>
      <c r="E658" s="286"/>
      <c r="F658" s="286"/>
      <c r="G658" s="284"/>
      <c r="H658" s="404"/>
      <c r="I658" s="404"/>
    </row>
    <row r="659" spans="1:9" ht="12.75">
      <c r="A659" s="1597" t="s">
        <v>1557</v>
      </c>
      <c r="B659" s="1597"/>
      <c r="C659" s="1597"/>
      <c r="D659" s="1597"/>
      <c r="E659" s="1597"/>
      <c r="F659" s="1597"/>
      <c r="G659" s="1597"/>
    </row>
    <row r="660" spans="1:9" ht="12.75">
      <c r="A660" s="143"/>
      <c r="B660" s="143"/>
      <c r="C660" s="322"/>
      <c r="D660" s="286"/>
      <c r="E660" s="286"/>
      <c r="F660" s="286"/>
      <c r="G660" s="284"/>
    </row>
    <row r="661" spans="1:9" ht="12.75">
      <c r="A661" s="140"/>
      <c r="B661" s="140"/>
      <c r="C661" s="303"/>
      <c r="D661" s="1670" t="s">
        <v>1556</v>
      </c>
      <c r="E661" s="1670"/>
      <c r="F661" s="1670"/>
      <c r="G661" s="284"/>
    </row>
    <row r="662" spans="1:9" ht="12.75">
      <c r="A662" s="415"/>
      <c r="B662" s="415"/>
      <c r="C662" s="299"/>
      <c r="D662" s="1656" t="s">
        <v>1583</v>
      </c>
      <c r="E662" s="1656"/>
      <c r="F662" s="1656"/>
      <c r="G662" s="284"/>
    </row>
    <row r="663" spans="1:9" ht="12.75">
      <c r="A663" s="415"/>
      <c r="B663" s="415"/>
      <c r="C663" s="299"/>
      <c r="D663" s="992"/>
      <c r="E663" s="992"/>
      <c r="F663" s="992"/>
      <c r="G663" s="284"/>
    </row>
    <row r="664" spans="1:9" ht="14.45" customHeight="1">
      <c r="A664" s="413"/>
      <c r="B664" s="948" t="s">
        <v>1532</v>
      </c>
      <c r="C664" s="322"/>
      <c r="D664" s="1557" t="s">
        <v>2142</v>
      </c>
      <c r="E664" s="1557"/>
      <c r="F664" s="1557"/>
      <c r="G664" s="284"/>
    </row>
    <row r="665" spans="1:9" ht="14.25">
      <c r="A665" s="413"/>
      <c r="B665" s="413"/>
      <c r="C665" s="322"/>
      <c r="D665" s="1557"/>
      <c r="E665" s="1557"/>
      <c r="F665" s="1557"/>
      <c r="G665" s="284"/>
    </row>
    <row r="666" spans="1:9" ht="14.25">
      <c r="A666" s="413"/>
      <c r="B666" s="413"/>
      <c r="C666" s="322"/>
      <c r="D666" s="1557"/>
      <c r="E666" s="1557"/>
      <c r="F666" s="1557"/>
      <c r="G666" s="284"/>
    </row>
    <row r="667" spans="1:9" ht="14.25">
      <c r="A667" s="413"/>
      <c r="B667" s="413"/>
      <c r="C667" s="322"/>
      <c r="D667" s="1557"/>
      <c r="E667" s="1557"/>
      <c r="F667" s="1557"/>
      <c r="G667" s="284"/>
    </row>
    <row r="668" spans="1:9" ht="14.25">
      <c r="A668" s="413"/>
      <c r="B668" s="413"/>
      <c r="C668" s="322"/>
      <c r="D668" s="1557"/>
      <c r="E668" s="1557"/>
      <c r="F668" s="1557"/>
      <c r="G668" s="284"/>
    </row>
    <row r="669" spans="1:9" ht="14.25">
      <c r="A669" s="413"/>
      <c r="B669" s="413"/>
      <c r="C669" s="322"/>
      <c r="D669" s="1557"/>
      <c r="E669" s="1557"/>
      <c r="F669" s="1557"/>
      <c r="G669" s="284"/>
    </row>
    <row r="670" spans="1:9" ht="14.25" hidden="1">
      <c r="A670" s="569"/>
      <c r="B670" s="569"/>
      <c r="C670" s="405"/>
      <c r="D670" s="709"/>
      <c r="F670" s="284"/>
      <c r="G670" s="284"/>
    </row>
    <row r="671" spans="1:9" ht="14.25" hidden="1">
      <c r="A671" s="569"/>
      <c r="B671" s="948" t="s">
        <v>86</v>
      </c>
      <c r="C671" s="405"/>
      <c r="D671" s="1644" t="s">
        <v>1608</v>
      </c>
      <c r="E671" s="1644"/>
      <c r="F671" s="1644"/>
      <c r="G671" s="284"/>
    </row>
    <row r="672" spans="1:9" ht="14.25" hidden="1">
      <c r="A672" s="569"/>
      <c r="B672" s="569"/>
      <c r="C672" s="405"/>
      <c r="D672" s="1664" t="s">
        <v>1784</v>
      </c>
      <c r="E672" s="1664"/>
      <c r="F672" s="1664"/>
      <c r="G672" s="284"/>
    </row>
    <row r="673" spans="1:7" ht="14.25" hidden="1">
      <c r="A673" s="569"/>
      <c r="B673" s="569"/>
      <c r="C673" s="405"/>
      <c r="D673" s="1664"/>
      <c r="E673" s="1664"/>
      <c r="F673" s="1664"/>
      <c r="G673" s="284"/>
    </row>
    <row r="674" spans="1:7" ht="14.25" hidden="1">
      <c r="A674" s="569"/>
      <c r="B674" s="569"/>
      <c r="C674" s="405"/>
      <c r="D674" s="1664"/>
      <c r="E674" s="1664"/>
      <c r="F674" s="1664"/>
      <c r="G674" s="284"/>
    </row>
    <row r="675" spans="1:7" ht="14.25" hidden="1">
      <c r="A675" s="569"/>
      <c r="B675" s="569"/>
      <c r="C675" s="405"/>
      <c r="D675" s="1664"/>
      <c r="E675" s="1664"/>
      <c r="F675" s="1664"/>
      <c r="G675" s="284"/>
    </row>
    <row r="676" spans="1:7" ht="14.25" hidden="1">
      <c r="A676" s="569"/>
      <c r="B676" s="569"/>
      <c r="C676" s="405"/>
      <c r="D676" s="1664"/>
      <c r="E676" s="1664"/>
      <c r="F676" s="1664"/>
      <c r="G676" s="284"/>
    </row>
    <row r="677" spans="1:7" ht="14.25" hidden="1">
      <c r="A677" s="569"/>
      <c r="B677" s="569"/>
      <c r="C677" s="405"/>
      <c r="D677" s="1671" t="s">
        <v>2141</v>
      </c>
      <c r="E677" s="1671"/>
      <c r="F677" s="1671"/>
      <c r="G677" s="284"/>
    </row>
    <row r="678" spans="1:7" ht="12.75">
      <c r="A678" s="143"/>
      <c r="B678" s="143"/>
      <c r="C678" s="322"/>
      <c r="D678" s="286"/>
      <c r="E678" s="286"/>
      <c r="F678" s="286"/>
      <c r="G678" s="284"/>
    </row>
    <row r="679" spans="1:7" ht="12.75">
      <c r="A679" s="1597" t="s">
        <v>1558</v>
      </c>
      <c r="B679" s="1597"/>
      <c r="C679" s="1597"/>
      <c r="D679" s="1597"/>
      <c r="E679" s="1597"/>
      <c r="F679" s="1597"/>
      <c r="G679" s="1597"/>
    </row>
    <row r="680" spans="1:7" ht="12.75">
      <c r="A680" s="143"/>
      <c r="B680" s="143"/>
      <c r="C680" s="322"/>
      <c r="D680" s="286"/>
      <c r="E680" s="286"/>
      <c r="F680" s="286"/>
      <c r="G680" s="284"/>
    </row>
    <row r="681" spans="1:7" ht="12.75">
      <c r="A681" s="140"/>
      <c r="B681" s="140"/>
      <c r="C681" s="303"/>
      <c r="D681" s="1588" t="s">
        <v>856</v>
      </c>
      <c r="E681" s="1588"/>
      <c r="F681" s="1588"/>
      <c r="G681" s="284"/>
    </row>
    <row r="682" spans="1:7" ht="12.75">
      <c r="A682" s="418"/>
      <c r="B682" s="418"/>
      <c r="C682" s="303"/>
      <c r="D682" s="1588" t="s">
        <v>957</v>
      </c>
      <c r="E682" s="1588"/>
      <c r="F682" s="1588"/>
      <c r="G682" s="284"/>
    </row>
    <row r="683" spans="1:7" ht="12.75">
      <c r="A683" s="415"/>
      <c r="B683" s="415"/>
      <c r="C683" s="299"/>
      <c r="D683" s="1583" t="s">
        <v>1710</v>
      </c>
      <c r="E683" s="1583"/>
      <c r="F683" s="1583"/>
      <c r="G683" s="288"/>
    </row>
    <row r="684" spans="1:7" ht="14.25" customHeight="1">
      <c r="A684" s="415"/>
      <c r="B684" s="415"/>
      <c r="C684" s="299"/>
      <c r="D684" s="282"/>
      <c r="E684" s="282"/>
      <c r="F684" s="282"/>
      <c r="G684" s="288"/>
    </row>
    <row r="685" spans="1:7" ht="14.25">
      <c r="A685" s="413"/>
      <c r="B685" s="948" t="s">
        <v>1532</v>
      </c>
      <c r="C685" s="299"/>
      <c r="D685" s="1583" t="s">
        <v>1235</v>
      </c>
      <c r="E685" s="1583"/>
      <c r="F685" s="1583"/>
      <c r="G685" s="288"/>
    </row>
    <row r="686" spans="1:7" ht="12.75">
      <c r="A686" s="415"/>
      <c r="B686" s="415"/>
      <c r="C686" s="299"/>
      <c r="D686" s="1583" t="s">
        <v>1256</v>
      </c>
      <c r="E686" s="1583"/>
      <c r="F686" s="1583"/>
      <c r="G686" s="288"/>
    </row>
    <row r="687" spans="1:7" ht="12.75">
      <c r="A687" s="415"/>
      <c r="B687" s="415"/>
      <c r="C687" s="299"/>
      <c r="D687" s="282"/>
      <c r="E687" s="1651" t="s">
        <v>1715</v>
      </c>
      <c r="F687" s="1651"/>
      <c r="G687" s="288"/>
    </row>
    <row r="688" spans="1:7" ht="12.75">
      <c r="A688" s="415"/>
      <c r="B688" s="415"/>
      <c r="C688" s="299"/>
      <c r="D688" s="282"/>
      <c r="E688" s="1651"/>
      <c r="F688" s="1651"/>
      <c r="G688" s="288"/>
    </row>
    <row r="689" spans="1:7" ht="12.75">
      <c r="A689" s="415"/>
      <c r="B689" s="415"/>
      <c r="C689" s="299"/>
      <c r="D689" s="332"/>
      <c r="E689" s="332"/>
      <c r="F689" s="332"/>
      <c r="G689" s="288"/>
    </row>
    <row r="690" spans="1:7" ht="14.25">
      <c r="A690" s="413"/>
      <c r="B690" s="948" t="s">
        <v>136</v>
      </c>
      <c r="C690" s="299"/>
      <c r="D690" s="1581" t="s">
        <v>1712</v>
      </c>
      <c r="E690" s="1581"/>
      <c r="F690" s="1581"/>
      <c r="G690" s="288"/>
    </row>
    <row r="691" spans="1:7" ht="12.75">
      <c r="A691" s="33"/>
      <c r="B691" s="33"/>
      <c r="C691" s="299"/>
      <c r="D691" s="1581"/>
      <c r="E691" s="1581"/>
      <c r="F691" s="1581"/>
      <c r="G691" s="288"/>
    </row>
    <row r="692" spans="1:7" ht="12.75">
      <c r="A692" s="415"/>
      <c r="B692" s="415"/>
      <c r="C692" s="299"/>
      <c r="D692" s="1581"/>
      <c r="E692" s="1581"/>
      <c r="F692" s="1581"/>
      <c r="G692" s="288"/>
    </row>
    <row r="693" spans="1:7" ht="12.75">
      <c r="A693" s="415"/>
      <c r="B693" s="415"/>
      <c r="C693" s="299"/>
      <c r="D693" s="282"/>
      <c r="E693" s="282"/>
      <c r="F693" s="282"/>
      <c r="G693" s="288"/>
    </row>
    <row r="694" spans="1:7" ht="14.25">
      <c r="A694" s="413"/>
      <c r="B694" s="948" t="s">
        <v>136</v>
      </c>
      <c r="C694" s="299"/>
      <c r="D694" s="1583" t="s">
        <v>1300</v>
      </c>
      <c r="E694" s="1583"/>
      <c r="F694" s="1583"/>
      <c r="G694" s="288"/>
    </row>
    <row r="695" spans="1:7" ht="14.25">
      <c r="A695" s="413"/>
      <c r="B695" s="413"/>
      <c r="C695" s="299"/>
      <c r="D695" s="1583" t="s">
        <v>1256</v>
      </c>
      <c r="E695" s="1583"/>
      <c r="F695" s="1583"/>
      <c r="G695" s="288"/>
    </row>
    <row r="696" spans="1:7" ht="12.75">
      <c r="A696" s="415"/>
      <c r="B696" s="415"/>
      <c r="C696" s="299"/>
      <c r="D696" s="282"/>
      <c r="E696" s="1607" t="s">
        <v>1713</v>
      </c>
      <c r="F696" s="1607"/>
      <c r="G696" s="288"/>
    </row>
    <row r="697" spans="1:7" ht="12.75">
      <c r="A697" s="415"/>
      <c r="B697" s="415"/>
      <c r="C697" s="299"/>
      <c r="D697" s="6"/>
      <c r="E697" s="282"/>
      <c r="F697" s="282"/>
      <c r="G697" s="288"/>
    </row>
    <row r="698" spans="1:7" ht="14.25">
      <c r="A698" s="413"/>
      <c r="B698" s="948" t="s">
        <v>1532</v>
      </c>
      <c r="C698" s="299"/>
      <c r="D698" s="1615" t="s">
        <v>1714</v>
      </c>
      <c r="E698" s="1615"/>
      <c r="F698" s="1615"/>
      <c r="G698" s="288"/>
    </row>
    <row r="699" spans="1:7" ht="12.75">
      <c r="A699" s="415"/>
      <c r="B699" s="415"/>
      <c r="C699" s="299"/>
      <c r="D699" s="1615"/>
      <c r="E699" s="1615"/>
      <c r="F699" s="1615"/>
      <c r="G699" s="288"/>
    </row>
    <row r="700" spans="1:7" ht="12.75">
      <c r="A700" s="415"/>
      <c r="B700" s="415"/>
      <c r="C700" s="299"/>
      <c r="D700" s="1615"/>
      <c r="E700" s="1615"/>
      <c r="F700" s="1615"/>
      <c r="G700" s="288"/>
    </row>
    <row r="701" spans="1:7" ht="12.75">
      <c r="A701" s="415"/>
      <c r="B701" s="415"/>
      <c r="C701" s="299"/>
      <c r="D701" s="1615"/>
      <c r="E701" s="1615"/>
      <c r="F701" s="1615"/>
      <c r="G701" s="288"/>
    </row>
    <row r="702" spans="1:7" ht="12.75">
      <c r="A702" s="415"/>
      <c r="B702" s="415"/>
      <c r="C702" s="299"/>
      <c r="D702" s="1615"/>
      <c r="E702" s="1615"/>
      <c r="F702" s="1615"/>
      <c r="G702" s="288"/>
    </row>
    <row r="703" spans="1:7" ht="12.75">
      <c r="A703" s="415"/>
      <c r="B703" s="415"/>
      <c r="C703" s="299"/>
      <c r="D703" s="1615"/>
      <c r="E703" s="1615"/>
      <c r="F703" s="1615"/>
      <c r="G703" s="288"/>
    </row>
    <row r="704" spans="1:7" ht="12.75">
      <c r="A704" s="415"/>
      <c r="B704" s="415"/>
      <c r="C704" s="299"/>
      <c r="D704" s="1615"/>
      <c r="E704" s="1615"/>
      <c r="F704" s="1615"/>
      <c r="G704" s="288"/>
    </row>
    <row r="705" spans="1:7" ht="12.75">
      <c r="A705" s="415"/>
      <c r="B705" s="948" t="s">
        <v>1532</v>
      </c>
      <c r="C705" s="299"/>
      <c r="D705" s="1614" t="s">
        <v>1956</v>
      </c>
      <c r="E705" s="1615"/>
      <c r="F705" s="1615"/>
      <c r="G705" s="288"/>
    </row>
    <row r="706" spans="1:7" ht="12.75">
      <c r="A706" s="415"/>
      <c r="B706" s="415"/>
      <c r="C706" s="299"/>
      <c r="D706" s="1615"/>
      <c r="E706" s="1615"/>
      <c r="F706" s="1615"/>
      <c r="G706" s="288"/>
    </row>
    <row r="707" spans="1:7" ht="12.75">
      <c r="A707" s="415"/>
      <c r="B707" s="415"/>
      <c r="C707" s="299"/>
      <c r="D707" s="136"/>
      <c r="E707" s="282"/>
      <c r="F707" s="282"/>
      <c r="G707" s="288"/>
    </row>
    <row r="708" spans="1:7" ht="14.45" customHeight="1">
      <c r="A708" s="413"/>
      <c r="B708" s="948" t="s">
        <v>136</v>
      </c>
      <c r="C708" s="299"/>
      <c r="D708" s="1615" t="s">
        <v>1716</v>
      </c>
      <c r="E708" s="1615"/>
      <c r="F708" s="1615"/>
      <c r="G708" s="288"/>
    </row>
    <row r="709" spans="1:7" ht="12.75">
      <c r="A709" s="415"/>
      <c r="B709" s="415"/>
      <c r="C709" s="299"/>
      <c r="D709" s="1615"/>
      <c r="E709" s="1615"/>
      <c r="F709" s="1615"/>
      <c r="G709" s="288"/>
    </row>
    <row r="710" spans="1:7" ht="12.75">
      <c r="A710" s="415"/>
      <c r="B710" s="415"/>
      <c r="C710" s="299"/>
      <c r="D710" s="1615"/>
      <c r="E710" s="1615"/>
      <c r="F710" s="1615"/>
      <c r="G710" s="288"/>
    </row>
    <row r="711" spans="1:7" ht="12.75">
      <c r="A711" s="415"/>
      <c r="B711" s="415"/>
      <c r="C711" s="299"/>
      <c r="D711" s="1615"/>
      <c r="E711" s="1615"/>
      <c r="F711" s="1615"/>
      <c r="G711" s="288"/>
    </row>
    <row r="712" spans="1:7" ht="12.75">
      <c r="A712" s="415"/>
      <c r="B712" s="415"/>
      <c r="C712" s="299"/>
      <c r="D712" s="1615"/>
      <c r="E712" s="1615"/>
      <c r="F712" s="1615"/>
      <c r="G712" s="288"/>
    </row>
    <row r="713" spans="1:7" ht="12.75">
      <c r="A713" s="415"/>
      <c r="B713" s="415"/>
      <c r="C713" s="299"/>
      <c r="D713" s="1615"/>
      <c r="E713" s="1615"/>
      <c r="F713" s="1615"/>
      <c r="G713" s="288"/>
    </row>
    <row r="714" spans="1:7" ht="12.75">
      <c r="A714" s="415"/>
      <c r="B714" s="415"/>
      <c r="C714" s="299"/>
      <c r="D714" s="1615"/>
      <c r="E714" s="1615"/>
      <c r="F714" s="1615"/>
      <c r="G714" s="288"/>
    </row>
    <row r="715" spans="1:7" ht="12.75">
      <c r="A715" s="415"/>
      <c r="B715" s="415"/>
      <c r="C715" s="299"/>
      <c r="D715" s="1615"/>
      <c r="E715" s="1615"/>
      <c r="F715" s="1615"/>
      <c r="G715" s="288"/>
    </row>
    <row r="716" spans="1:7" ht="12.75">
      <c r="A716" s="415"/>
      <c r="B716" s="415"/>
      <c r="C716" s="299"/>
      <c r="D716" s="1615"/>
      <c r="E716" s="1615"/>
      <c r="F716" s="1615"/>
      <c r="G716" s="288"/>
    </row>
    <row r="717" spans="1:7" ht="12.75">
      <c r="A717" s="415"/>
      <c r="B717" s="415"/>
      <c r="C717" s="299"/>
      <c r="D717" s="1615"/>
      <c r="E717" s="1615"/>
      <c r="F717" s="1615"/>
      <c r="G717" s="288"/>
    </row>
    <row r="718" spans="1:7" ht="12.75">
      <c r="A718" s="415"/>
      <c r="B718" s="415"/>
      <c r="C718" s="299"/>
      <c r="D718" s="1615"/>
      <c r="E718" s="1615"/>
      <c r="F718" s="1615"/>
      <c r="G718" s="288"/>
    </row>
    <row r="719" spans="1:7" ht="12.75">
      <c r="A719" s="415"/>
      <c r="B719" s="415"/>
      <c r="C719" s="299"/>
      <c r="D719" s="1615"/>
      <c r="E719" s="1615"/>
      <c r="F719" s="1615"/>
      <c r="G719" s="288"/>
    </row>
    <row r="720" spans="1:7" ht="12.75">
      <c r="A720" s="415"/>
      <c r="B720" s="415"/>
      <c r="C720" s="299"/>
      <c r="D720" s="1615"/>
      <c r="E720" s="1615"/>
      <c r="F720" s="1615"/>
      <c r="G720" s="288"/>
    </row>
    <row r="721" spans="1:9" s="50" customFormat="1" ht="12.75">
      <c r="A721" s="415"/>
      <c r="B721" s="948" t="s">
        <v>136</v>
      </c>
      <c r="C721" s="415"/>
      <c r="D721" s="1615" t="s">
        <v>1720</v>
      </c>
      <c r="E721" s="1615"/>
      <c r="F721" s="1615"/>
      <c r="G721" s="71"/>
      <c r="H721" s="884"/>
      <c r="I721" s="1084"/>
    </row>
    <row r="722" spans="1:9" s="50" customFormat="1" ht="12.75">
      <c r="A722" s="415"/>
      <c r="B722" s="415"/>
      <c r="C722" s="415"/>
      <c r="D722" s="1615"/>
      <c r="E722" s="1615"/>
      <c r="F722" s="1615"/>
      <c r="G722" s="71"/>
      <c r="H722" s="884"/>
      <c r="I722" s="1084"/>
    </row>
    <row r="723" spans="1:9" s="50" customFormat="1" ht="12.75">
      <c r="A723" s="415"/>
      <c r="B723" s="415"/>
      <c r="C723" s="415"/>
      <c r="D723" s="976"/>
      <c r="E723" s="976"/>
      <c r="F723" s="976"/>
      <c r="G723" s="71"/>
      <c r="H723" s="884"/>
      <c r="I723" s="1084"/>
    </row>
    <row r="724" spans="1:9" s="50" customFormat="1" ht="12.75">
      <c r="A724" s="415"/>
      <c r="B724" s="948" t="s">
        <v>136</v>
      </c>
      <c r="C724" s="415"/>
      <c r="D724" s="1615" t="s">
        <v>1721</v>
      </c>
      <c r="E724" s="1615"/>
      <c r="F724" s="1615"/>
      <c r="G724" s="71"/>
      <c r="H724" s="884"/>
      <c r="I724" s="1084"/>
    </row>
    <row r="725" spans="1:9" s="50" customFormat="1" ht="12.75">
      <c r="A725" s="415"/>
      <c r="B725" s="415"/>
      <c r="C725" s="415"/>
      <c r="D725" s="1615"/>
      <c r="E725" s="1615"/>
      <c r="F725" s="1615"/>
      <c r="G725" s="71"/>
      <c r="H725" s="884"/>
      <c r="I725" s="1084"/>
    </row>
    <row r="726" spans="1:9" s="50" customFormat="1" ht="12.75">
      <c r="A726" s="415"/>
      <c r="B726" s="415"/>
      <c r="C726" s="415"/>
      <c r="D726" s="1615"/>
      <c r="E726" s="1615"/>
      <c r="F726" s="1615"/>
      <c r="G726" s="71"/>
      <c r="H726" s="884"/>
      <c r="I726" s="1084"/>
    </row>
    <row r="727" spans="1:9" s="50" customFormat="1" ht="12.75">
      <c r="A727" s="415"/>
      <c r="B727" s="415"/>
      <c r="C727" s="415"/>
      <c r="D727" s="976"/>
      <c r="E727" s="976"/>
      <c r="F727" s="976"/>
      <c r="G727" s="71"/>
      <c r="H727" s="884"/>
      <c r="I727" s="1084"/>
    </row>
    <row r="728" spans="1:9" ht="14.45" customHeight="1">
      <c r="A728" s="413"/>
      <c r="B728" s="948" t="s">
        <v>136</v>
      </c>
      <c r="C728" s="299"/>
      <c r="D728" s="1614" t="s">
        <v>2195</v>
      </c>
      <c r="E728" s="1615"/>
      <c r="F728" s="1615"/>
      <c r="G728" s="288"/>
    </row>
    <row r="729" spans="1:9" ht="12.75">
      <c r="A729" s="415"/>
      <c r="B729" s="415"/>
      <c r="C729" s="299"/>
      <c r="D729" s="1615"/>
      <c r="E729" s="1615"/>
      <c r="F729" s="1615"/>
      <c r="G729" s="288"/>
    </row>
    <row r="730" spans="1:9" ht="12.75">
      <c r="A730" s="415"/>
      <c r="B730" s="415"/>
      <c r="C730" s="299"/>
      <c r="D730" s="1615"/>
      <c r="E730" s="1615"/>
      <c r="F730" s="1615"/>
      <c r="G730" s="288"/>
    </row>
    <row r="731" spans="1:9" ht="12.75">
      <c r="A731" s="415"/>
      <c r="B731" s="415"/>
      <c r="C731" s="299"/>
      <c r="D731" s="136"/>
      <c r="E731" s="282"/>
      <c r="F731" s="282"/>
      <c r="G731" s="288"/>
    </row>
    <row r="732" spans="1:9" ht="14.45" customHeight="1">
      <c r="A732" s="413"/>
      <c r="B732" s="948" t="s">
        <v>136</v>
      </c>
      <c r="C732" s="299"/>
      <c r="D732" s="1615" t="s">
        <v>1717</v>
      </c>
      <c r="E732" s="1615"/>
      <c r="F732" s="1615"/>
      <c r="G732" s="288"/>
    </row>
    <row r="733" spans="1:9" ht="12.75">
      <c r="A733" s="415"/>
      <c r="B733" s="415"/>
      <c r="C733" s="299"/>
      <c r="D733" s="1615"/>
      <c r="E733" s="1615"/>
      <c r="F733" s="1615"/>
      <c r="G733" s="288"/>
    </row>
    <row r="734" spans="1:9" ht="12.75">
      <c r="A734" s="415"/>
      <c r="B734" s="415"/>
      <c r="C734" s="299"/>
      <c r="D734" s="1615"/>
      <c r="E734" s="1615"/>
      <c r="F734" s="1615"/>
      <c r="G734" s="288"/>
    </row>
    <row r="735" spans="1:9" ht="12.75">
      <c r="A735" s="415"/>
      <c r="B735" s="415"/>
      <c r="C735" s="299"/>
      <c r="D735" s="332"/>
      <c r="E735" s="282"/>
      <c r="F735" s="282"/>
      <c r="G735" s="288"/>
      <c r="H735" s="404"/>
      <c r="I735" s="404"/>
    </row>
    <row r="736" spans="1:9" ht="14.25">
      <c r="A736" s="413"/>
      <c r="B736" s="948" t="s">
        <v>136</v>
      </c>
      <c r="C736" s="299"/>
      <c r="D736" s="1581" t="s">
        <v>1719</v>
      </c>
      <c r="E736" s="1581"/>
      <c r="F736" s="1581"/>
      <c r="G736" s="288"/>
    </row>
    <row r="737" spans="1:9" ht="12.75">
      <c r="A737" s="415"/>
      <c r="B737" s="415"/>
      <c r="C737" s="299"/>
      <c r="D737" s="1581"/>
      <c r="E737" s="1581"/>
      <c r="F737" s="1581"/>
      <c r="G737" s="288"/>
    </row>
    <row r="738" spans="1:9" ht="12.75">
      <c r="A738" s="415"/>
      <c r="B738" s="415"/>
      <c r="C738" s="299"/>
      <c r="D738" s="1581"/>
      <c r="E738" s="1581"/>
      <c r="F738" s="1581"/>
      <c r="G738" s="288"/>
    </row>
    <row r="739" spans="1:9" ht="12.75">
      <c r="A739" s="415"/>
      <c r="B739" s="415"/>
      <c r="C739" s="299"/>
      <c r="D739" s="1581"/>
      <c r="E739" s="1581"/>
      <c r="F739" s="1581"/>
      <c r="G739" s="288"/>
    </row>
    <row r="740" spans="1:9" ht="12.75">
      <c r="A740" s="415"/>
      <c r="B740" s="415"/>
      <c r="C740" s="299"/>
      <c r="D740" s="957"/>
      <c r="E740" s="957"/>
      <c r="F740" s="957"/>
      <c r="G740" s="288"/>
    </row>
    <row r="741" spans="1:9" s="50" customFormat="1" ht="14.25">
      <c r="A741" s="413"/>
      <c r="B741" s="948" t="s">
        <v>1532</v>
      </c>
      <c r="C741" s="415"/>
      <c r="D741" s="1615" t="s">
        <v>1893</v>
      </c>
      <c r="E741" s="1615"/>
      <c r="F741" s="1615"/>
      <c r="G741" s="71"/>
      <c r="H741" s="884"/>
      <c r="I741" s="1084"/>
    </row>
    <row r="742" spans="1:9" s="50" customFormat="1" ht="12.75">
      <c r="A742" s="415"/>
      <c r="B742" s="415"/>
      <c r="C742" s="415"/>
      <c r="D742" s="1615"/>
      <c r="E742" s="1615"/>
      <c r="F742" s="1615"/>
      <c r="G742" s="71"/>
      <c r="H742" s="884"/>
      <c r="I742" s="1084"/>
    </row>
    <row r="743" spans="1:9" s="50" customFormat="1" ht="12.75">
      <c r="A743" s="415"/>
      <c r="B743" s="415"/>
      <c r="C743" s="415"/>
      <c r="D743" s="1615"/>
      <c r="E743" s="1615"/>
      <c r="F743" s="1615"/>
      <c r="G743" s="71"/>
      <c r="H743" s="884"/>
      <c r="I743" s="1084"/>
    </row>
    <row r="744" spans="1:9" s="50" customFormat="1" ht="12.75">
      <c r="A744" s="415"/>
      <c r="B744" s="415"/>
      <c r="C744" s="415"/>
      <c r="D744" s="1615"/>
      <c r="E744" s="1615"/>
      <c r="F744" s="1615"/>
      <c r="G744" s="71"/>
      <c r="H744" s="884"/>
      <c r="I744" s="1084"/>
    </row>
    <row r="745" spans="1:9" s="50" customFormat="1" ht="12.75">
      <c r="A745" s="415"/>
      <c r="B745" s="415"/>
      <c r="C745" s="415"/>
      <c r="D745" s="1615"/>
      <c r="E745" s="1615"/>
      <c r="F745" s="1615"/>
      <c r="G745" s="71"/>
      <c r="H745" s="884"/>
      <c r="I745" s="1084"/>
    </row>
    <row r="746" spans="1:9" s="50" customFormat="1" ht="12.75">
      <c r="A746" s="415"/>
      <c r="B746" s="415"/>
      <c r="C746" s="415"/>
      <c r="D746" s="1615"/>
      <c r="E746" s="1615"/>
      <c r="F746" s="1615"/>
      <c r="G746" s="71"/>
      <c r="H746" s="884"/>
      <c r="I746" s="1084"/>
    </row>
    <row r="747" spans="1:9" s="50" customFormat="1" ht="12.75">
      <c r="A747" s="415"/>
      <c r="B747" s="415"/>
      <c r="C747" s="415"/>
      <c r="D747" s="1615"/>
      <c r="E747" s="1615"/>
      <c r="F747" s="1615"/>
      <c r="G747" s="71"/>
      <c r="H747" s="884"/>
      <c r="I747" s="1084"/>
    </row>
    <row r="748" spans="1:9" s="50" customFormat="1" ht="12.75">
      <c r="A748" s="415"/>
      <c r="B748" s="415"/>
      <c r="C748" s="415"/>
      <c r="D748" s="1663" t="s">
        <v>1718</v>
      </c>
      <c r="E748" s="1663"/>
      <c r="F748" s="1663"/>
      <c r="G748" s="71"/>
      <c r="H748" s="884"/>
      <c r="I748" s="1084"/>
    </row>
    <row r="749" spans="1:9" s="50" customFormat="1" ht="12.75">
      <c r="A749" s="415"/>
      <c r="B749" s="415"/>
      <c r="C749" s="415"/>
      <c r="D749" s="889"/>
      <c r="E749" s="8"/>
      <c r="F749" s="8"/>
      <c r="G749" s="71"/>
      <c r="H749" s="884"/>
      <c r="I749" s="1084"/>
    </row>
    <row r="750" spans="1:9" ht="12.75">
      <c r="A750" s="1632" t="s">
        <v>1590</v>
      </c>
      <c r="B750" s="1632"/>
      <c r="C750" s="1632"/>
      <c r="D750" s="1632"/>
      <c r="E750" s="1632"/>
      <c r="F750" s="1632"/>
      <c r="G750" s="1632"/>
      <c r="H750" s="404"/>
      <c r="I750" s="404"/>
    </row>
    <row r="751" spans="1:9" ht="12.75">
      <c r="A751" s="415"/>
      <c r="B751" s="415"/>
      <c r="C751" s="299"/>
      <c r="D751" s="332"/>
      <c r="E751" s="282"/>
      <c r="F751" s="282"/>
      <c r="G751" s="288"/>
      <c r="H751" s="404"/>
      <c r="I751" s="404"/>
    </row>
    <row r="752" spans="1:9" ht="12.75">
      <c r="A752" s="140"/>
      <c r="B752" s="140"/>
      <c r="C752" s="299"/>
      <c r="D752" s="1616" t="s">
        <v>1620</v>
      </c>
      <c r="E752" s="1616"/>
      <c r="F752" s="1616"/>
      <c r="G752" s="288"/>
      <c r="H752" s="404"/>
      <c r="I752" s="404"/>
    </row>
    <row r="753" spans="1:9" ht="12.75">
      <c r="A753" s="414"/>
      <c r="B753" s="414"/>
      <c r="C753" s="298"/>
      <c r="D753" s="1590" t="s">
        <v>1623</v>
      </c>
      <c r="E753" s="1590"/>
      <c r="F753" s="1590"/>
      <c r="G753" s="288"/>
      <c r="H753" s="404"/>
      <c r="I753" s="404"/>
    </row>
    <row r="754" spans="1:9" ht="12.75">
      <c r="A754" s="415"/>
      <c r="B754" s="415"/>
      <c r="C754" s="299"/>
      <c r="D754" s="282"/>
      <c r="E754" s="282"/>
      <c r="F754" s="282"/>
      <c r="G754" s="288"/>
      <c r="H754" s="404"/>
      <c r="I754" s="404"/>
    </row>
    <row r="755" spans="1:9" ht="14.25" customHeight="1">
      <c r="A755" s="413"/>
      <c r="B755" s="948" t="s">
        <v>1532</v>
      </c>
      <c r="C755" s="14"/>
      <c r="D755" s="1581" t="s">
        <v>1621</v>
      </c>
      <c r="E755" s="1581"/>
      <c r="F755" s="1581"/>
      <c r="G755" s="288"/>
      <c r="H755" s="404"/>
      <c r="I755" s="404"/>
    </row>
    <row r="756" spans="1:9" ht="11.25" customHeight="1">
      <c r="A756" s="140"/>
      <c r="B756" s="140"/>
      <c r="C756" s="14"/>
      <c r="D756" s="1581"/>
      <c r="E756" s="1581"/>
      <c r="F756" s="1581"/>
      <c r="G756" s="288"/>
      <c r="H756" s="404"/>
      <c r="I756" s="404"/>
    </row>
    <row r="757" spans="1:9" ht="12.75">
      <c r="A757" s="140"/>
      <c r="B757" s="140"/>
      <c r="C757" s="14"/>
      <c r="D757" s="1581"/>
      <c r="E757" s="1581"/>
      <c r="F757" s="1581"/>
      <c r="G757" s="288"/>
      <c r="H757" s="404"/>
      <c r="I757" s="404"/>
    </row>
    <row r="758" spans="1:9" ht="12.75">
      <c r="A758" s="140"/>
      <c r="B758" s="140"/>
      <c r="C758" s="14"/>
      <c r="D758" s="1581"/>
      <c r="E758" s="1581"/>
      <c r="F758" s="1581"/>
      <c r="G758" s="288"/>
      <c r="H758" s="404"/>
      <c r="I758" s="404"/>
    </row>
    <row r="759" spans="1:9" ht="12.75">
      <c r="A759" s="150"/>
      <c r="B759" s="150"/>
      <c r="D759" s="1581"/>
      <c r="E759" s="1581"/>
      <c r="F759" s="1581"/>
      <c r="G759" s="288"/>
      <c r="H759" s="404"/>
      <c r="I759" s="404"/>
    </row>
    <row r="760" spans="1:9" ht="17.25" customHeight="1">
      <c r="A760" s="150"/>
      <c r="B760" s="150"/>
      <c r="D760" s="1581"/>
      <c r="E760" s="1581"/>
      <c r="F760" s="1581"/>
      <c r="G760" s="288"/>
      <c r="H760" s="404"/>
      <c r="I760" s="404"/>
    </row>
    <row r="761" spans="1:9" ht="12.75">
      <c r="A761" s="150"/>
      <c r="B761" s="150"/>
      <c r="D761" s="403"/>
      <c r="E761" s="403"/>
      <c r="F761" s="403"/>
      <c r="G761" s="288"/>
      <c r="H761" s="404"/>
      <c r="I761" s="404"/>
    </row>
    <row r="762" spans="1:9" ht="12.75" customHeight="1">
      <c r="A762" s="140"/>
      <c r="B762" s="948" t="s">
        <v>1532</v>
      </c>
      <c r="C762" s="14"/>
      <c r="D762" s="1636" t="s">
        <v>2124</v>
      </c>
      <c r="E762" s="1636"/>
      <c r="F762" s="1636"/>
      <c r="G762" s="288"/>
      <c r="H762" s="404"/>
      <c r="I762" s="404"/>
    </row>
    <row r="763" spans="1:9" ht="12.75">
      <c r="A763" s="140"/>
      <c r="B763" s="140"/>
      <c r="C763" s="14"/>
      <c r="D763" s="1636"/>
      <c r="E763" s="1636"/>
      <c r="F763" s="1636"/>
      <c r="G763" s="288"/>
      <c r="H763" s="404"/>
      <c r="I763" s="404"/>
    </row>
    <row r="764" spans="1:9" ht="12.75">
      <c r="A764" s="140"/>
      <c r="B764" s="140"/>
      <c r="C764" s="14"/>
      <c r="D764" s="1636"/>
      <c r="E764" s="1636"/>
      <c r="F764" s="1636"/>
      <c r="G764" s="288"/>
      <c r="H764" s="404"/>
      <c r="I764" s="404"/>
    </row>
    <row r="765" spans="1:9" ht="12.75">
      <c r="A765" s="140"/>
      <c r="B765" s="140"/>
      <c r="C765" s="14"/>
      <c r="D765" s="1636"/>
      <c r="E765" s="1636"/>
      <c r="F765" s="1636"/>
      <c r="G765" s="288"/>
      <c r="H765" s="404"/>
      <c r="I765" s="404"/>
    </row>
    <row r="766" spans="1:9" ht="12.75">
      <c r="A766" s="140"/>
      <c r="B766" s="140"/>
      <c r="C766" s="14"/>
      <c r="D766" s="403"/>
      <c r="G766" s="288"/>
      <c r="H766" s="404"/>
      <c r="I766" s="404"/>
    </row>
    <row r="767" spans="1:9" ht="12.75">
      <c r="A767" s="140"/>
      <c r="B767" s="948" t="s">
        <v>136</v>
      </c>
      <c r="C767" s="688"/>
      <c r="D767" s="1633" t="s">
        <v>2125</v>
      </c>
      <c r="E767" s="1634"/>
      <c r="F767" s="1634"/>
      <c r="G767" s="710"/>
      <c r="H767" s="404"/>
      <c r="I767" s="404"/>
    </row>
    <row r="768" spans="1:9" ht="12.75">
      <c r="A768" s="688"/>
      <c r="B768" s="688"/>
      <c r="C768" s="688"/>
      <c r="D768" s="1634"/>
      <c r="E768" s="1634"/>
      <c r="F768" s="1634"/>
      <c r="G768" s="710"/>
      <c r="H768" s="404"/>
      <c r="I768" s="404"/>
    </row>
    <row r="769" spans="1:9" ht="12.75">
      <c r="A769" s="688"/>
      <c r="B769" s="688"/>
      <c r="C769" s="688"/>
      <c r="D769" s="1634"/>
      <c r="E769" s="1634"/>
      <c r="F769" s="1634"/>
      <c r="G769" s="710"/>
      <c r="H769" s="404"/>
      <c r="I769" s="404"/>
    </row>
    <row r="770" spans="1:9" ht="12.75">
      <c r="A770" s="150"/>
      <c r="B770" s="150"/>
      <c r="D770" s="403"/>
      <c r="E770" s="403"/>
      <c r="F770" s="403"/>
      <c r="G770" s="288"/>
      <c r="H770" s="404"/>
      <c r="I770" s="404"/>
    </row>
    <row r="771" spans="1:9" ht="12.75">
      <c r="A771" s="150"/>
      <c r="B771" s="948" t="s">
        <v>136</v>
      </c>
      <c r="D771" s="1625" t="s">
        <v>1622</v>
      </c>
      <c r="E771" s="1625"/>
      <c r="F771" s="1625"/>
      <c r="G771" s="288"/>
      <c r="H771" s="404"/>
      <c r="I771" s="404"/>
    </row>
    <row r="772" spans="1:9" ht="12.75">
      <c r="A772" s="150"/>
      <c r="B772" s="150"/>
      <c r="D772" s="1625"/>
      <c r="E772" s="1625"/>
      <c r="F772" s="1625"/>
      <c r="G772" s="288"/>
      <c r="H772" s="404"/>
      <c r="I772" s="404"/>
    </row>
    <row r="773" spans="1:9" ht="12.75">
      <c r="A773" s="150"/>
      <c r="B773" s="150"/>
      <c r="D773" s="955"/>
      <c r="E773" s="955"/>
      <c r="F773" s="955"/>
      <c r="G773" s="288"/>
      <c r="H773" s="404"/>
      <c r="I773" s="404"/>
    </row>
    <row r="774" spans="1:9" ht="13.7" customHeight="1">
      <c r="A774" s="150"/>
      <c r="B774" s="948" t="s">
        <v>136</v>
      </c>
      <c r="D774" s="1626" t="s">
        <v>1982</v>
      </c>
      <c r="E774" s="1625"/>
      <c r="F774" s="1625"/>
      <c r="G774" s="288"/>
      <c r="H774" s="404"/>
      <c r="I774" s="404"/>
    </row>
    <row r="775" spans="1:9" ht="12.75">
      <c r="A775" s="150"/>
      <c r="B775" s="150"/>
      <c r="D775" s="1625"/>
      <c r="E775" s="1625"/>
      <c r="F775" s="1625"/>
      <c r="G775" s="288"/>
      <c r="H775" s="404"/>
      <c r="I775" s="404"/>
    </row>
    <row r="776" spans="1:9" ht="12.75">
      <c r="A776" s="150"/>
      <c r="B776" s="150"/>
      <c r="D776" s="1625"/>
      <c r="E776" s="1625"/>
      <c r="F776" s="1625"/>
      <c r="G776" s="288"/>
      <c r="H776" s="404"/>
      <c r="I776" s="404"/>
    </row>
    <row r="777" spans="1:9" ht="12.75">
      <c r="A777" s="150"/>
      <c r="B777" s="150"/>
      <c r="D777" s="955"/>
      <c r="E777" s="955"/>
      <c r="F777" s="955"/>
      <c r="G777" s="288"/>
      <c r="H777" s="404"/>
      <c r="I777" s="404"/>
    </row>
    <row r="778" spans="1:9" ht="12" customHeight="1">
      <c r="A778" s="1632" t="s">
        <v>1795</v>
      </c>
      <c r="B778" s="1632"/>
      <c r="C778" s="1632"/>
      <c r="D778" s="1632"/>
      <c r="E778" s="1632"/>
      <c r="F778" s="1632"/>
      <c r="G778" s="1632"/>
      <c r="H778" s="404"/>
      <c r="I778" s="404"/>
    </row>
    <row r="779" spans="1:9" ht="12.75">
      <c r="A779" s="107"/>
      <c r="B779" s="107"/>
      <c r="C779" s="302"/>
      <c r="D779" s="283"/>
      <c r="E779" s="283"/>
      <c r="F779" s="283"/>
      <c r="G779" s="288"/>
      <c r="H779" s="404"/>
      <c r="I779" s="404"/>
    </row>
    <row r="780" spans="1:9" ht="13.7" customHeight="1">
      <c r="A780" s="107"/>
      <c r="B780" s="107"/>
      <c r="C780" s="302"/>
      <c r="D780" s="1678" t="s">
        <v>1796</v>
      </c>
      <c r="E780" s="1678"/>
      <c r="F780" s="1678"/>
      <c r="G780" s="288"/>
      <c r="H780" s="404"/>
      <c r="I780" s="404"/>
    </row>
    <row r="781" spans="1:9" ht="12.75">
      <c r="A781" s="107"/>
      <c r="B781" s="107"/>
      <c r="C781" s="302"/>
      <c r="D781" s="1679" t="s">
        <v>1797</v>
      </c>
      <c r="E781" s="1679"/>
      <c r="F781" s="1679"/>
      <c r="G781" s="288"/>
      <c r="H781" s="404"/>
      <c r="I781" s="404"/>
    </row>
    <row r="782" spans="1:9" ht="12.75">
      <c r="A782" s="107"/>
      <c r="B782" s="107"/>
      <c r="C782" s="302"/>
      <c r="D782" s="994"/>
      <c r="E782" s="994"/>
      <c r="F782" s="994"/>
      <c r="G782" s="288"/>
      <c r="H782" s="404"/>
      <c r="I782" s="404"/>
    </row>
    <row r="783" spans="1:9" ht="12.75">
      <c r="A783" s="107"/>
      <c r="B783" s="948" t="s">
        <v>1532</v>
      </c>
      <c r="C783" s="302"/>
      <c r="D783" s="1664" t="s">
        <v>1798</v>
      </c>
      <c r="E783" s="1664"/>
      <c r="F783" s="1664"/>
      <c r="G783" s="288"/>
      <c r="H783" s="404"/>
      <c r="I783" s="404"/>
    </row>
    <row r="784" spans="1:9" ht="12.75">
      <c r="A784" s="107"/>
      <c r="B784" s="107"/>
      <c r="C784" s="302"/>
      <c r="D784" s="1664"/>
      <c r="E784" s="1664"/>
      <c r="F784" s="1664"/>
      <c r="G784" s="288"/>
      <c r="H784" s="404"/>
      <c r="I784" s="404"/>
    </row>
    <row r="785" spans="1:9" ht="12.75">
      <c r="A785" s="415"/>
      <c r="B785" s="415"/>
      <c r="C785" s="299"/>
      <c r="D785" s="1664"/>
      <c r="E785" s="1664"/>
      <c r="F785" s="1664"/>
      <c r="G785" s="284"/>
      <c r="H785" s="404"/>
      <c r="I785" s="404"/>
    </row>
    <row r="786" spans="1:9" ht="12.75">
      <c r="A786" s="150"/>
      <c r="B786" s="150"/>
      <c r="C786" s="285"/>
      <c r="D786" s="411"/>
      <c r="E786" s="288"/>
      <c r="F786" s="288"/>
      <c r="G786" s="288"/>
      <c r="H786" s="404"/>
      <c r="I786" s="404"/>
    </row>
    <row r="787" spans="1:9" ht="12.75">
      <c r="A787" s="418"/>
      <c r="B787" s="948" t="s">
        <v>136</v>
      </c>
      <c r="C787" s="303"/>
      <c r="D787" s="1664" t="s">
        <v>1799</v>
      </c>
      <c r="E787" s="1664"/>
      <c r="F787" s="1664"/>
      <c r="G787" s="288"/>
      <c r="H787" s="404"/>
      <c r="I787" s="404"/>
    </row>
    <row r="788" spans="1:9" ht="12.75">
      <c r="A788" s="739"/>
      <c r="B788" s="739"/>
      <c r="C788" s="740"/>
      <c r="D788" s="1664"/>
      <c r="E788" s="1664"/>
      <c r="F788" s="1664"/>
      <c r="G788" s="288"/>
      <c r="H788" s="404"/>
      <c r="I788" s="404"/>
    </row>
    <row r="789" spans="1:9" ht="12.75">
      <c r="A789" s="418"/>
      <c r="B789" s="418"/>
      <c r="C789" s="303"/>
      <c r="D789" s="1664"/>
      <c r="E789" s="1664"/>
      <c r="F789" s="1664"/>
      <c r="G789" s="288"/>
      <c r="H789" s="404"/>
      <c r="I789" s="404"/>
    </row>
    <row r="790" spans="1:9" ht="12.75">
      <c r="A790" s="415"/>
      <c r="B790" s="415"/>
      <c r="C790" s="299"/>
      <c r="D790" s="282"/>
      <c r="E790" s="296"/>
      <c r="F790" s="296"/>
      <c r="G790" s="571"/>
      <c r="H790" s="404"/>
      <c r="I790" s="404"/>
    </row>
    <row r="791" spans="1:9" ht="14.45" customHeight="1">
      <c r="A791" s="413"/>
      <c r="B791" s="948" t="s">
        <v>136</v>
      </c>
      <c r="C791" s="322"/>
      <c r="D791" s="1599" t="s">
        <v>1914</v>
      </c>
      <c r="E791" s="1599"/>
      <c r="F791" s="1599"/>
      <c r="G791" s="571"/>
      <c r="H791" s="404"/>
      <c r="I791" s="404"/>
    </row>
    <row r="792" spans="1:9" ht="14.25">
      <c r="A792" s="413"/>
      <c r="B792" s="413"/>
      <c r="C792" s="322"/>
      <c r="D792" s="1599"/>
      <c r="E792" s="1599"/>
      <c r="F792" s="1599"/>
      <c r="G792" s="571"/>
      <c r="H792" s="404"/>
      <c r="I792" s="404"/>
    </row>
    <row r="793" spans="1:9" ht="14.25">
      <c r="A793" s="413"/>
      <c r="B793" s="413"/>
      <c r="C793" s="322"/>
      <c r="D793" s="1599"/>
      <c r="E793" s="1599"/>
      <c r="F793" s="1599"/>
      <c r="G793" s="571"/>
      <c r="H793" s="404"/>
      <c r="I793" s="404"/>
    </row>
    <row r="794" spans="1:9" ht="14.25">
      <c r="A794" s="413"/>
      <c r="B794" s="413"/>
      <c r="C794" s="322"/>
      <c r="D794" s="1053"/>
      <c r="E794" s="282"/>
      <c r="F794" s="282"/>
      <c r="G794" s="571"/>
      <c r="H794" s="404"/>
      <c r="I794" s="404"/>
    </row>
    <row r="795" spans="1:9" ht="14.25" customHeight="1">
      <c r="A795" s="413"/>
      <c r="B795" s="948" t="s">
        <v>136</v>
      </c>
      <c r="C795" s="322"/>
      <c r="D795" s="1664" t="s">
        <v>1800</v>
      </c>
      <c r="E795" s="1664"/>
      <c r="F795" s="1664"/>
      <c r="G795" s="571"/>
      <c r="H795" s="404"/>
      <c r="I795" s="404"/>
    </row>
    <row r="796" spans="1:9" ht="14.25">
      <c r="A796" s="413"/>
      <c r="B796" s="413"/>
      <c r="C796" s="322"/>
      <c r="D796" s="1664"/>
      <c r="E796" s="1664"/>
      <c r="F796" s="1664"/>
      <c r="G796" s="571"/>
      <c r="H796" s="404"/>
      <c r="I796" s="404"/>
    </row>
    <row r="797" spans="1:9" ht="14.25">
      <c r="A797" s="413"/>
      <c r="B797" s="413"/>
      <c r="C797" s="322"/>
      <c r="D797" s="1664"/>
      <c r="E797" s="1664"/>
      <c r="F797" s="1664"/>
      <c r="G797" s="571"/>
      <c r="H797" s="404"/>
      <c r="I797" s="404"/>
    </row>
    <row r="798" spans="1:9" ht="14.25">
      <c r="A798" s="413"/>
      <c r="B798" s="413"/>
      <c r="C798" s="322"/>
      <c r="D798" s="1664"/>
      <c r="E798" s="1664"/>
      <c r="F798" s="1664"/>
      <c r="G798" s="571"/>
      <c r="H798" s="404"/>
      <c r="I798" s="404"/>
    </row>
    <row r="799" spans="1:9" ht="14.25">
      <c r="A799" s="413"/>
      <c r="B799" s="413"/>
      <c r="C799" s="322"/>
      <c r="D799" s="1664"/>
      <c r="E799" s="1664"/>
      <c r="F799" s="1664"/>
      <c r="G799" s="571"/>
      <c r="H799" s="404"/>
      <c r="I799" s="404"/>
    </row>
    <row r="800" spans="1:9" ht="14.25">
      <c r="A800" s="413"/>
      <c r="B800" s="413"/>
      <c r="C800" s="322"/>
      <c r="D800" s="1599" t="s">
        <v>2308</v>
      </c>
      <c r="E800" s="1599"/>
      <c r="F800" s="1599"/>
      <c r="G800" s="571"/>
      <c r="H800" s="404"/>
      <c r="I800" s="404"/>
    </row>
    <row r="801" spans="1:9" ht="14.25">
      <c r="A801" s="413"/>
      <c r="B801" s="413"/>
      <c r="C801" s="322"/>
      <c r="D801" s="1599"/>
      <c r="E801" s="1599"/>
      <c r="F801" s="1599"/>
      <c r="G801" s="571"/>
      <c r="H801" s="404"/>
      <c r="I801" s="404"/>
    </row>
    <row r="802" spans="1:9" ht="14.25">
      <c r="A802" s="413"/>
      <c r="B802" s="413"/>
      <c r="C802" s="322"/>
      <c r="D802" s="1599"/>
      <c r="E802" s="1599"/>
      <c r="F802" s="1599"/>
      <c r="G802" s="571"/>
      <c r="H802" s="404"/>
      <c r="I802" s="404"/>
    </row>
    <row r="803" spans="1:9" ht="14.25">
      <c r="A803" s="413"/>
      <c r="B803" s="14"/>
      <c r="C803" s="322"/>
      <c r="D803" s="1347"/>
      <c r="E803" s="1347"/>
      <c r="F803" s="1347"/>
      <c r="G803" s="571"/>
      <c r="H803" s="404"/>
      <c r="I803" s="404"/>
    </row>
    <row r="804" spans="1:9" ht="14.25">
      <c r="A804" s="413"/>
      <c r="B804" s="948" t="s">
        <v>136</v>
      </c>
      <c r="C804" s="322"/>
      <c r="D804" s="1664" t="s">
        <v>1802</v>
      </c>
      <c r="E804" s="1664"/>
      <c r="F804" s="1664"/>
      <c r="G804" s="571"/>
      <c r="H804" s="404"/>
      <c r="I804" s="404"/>
    </row>
    <row r="805" spans="1:9" ht="14.25">
      <c r="A805" s="413"/>
      <c r="B805" s="413"/>
      <c r="C805" s="322"/>
      <c r="D805" s="1664"/>
      <c r="E805" s="1664"/>
      <c r="F805" s="1664"/>
      <c r="G805" s="571"/>
      <c r="H805" s="404"/>
      <c r="I805" s="404"/>
    </row>
    <row r="806" spans="1:9" ht="14.25">
      <c r="A806" s="413"/>
      <c r="B806" s="413"/>
      <c r="C806" s="322"/>
      <c r="D806" s="1664"/>
      <c r="E806" s="1664"/>
      <c r="F806" s="1664"/>
      <c r="G806" s="571"/>
      <c r="H806" s="404"/>
      <c r="I806" s="404"/>
    </row>
    <row r="807" spans="1:9" ht="14.25">
      <c r="A807" s="413"/>
      <c r="B807" s="413"/>
      <c r="C807" s="322"/>
      <c r="D807" s="1664"/>
      <c r="E807" s="1664"/>
      <c r="F807" s="1664"/>
      <c r="G807" s="571"/>
      <c r="H807" s="404"/>
      <c r="I807" s="404"/>
    </row>
    <row r="808" spans="1:9" ht="14.25">
      <c r="A808" s="413"/>
      <c r="B808" s="413"/>
      <c r="C808" s="322"/>
      <c r="D808" s="1664"/>
      <c r="E808" s="1664"/>
      <c r="F808" s="1664"/>
      <c r="G808" s="571"/>
      <c r="H808" s="404"/>
      <c r="I808" s="404"/>
    </row>
    <row r="809" spans="1:9" ht="14.25">
      <c r="A809" s="413"/>
      <c r="B809" s="413"/>
      <c r="C809" s="322"/>
      <c r="D809" s="1664"/>
      <c r="E809" s="1664"/>
      <c r="F809" s="1664"/>
      <c r="G809" s="571"/>
      <c r="H809" s="404"/>
      <c r="I809" s="404"/>
    </row>
    <row r="810" spans="1:9" ht="14.25">
      <c r="A810" s="413"/>
      <c r="B810" s="413"/>
      <c r="C810" s="322"/>
      <c r="D810" s="1335"/>
      <c r="E810" s="1335"/>
      <c r="F810" s="1335"/>
      <c r="G810" s="571"/>
      <c r="H810" s="404"/>
      <c r="I810" s="404"/>
    </row>
    <row r="811" spans="1:9" ht="14.25">
      <c r="A811" s="413"/>
      <c r="B811" s="1336" t="s">
        <v>136</v>
      </c>
      <c r="C811" s="322"/>
      <c r="D811" s="1599" t="s">
        <v>2126</v>
      </c>
      <c r="E811" s="1664"/>
      <c r="F811" s="1664"/>
      <c r="G811" s="571"/>
      <c r="H811" s="404"/>
      <c r="I811" s="404"/>
    </row>
    <row r="812" spans="1:9" ht="14.25">
      <c r="A812" s="413"/>
      <c r="B812" s="413"/>
      <c r="C812" s="322"/>
      <c r="D812" s="1664"/>
      <c r="E812" s="1664"/>
      <c r="F812" s="1664"/>
      <c r="G812" s="571"/>
      <c r="H812" s="404"/>
      <c r="I812" s="404"/>
    </row>
    <row r="813" spans="1:9" ht="14.25">
      <c r="A813" s="413"/>
      <c r="B813" s="413"/>
      <c r="C813" s="322"/>
      <c r="D813" s="1664"/>
      <c r="E813" s="1664"/>
      <c r="F813" s="1664"/>
      <c r="G813" s="571"/>
      <c r="H813" s="404"/>
      <c r="I813" s="404"/>
    </row>
    <row r="814" spans="1:9" ht="14.25">
      <c r="A814" s="413"/>
      <c r="B814" s="413"/>
      <c r="C814" s="322"/>
      <c r="D814" s="1664"/>
      <c r="E814" s="1664"/>
      <c r="F814" s="1664"/>
      <c r="G814" s="571"/>
      <c r="H814" s="404"/>
      <c r="I814" s="404"/>
    </row>
    <row r="815" spans="1:9" ht="14.25">
      <c r="A815" s="413"/>
      <c r="B815" s="413"/>
      <c r="C815" s="322"/>
      <c r="D815" s="1664"/>
      <c r="E815" s="1664"/>
      <c r="F815" s="1664"/>
      <c r="G815" s="571"/>
      <c r="H815" s="404"/>
      <c r="I815" s="404"/>
    </row>
    <row r="816" spans="1:9" ht="14.25">
      <c r="A816" s="413"/>
      <c r="B816" s="413"/>
      <c r="C816" s="322"/>
      <c r="D816" s="1055"/>
      <c r="E816" s="1055"/>
      <c r="F816" s="1055"/>
      <c r="G816" s="571"/>
      <c r="H816" s="404"/>
      <c r="I816" s="404"/>
    </row>
    <row r="817" spans="1:9" ht="14.25">
      <c r="A817" s="413"/>
      <c r="B817" s="948" t="s">
        <v>136</v>
      </c>
      <c r="C817" s="322"/>
      <c r="D817" s="1664" t="s">
        <v>1801</v>
      </c>
      <c r="E817" s="1664"/>
      <c r="F817" s="1664"/>
      <c r="G817" s="571"/>
      <c r="H817" s="404"/>
      <c r="I817" s="404"/>
    </row>
    <row r="818" spans="1:9" ht="14.25">
      <c r="A818" s="413"/>
      <c r="B818" s="413"/>
      <c r="C818" s="322"/>
      <c r="D818" s="1664"/>
      <c r="E818" s="1664"/>
      <c r="F818" s="1664"/>
      <c r="G818" s="571"/>
      <c r="H818" s="404"/>
      <c r="I818" s="404"/>
    </row>
    <row r="819" spans="1:9" ht="14.25">
      <c r="A819" s="413"/>
      <c r="B819" s="413"/>
      <c r="C819" s="322"/>
      <c r="D819" s="1664"/>
      <c r="E819" s="1664"/>
      <c r="F819" s="1664"/>
      <c r="G819" s="571"/>
      <c r="H819" s="404"/>
      <c r="I819" s="404"/>
    </row>
    <row r="820" spans="1:9" ht="14.25">
      <c r="A820" s="413"/>
      <c r="B820" s="413"/>
      <c r="C820" s="322"/>
      <c r="D820" s="1664"/>
      <c r="E820" s="1664"/>
      <c r="F820" s="1664"/>
      <c r="G820" s="571"/>
      <c r="H820" s="404"/>
      <c r="I820" s="404"/>
    </row>
    <row r="821" spans="1:9" ht="14.25">
      <c r="A821" s="413"/>
      <c r="B821" s="413"/>
      <c r="C821" s="322"/>
      <c r="D821" s="296"/>
      <c r="E821" s="282"/>
      <c r="F821" s="282"/>
      <c r="G821" s="571"/>
      <c r="H821" s="404"/>
      <c r="I821" s="404"/>
    </row>
    <row r="822" spans="1:9" ht="14.25">
      <c r="A822" s="413"/>
      <c r="B822" s="948" t="s">
        <v>136</v>
      </c>
      <c r="C822" s="322"/>
      <c r="D822" s="1665" t="s">
        <v>1804</v>
      </c>
      <c r="E822" s="1665"/>
      <c r="F822" s="1665"/>
      <c r="G822" s="571"/>
      <c r="H822" s="404"/>
      <c r="I822" s="404"/>
    </row>
    <row r="823" spans="1:9" ht="14.25">
      <c r="A823" s="413"/>
      <c r="B823" s="413"/>
      <c r="C823" s="322"/>
      <c r="D823" s="1665"/>
      <c r="E823" s="1665"/>
      <c r="F823" s="1665"/>
      <c r="G823" s="571"/>
      <c r="H823" s="404"/>
      <c r="I823" s="404"/>
    </row>
    <row r="824" spans="1:9" ht="12.75">
      <c r="A824" s="33"/>
      <c r="B824" s="33"/>
      <c r="C824" s="322"/>
      <c r="D824" s="1665"/>
      <c r="E824" s="1665"/>
      <c r="F824" s="1665"/>
      <c r="G824" s="571"/>
      <c r="H824" s="404"/>
      <c r="I824" s="404"/>
    </row>
    <row r="825" spans="1:9" ht="14.25">
      <c r="A825" s="413"/>
      <c r="B825" s="995"/>
      <c r="C825" s="322"/>
      <c r="D825" s="1665"/>
      <c r="E825" s="1665"/>
      <c r="F825" s="1665"/>
      <c r="G825" s="571"/>
      <c r="H825" s="404"/>
      <c r="I825" s="404"/>
    </row>
    <row r="826" spans="1:9" ht="14.25">
      <c r="A826" s="413"/>
      <c r="B826" s="995"/>
      <c r="C826" s="322"/>
      <c r="D826" s="1665"/>
      <c r="E826" s="1665"/>
      <c r="F826" s="1665"/>
      <c r="G826" s="571"/>
      <c r="H826" s="404"/>
      <c r="I826" s="404"/>
    </row>
    <row r="827" spans="1:9" ht="14.25">
      <c r="A827" s="413"/>
      <c r="B827" s="995"/>
      <c r="C827" s="322"/>
      <c r="D827" s="1665"/>
      <c r="E827" s="1665"/>
      <c r="F827" s="1665"/>
      <c r="G827" s="571"/>
      <c r="H827" s="404"/>
      <c r="I827" s="404"/>
    </row>
    <row r="828" spans="1:9" ht="14.25">
      <c r="A828" s="413"/>
      <c r="B828" s="1056"/>
      <c r="C828" s="322"/>
      <c r="D828" s="1054"/>
      <c r="E828" s="1054"/>
      <c r="F828" s="1054"/>
      <c r="G828" s="571"/>
      <c r="H828" s="404"/>
      <c r="I828" s="404"/>
    </row>
    <row r="829" spans="1:9" ht="14.25">
      <c r="A829" s="413"/>
      <c r="B829" s="948" t="s">
        <v>136</v>
      </c>
      <c r="C829" s="322"/>
      <c r="D829" s="1664" t="s">
        <v>1803</v>
      </c>
      <c r="E829" s="1664"/>
      <c r="F829" s="1664"/>
      <c r="G829" s="571"/>
      <c r="H829" s="404"/>
      <c r="I829" s="404"/>
    </row>
    <row r="830" spans="1:9" ht="14.25">
      <c r="A830" s="413"/>
      <c r="B830" s="413"/>
      <c r="C830" s="322"/>
      <c r="D830" s="1664"/>
      <c r="E830" s="1664"/>
      <c r="F830" s="1664"/>
      <c r="G830" s="571"/>
      <c r="H830" s="404"/>
      <c r="I830" s="404"/>
    </row>
    <row r="831" spans="1:9" ht="14.25">
      <c r="A831" s="413"/>
      <c r="B831" s="413"/>
      <c r="C831" s="322"/>
      <c r="D831" s="296"/>
      <c r="E831" s="282"/>
      <c r="F831" s="282"/>
      <c r="G831" s="571"/>
      <c r="H831" s="404"/>
      <c r="I831" s="404"/>
    </row>
    <row r="832" spans="1:9" ht="14.25">
      <c r="A832" s="413"/>
      <c r="B832" s="948" t="s">
        <v>136</v>
      </c>
      <c r="C832" s="322"/>
      <c r="D832" s="1665" t="s">
        <v>1805</v>
      </c>
      <c r="E832" s="1665"/>
      <c r="F832" s="1665"/>
      <c r="G832" s="571"/>
      <c r="H832" s="404"/>
      <c r="I832" s="404"/>
    </row>
    <row r="833" spans="1:9" ht="14.25">
      <c r="A833" s="413"/>
      <c r="B833" s="413"/>
      <c r="C833" s="322"/>
      <c r="D833" s="1665"/>
      <c r="E833" s="1665"/>
      <c r="F833" s="1665"/>
      <c r="G833" s="571"/>
      <c r="H833" s="404"/>
      <c r="I833" s="404"/>
    </row>
    <row r="834" spans="1:9" ht="12.75">
      <c r="A834" s="33"/>
      <c r="B834" s="33"/>
      <c r="C834" s="322"/>
      <c r="D834" s="296"/>
      <c r="E834" s="282"/>
      <c r="F834" s="282"/>
      <c r="G834" s="571"/>
      <c r="H834" s="404"/>
      <c r="I834" s="404"/>
    </row>
    <row r="835" spans="1:9" ht="12.75">
      <c r="A835" s="1597" t="s">
        <v>2147</v>
      </c>
      <c r="B835" s="1597"/>
      <c r="C835" s="1597"/>
      <c r="D835" s="1597"/>
      <c r="E835" s="1597"/>
      <c r="F835" s="1597"/>
      <c r="G835" s="1597"/>
      <c r="H835" s="404"/>
      <c r="I835" s="404"/>
    </row>
    <row r="836" spans="1:9" ht="12.75">
      <c r="A836" s="414"/>
      <c r="B836" s="414"/>
      <c r="C836" s="322"/>
      <c r="D836" s="296"/>
      <c r="E836" s="296"/>
      <c r="F836" s="296"/>
      <c r="G836" s="571"/>
      <c r="H836" s="404"/>
      <c r="I836" s="404"/>
    </row>
    <row r="837" spans="1:9" ht="14.25">
      <c r="A837" s="413"/>
      <c r="B837" s="413"/>
      <c r="C837" s="14"/>
      <c r="D837" s="1616" t="s">
        <v>1700</v>
      </c>
      <c r="E837" s="1616"/>
      <c r="F837" s="1616"/>
      <c r="H837" s="404"/>
      <c r="I837" s="404"/>
    </row>
    <row r="838" spans="1:9" ht="14.25">
      <c r="A838" s="413"/>
      <c r="B838" s="413"/>
      <c r="C838" s="14"/>
      <c r="D838" s="1580" t="s">
        <v>2144</v>
      </c>
      <c r="E838" s="1580"/>
      <c r="F838" s="1580"/>
      <c r="H838" s="404"/>
      <c r="I838" s="404"/>
    </row>
    <row r="839" spans="1:9" ht="14.25">
      <c r="A839" s="413"/>
      <c r="B839" s="413"/>
      <c r="C839" s="14"/>
      <c r="D839" s="1350"/>
      <c r="E839" s="1352"/>
      <c r="F839" s="1352"/>
      <c r="H839" s="404"/>
      <c r="I839" s="404"/>
    </row>
    <row r="840" spans="1:9" ht="12.75">
      <c r="A840" s="140"/>
      <c r="B840" s="948" t="s">
        <v>1532</v>
      </c>
      <c r="C840" s="322"/>
      <c r="D840" s="1581" t="s">
        <v>1626</v>
      </c>
      <c r="E840" s="1581"/>
      <c r="F840" s="1581"/>
      <c r="H840" s="404"/>
      <c r="I840" s="404"/>
    </row>
    <row r="841" spans="1:9" ht="12.75">
      <c r="A841" s="33"/>
      <c r="B841" s="33"/>
      <c r="C841" s="322"/>
      <c r="D841" s="6" t="s">
        <v>1595</v>
      </c>
      <c r="E841" s="1651" t="s">
        <v>1627</v>
      </c>
      <c r="F841" s="1651"/>
      <c r="H841" s="404"/>
      <c r="I841" s="404"/>
    </row>
    <row r="842" spans="1:9" ht="12.75">
      <c r="A842" s="33"/>
      <c r="B842" s="33"/>
      <c r="C842" s="322"/>
      <c r="D842" s="333"/>
      <c r="E842" s="282"/>
      <c r="F842" s="282"/>
      <c r="H842" s="404"/>
      <c r="I842" s="404"/>
    </row>
    <row r="843" spans="1:9" ht="12.75">
      <c r="A843" s="1032"/>
      <c r="B843" s="1031" t="s">
        <v>136</v>
      </c>
      <c r="C843" s="322"/>
      <c r="D843" s="1666" t="s">
        <v>1890</v>
      </c>
      <c r="E843" s="1666"/>
      <c r="F843" s="1666"/>
      <c r="H843" s="404"/>
      <c r="I843" s="404"/>
    </row>
    <row r="844" spans="1:9" ht="12.75">
      <c r="A844" s="1032"/>
      <c r="B844" s="1032"/>
      <c r="C844" s="322"/>
      <c r="D844" s="1666"/>
      <c r="E844" s="1666"/>
      <c r="F844" s="1666"/>
      <c r="H844" s="404"/>
      <c r="I844" s="404"/>
    </row>
    <row r="845" spans="1:9" ht="12.75">
      <c r="A845" s="1032"/>
      <c r="B845" s="1032"/>
      <c r="C845" s="322"/>
      <c r="D845" s="1666"/>
      <c r="E845" s="1666"/>
      <c r="F845" s="1666"/>
      <c r="H845" s="404"/>
      <c r="I845" s="404"/>
    </row>
    <row r="846" spans="1:9" ht="12.75">
      <c r="A846" s="1032"/>
      <c r="B846" s="1032"/>
      <c r="C846" s="322"/>
      <c r="D846" s="1666"/>
      <c r="E846" s="1666"/>
      <c r="F846" s="1666"/>
      <c r="H846" s="404"/>
      <c r="I846" s="404"/>
    </row>
    <row r="847" spans="1:9" ht="12.75">
      <c r="A847" s="1032"/>
      <c r="B847" s="1032"/>
      <c r="C847" s="322"/>
      <c r="D847" s="1666"/>
      <c r="E847" s="1666"/>
      <c r="F847" s="1666"/>
      <c r="H847" s="404"/>
      <c r="I847" s="404"/>
    </row>
    <row r="848" spans="1:9" ht="12.75">
      <c r="A848" s="1032"/>
      <c r="B848" s="1032"/>
      <c r="C848" s="322"/>
      <c r="D848" s="1666"/>
      <c r="E848" s="1666"/>
      <c r="F848" s="1666"/>
      <c r="H848" s="404"/>
      <c r="I848" s="404"/>
    </row>
    <row r="849" spans="1:9" ht="12.75">
      <c r="A849" s="1032"/>
      <c r="B849" s="1032"/>
      <c r="C849" s="322"/>
      <c r="D849" s="1666"/>
      <c r="E849" s="1666"/>
      <c r="F849" s="1666"/>
      <c r="H849" s="404"/>
      <c r="I849" s="404"/>
    </row>
    <row r="850" spans="1:9" ht="12.75">
      <c r="A850" s="1032"/>
      <c r="B850" s="1032"/>
      <c r="C850" s="322"/>
      <c r="D850" s="1666"/>
      <c r="E850" s="1666"/>
      <c r="F850" s="1666"/>
      <c r="H850" s="404"/>
      <c r="I850" s="404"/>
    </row>
    <row r="851" spans="1:9" ht="12.75">
      <c r="A851" s="1032"/>
      <c r="B851" s="1032"/>
      <c r="C851" s="322"/>
      <c r="D851" s="1666"/>
      <c r="E851" s="1666"/>
      <c r="F851" s="1666"/>
      <c r="H851" s="404"/>
      <c r="I851" s="404"/>
    </row>
    <row r="852" spans="1:9" ht="12.75">
      <c r="A852" s="1032"/>
      <c r="B852" s="1032"/>
      <c r="C852" s="322"/>
      <c r="D852" s="333"/>
      <c r="E852" s="282"/>
      <c r="F852" s="282"/>
      <c r="H852" s="404"/>
      <c r="I852" s="404"/>
    </row>
    <row r="853" spans="1:9" ht="14.25">
      <c r="A853" s="413"/>
      <c r="B853" s="948" t="s">
        <v>1532</v>
      </c>
      <c r="C853" s="322"/>
      <c r="D853" s="1581" t="s">
        <v>1628</v>
      </c>
      <c r="E853" s="1581"/>
      <c r="F853" s="1581"/>
      <c r="H853" s="404"/>
      <c r="I853" s="404"/>
    </row>
    <row r="854" spans="1:9" ht="14.25">
      <c r="A854" s="413"/>
      <c r="B854" s="413"/>
      <c r="C854" s="322"/>
      <c r="D854" s="1581"/>
      <c r="E854" s="1581"/>
      <c r="F854" s="1581"/>
      <c r="H854" s="404"/>
      <c r="I854" s="404"/>
    </row>
    <row r="855" spans="1:9" ht="14.25">
      <c r="A855" s="413"/>
      <c r="B855" s="413"/>
      <c r="C855" s="322"/>
      <c r="D855" s="1581"/>
      <c r="E855" s="1581"/>
      <c r="F855" s="1581"/>
      <c r="H855" s="404"/>
      <c r="I855" s="404"/>
    </row>
    <row r="856" spans="1:9" ht="14.25">
      <c r="A856" s="569"/>
      <c r="B856" s="569"/>
      <c r="C856" s="405"/>
      <c r="D856" s="403"/>
      <c r="H856" s="404"/>
      <c r="I856" s="404"/>
    </row>
    <row r="857" spans="1:9" ht="12.75">
      <c r="A857" s="705"/>
      <c r="B857" s="948" t="s">
        <v>136</v>
      </c>
      <c r="C857" s="405"/>
      <c r="D857" s="1674" t="s">
        <v>1629</v>
      </c>
      <c r="E857" s="1674"/>
      <c r="F857" s="1674"/>
      <c r="H857" s="404"/>
      <c r="I857" s="404"/>
    </row>
    <row r="858" spans="1:9" ht="12.75">
      <c r="A858" s="14"/>
      <c r="B858" s="705"/>
      <c r="C858" s="405"/>
      <c r="D858" s="1674"/>
      <c r="E858" s="1674"/>
      <c r="F858" s="1674"/>
      <c r="H858" s="404"/>
      <c r="I858" s="404"/>
    </row>
    <row r="859" spans="1:9" ht="14.25" customHeight="1">
      <c r="A859" s="569"/>
      <c r="B859" s="14"/>
      <c r="C859" s="405"/>
      <c r="D859" s="1625" t="s">
        <v>1655</v>
      </c>
      <c r="E859" s="1625"/>
      <c r="F859" s="1625"/>
      <c r="H859" s="404"/>
      <c r="I859" s="404"/>
    </row>
    <row r="860" spans="1:9" ht="14.25">
      <c r="A860" s="569"/>
      <c r="B860" s="569"/>
      <c r="C860" s="405"/>
      <c r="D860" s="1625"/>
      <c r="E860" s="1625"/>
      <c r="F860" s="1625"/>
      <c r="H860" s="404"/>
      <c r="I860" s="404"/>
    </row>
    <row r="861" spans="1:9" ht="14.25">
      <c r="A861" s="569"/>
      <c r="B861" s="569"/>
      <c r="C861" s="405"/>
      <c r="D861" s="1625"/>
      <c r="E861" s="1625"/>
      <c r="F861" s="1625"/>
      <c r="H861" s="404"/>
      <c r="I861" s="404"/>
    </row>
    <row r="862" spans="1:9" ht="14.25">
      <c r="A862" s="569"/>
      <c r="B862" s="569"/>
      <c r="C862" s="405"/>
      <c r="D862" s="1625"/>
      <c r="E862" s="1625"/>
      <c r="F862" s="1625"/>
      <c r="H862" s="404"/>
      <c r="I862" s="404"/>
    </row>
    <row r="863" spans="1:9" ht="14.25">
      <c r="A863" s="569"/>
      <c r="B863" s="569"/>
      <c r="C863" s="405"/>
      <c r="D863" s="1625"/>
      <c r="E863" s="1625"/>
      <c r="F863" s="1625"/>
      <c r="H863" s="404"/>
      <c r="I863" s="404"/>
    </row>
    <row r="864" spans="1:9" ht="14.25" customHeight="1">
      <c r="A864" s="569"/>
      <c r="B864" s="569"/>
      <c r="C864" s="405"/>
      <c r="D864" s="1625"/>
      <c r="E864" s="1625"/>
      <c r="F864" s="1625"/>
      <c r="H864" s="404"/>
      <c r="I864" s="404"/>
    </row>
    <row r="865" spans="1:9" ht="14.25">
      <c r="A865" s="569"/>
      <c r="B865" s="569"/>
      <c r="C865" s="405"/>
      <c r="D865" s="403"/>
      <c r="H865" s="404"/>
      <c r="I865" s="404"/>
    </row>
    <row r="866" spans="1:9" ht="14.25">
      <c r="A866" s="569"/>
      <c r="B866" s="948" t="s">
        <v>136</v>
      </c>
      <c r="C866" s="405"/>
      <c r="D866" s="1625" t="s">
        <v>1301</v>
      </c>
      <c r="E866" s="1625"/>
      <c r="F866" s="1625"/>
      <c r="H866" s="404"/>
      <c r="I866" s="404"/>
    </row>
    <row r="867" spans="1:9" ht="14.25">
      <c r="A867" s="569"/>
      <c r="B867" s="569"/>
      <c r="C867" s="405"/>
      <c r="D867" s="1625" t="s">
        <v>1302</v>
      </c>
      <c r="E867" s="1625"/>
      <c r="F867" s="1625"/>
      <c r="H867" s="404"/>
      <c r="I867" s="404"/>
    </row>
    <row r="868" spans="1:9" ht="14.25">
      <c r="A868" s="569"/>
      <c r="B868" s="569"/>
      <c r="C868" s="405"/>
      <c r="D868" s="330" t="s">
        <v>1594</v>
      </c>
      <c r="E868" s="1680" t="s">
        <v>1630</v>
      </c>
      <c r="F868" s="1680"/>
      <c r="H868" s="404"/>
      <c r="I868" s="404"/>
    </row>
    <row r="869" spans="1:9" ht="14.25">
      <c r="A869" s="569"/>
      <c r="B869" s="569"/>
      <c r="C869" s="405"/>
      <c r="D869" s="403"/>
      <c r="H869" s="404"/>
      <c r="I869" s="404"/>
    </row>
    <row r="870" spans="1:9" ht="14.25">
      <c r="A870" s="569"/>
      <c r="B870" s="948" t="s">
        <v>136</v>
      </c>
      <c r="C870" s="405"/>
      <c r="D870" s="1625" t="s">
        <v>1631</v>
      </c>
      <c r="E870" s="1625"/>
      <c r="F870" s="1625"/>
      <c r="H870" s="404"/>
      <c r="I870" s="404"/>
    </row>
    <row r="871" spans="1:9" ht="14.25">
      <c r="A871" s="569"/>
      <c r="B871" s="569"/>
      <c r="C871" s="405"/>
      <c r="D871" s="1625"/>
      <c r="E871" s="1625"/>
      <c r="F871" s="1625"/>
      <c r="H871" s="404"/>
      <c r="I871" s="404"/>
    </row>
    <row r="872" spans="1:9" ht="14.25">
      <c r="A872" s="569"/>
      <c r="B872" s="569"/>
      <c r="C872" s="405"/>
      <c r="D872" s="1625"/>
      <c r="E872" s="1625"/>
      <c r="F872" s="1625"/>
      <c r="H872" s="404"/>
      <c r="I872" s="404"/>
    </row>
    <row r="873" spans="1:9" ht="14.25">
      <c r="A873" s="569"/>
      <c r="B873" s="569"/>
      <c r="C873" s="405"/>
      <c r="D873" s="1625"/>
      <c r="E873" s="1625"/>
      <c r="F873" s="1625"/>
      <c r="H873" s="404"/>
      <c r="I873" s="404"/>
    </row>
    <row r="874" spans="1:9" ht="12.75">
      <c r="A874" s="414"/>
      <c r="B874" s="414"/>
      <c r="C874" s="298"/>
      <c r="D874" s="287"/>
      <c r="E874" s="282"/>
      <c r="F874" s="282"/>
      <c r="H874" s="404"/>
      <c r="I874" s="404"/>
    </row>
    <row r="875" spans="1:9" ht="12.75">
      <c r="A875" s="416" t="s">
        <v>1559</v>
      </c>
      <c r="B875" s="416"/>
      <c r="C875" s="950"/>
      <c r="D875" s="950"/>
      <c r="E875" s="950"/>
      <c r="F875" s="950"/>
      <c r="G875" s="951"/>
      <c r="H875" s="404"/>
      <c r="I875" s="404"/>
    </row>
    <row r="876" spans="1:9" ht="12.75">
      <c r="A876" s="414"/>
      <c r="B876" s="414"/>
      <c r="C876" s="298"/>
      <c r="D876" s="332"/>
      <c r="E876" s="282"/>
      <c r="F876" s="282"/>
      <c r="H876" s="404"/>
      <c r="I876" s="404"/>
    </row>
    <row r="877" spans="1:9" ht="12.75">
      <c r="A877" s="140"/>
      <c r="B877" s="140"/>
      <c r="C877" s="299"/>
      <c r="D877" s="1588" t="s">
        <v>1699</v>
      </c>
      <c r="E877" s="1588"/>
      <c r="F877" s="1588"/>
      <c r="G877" s="571"/>
      <c r="H877" s="404"/>
      <c r="I877" s="404"/>
    </row>
    <row r="878" spans="1:9" ht="12.75">
      <c r="A878" s="1020"/>
      <c r="B878" s="1020"/>
      <c r="C878" s="299"/>
      <c r="D878" s="1676" t="s">
        <v>2145</v>
      </c>
      <c r="E878" s="1677"/>
      <c r="F878" s="1677"/>
      <c r="G878" s="571"/>
      <c r="H878" s="404"/>
      <c r="I878" s="404"/>
    </row>
    <row r="879" spans="1:9" ht="12.75">
      <c r="A879" s="1020"/>
      <c r="B879" s="1020"/>
      <c r="C879" s="299"/>
      <c r="D879" s="1013"/>
      <c r="E879" s="1013"/>
      <c r="F879" s="1013"/>
      <c r="G879" s="571"/>
      <c r="H879" s="404"/>
      <c r="I879" s="404"/>
    </row>
    <row r="880" spans="1:9" ht="14.25">
      <c r="A880" s="413"/>
      <c r="B880" s="948" t="s">
        <v>1532</v>
      </c>
      <c r="C880" s="14"/>
      <c r="D880" s="1583" t="s">
        <v>1654</v>
      </c>
      <c r="E880" s="1583"/>
      <c r="F880" s="1583"/>
      <c r="G880" s="571"/>
      <c r="H880" s="404"/>
      <c r="I880" s="404"/>
    </row>
    <row r="881" spans="1:9" ht="12.75">
      <c r="A881" s="140"/>
      <c r="B881" s="140"/>
      <c r="C881" s="14"/>
      <c r="D881" s="6" t="s">
        <v>1594</v>
      </c>
      <c r="E881" s="1675" t="s">
        <v>1630</v>
      </c>
      <c r="F881" s="1675"/>
      <c r="G881" s="571"/>
    </row>
    <row r="882" spans="1:9" ht="12.75">
      <c r="A882" s="140"/>
      <c r="B882" s="140"/>
      <c r="C882" s="14"/>
      <c r="D882" s="287"/>
      <c r="E882" s="296"/>
      <c r="F882" s="296"/>
      <c r="G882" s="571"/>
      <c r="H882" s="404"/>
      <c r="I882" s="404"/>
    </row>
    <row r="883" spans="1:9" ht="14.25">
      <c r="A883" s="413"/>
      <c r="B883" s="948" t="s">
        <v>1532</v>
      </c>
      <c r="C883" s="14"/>
      <c r="D883" s="1580" t="s">
        <v>2148</v>
      </c>
      <c r="E883" s="1635"/>
      <c r="F883" s="1635"/>
    </row>
    <row r="884" spans="1:9" ht="12.6" customHeight="1">
      <c r="A884" s="140"/>
      <c r="B884" s="140"/>
      <c r="C884" s="14"/>
      <c r="D884" s="1635"/>
      <c r="E884" s="1635"/>
      <c r="F884" s="1635"/>
    </row>
    <row r="885" spans="1:9" ht="14.25">
      <c r="A885" s="413"/>
      <c r="B885" s="413"/>
      <c r="C885" s="14"/>
      <c r="D885" s="287"/>
      <c r="E885" s="296"/>
      <c r="F885" s="296"/>
      <c r="G885" s="571"/>
      <c r="H885" s="404"/>
      <c r="I885" s="404"/>
    </row>
    <row r="886" spans="1:9" ht="12.75">
      <c r="A886" s="14"/>
      <c r="B886" s="948" t="s">
        <v>136</v>
      </c>
      <c r="D886" s="1672" t="s">
        <v>1894</v>
      </c>
      <c r="E886" s="1672"/>
      <c r="F886" s="1672"/>
      <c r="G886" s="571"/>
      <c r="H886" s="404"/>
      <c r="I886" s="404"/>
    </row>
    <row r="887" spans="1:9" ht="29.45" customHeight="1">
      <c r="A887" s="14"/>
      <c r="B887" s="896"/>
      <c r="D887" s="1672"/>
      <c r="E887" s="1672"/>
      <c r="F887" s="1672"/>
      <c r="G887" s="571"/>
      <c r="H887" s="404"/>
      <c r="I887" s="404"/>
    </row>
    <row r="888" spans="1:9" ht="14.25">
      <c r="A888" s="413"/>
      <c r="B888" s="2"/>
      <c r="C888" s="14"/>
      <c r="D888" s="1625" t="s">
        <v>1655</v>
      </c>
      <c r="E888" s="1625"/>
      <c r="F888" s="1625"/>
      <c r="G888" s="571"/>
      <c r="H888" s="404"/>
      <c r="I888" s="404"/>
    </row>
    <row r="889" spans="1:9" ht="14.25">
      <c r="A889" s="413"/>
      <c r="B889" s="413"/>
      <c r="C889" s="14"/>
      <c r="D889" s="1625"/>
      <c r="E889" s="1625"/>
      <c r="F889" s="1625"/>
      <c r="G889" s="571"/>
      <c r="H889" s="404"/>
      <c r="I889" s="404"/>
    </row>
    <row r="890" spans="1:9" ht="14.25">
      <c r="A890" s="413"/>
      <c r="B890" s="413"/>
      <c r="C890" s="14"/>
      <c r="D890" s="1625"/>
      <c r="E890" s="1625"/>
      <c r="F890" s="1625"/>
      <c r="G890" s="571"/>
      <c r="H890" s="404"/>
      <c r="I890" s="404"/>
    </row>
    <row r="891" spans="1:9" ht="14.25">
      <c r="A891" s="413"/>
      <c r="B891" s="413"/>
      <c r="C891" s="14"/>
      <c r="D891" s="1625"/>
      <c r="E891" s="1625"/>
      <c r="F891" s="1625"/>
      <c r="G891" s="571"/>
      <c r="H891" s="404"/>
      <c r="I891" s="404"/>
    </row>
    <row r="892" spans="1:9" ht="14.25">
      <c r="A892" s="413"/>
      <c r="B892" s="413"/>
      <c r="C892" s="14"/>
      <c r="D892" s="1625"/>
      <c r="E892" s="1625"/>
      <c r="F892" s="1625"/>
      <c r="G892" s="571"/>
      <c r="H892" s="404"/>
      <c r="I892" s="404"/>
    </row>
    <row r="893" spans="1:9" ht="14.25">
      <c r="A893" s="413"/>
      <c r="B893" s="413"/>
      <c r="C893" s="14"/>
      <c r="D893" s="1625"/>
      <c r="E893" s="1625"/>
      <c r="F893" s="1625"/>
      <c r="G893" s="571"/>
      <c r="H893" s="404"/>
      <c r="I893" s="404"/>
    </row>
    <row r="894" spans="1:9" ht="14.25">
      <c r="A894" s="413"/>
      <c r="B894" s="413"/>
      <c r="C894" s="14"/>
      <c r="D894" s="287"/>
      <c r="E894" s="296"/>
      <c r="F894" s="296"/>
      <c r="G894" s="571"/>
      <c r="H894" s="404"/>
      <c r="I894" s="404"/>
    </row>
    <row r="895" spans="1:9" ht="14.25">
      <c r="A895" s="413"/>
      <c r="B895" s="948" t="s">
        <v>136</v>
      </c>
      <c r="C895" s="14"/>
      <c r="D895" s="1590" t="s">
        <v>1301</v>
      </c>
      <c r="E895" s="1590"/>
      <c r="F895" s="1590"/>
      <c r="G895" s="571"/>
      <c r="H895" s="404"/>
      <c r="I895" s="404"/>
    </row>
    <row r="896" spans="1:9" ht="14.25">
      <c r="A896" s="413"/>
      <c r="B896" s="413"/>
      <c r="C896" s="14"/>
      <c r="D896" s="1590" t="s">
        <v>1302</v>
      </c>
      <c r="E896" s="1590"/>
      <c r="F896" s="1590"/>
      <c r="G896" s="571"/>
      <c r="H896" s="404"/>
      <c r="I896" s="404"/>
    </row>
    <row r="897" spans="1:9" ht="14.25">
      <c r="A897" s="413"/>
      <c r="B897" s="413"/>
      <c r="C897" s="14"/>
      <c r="D897" s="6" t="s">
        <v>1656</v>
      </c>
      <c r="E897" s="1673" t="s">
        <v>1630</v>
      </c>
      <c r="F897" s="1673"/>
      <c r="G897" s="571"/>
      <c r="H897" s="404"/>
      <c r="I897" s="404"/>
    </row>
    <row r="898" spans="1:9" ht="14.25">
      <c r="A898" s="413"/>
      <c r="B898" s="413"/>
      <c r="C898" s="14"/>
      <c r="D898" s="287"/>
      <c r="E898" s="296"/>
      <c r="F898" s="296"/>
      <c r="G898" s="571"/>
      <c r="H898" s="404"/>
      <c r="I898" s="404"/>
    </row>
    <row r="899" spans="1:9" ht="14.25">
      <c r="A899" s="413"/>
      <c r="B899" s="948" t="s">
        <v>136</v>
      </c>
      <c r="C899" s="14"/>
      <c r="D899" s="1581" t="s">
        <v>1631</v>
      </c>
      <c r="E899" s="1581"/>
      <c r="F899" s="1581"/>
      <c r="G899" s="571"/>
      <c r="H899" s="404"/>
      <c r="I899" s="404"/>
    </row>
    <row r="900" spans="1:9" ht="14.25">
      <c r="A900" s="413"/>
      <c r="B900" s="413"/>
      <c r="C900" s="14"/>
      <c r="D900" s="1581"/>
      <c r="E900" s="1581"/>
      <c r="F900" s="1581"/>
      <c r="G900" s="571"/>
      <c r="H900" s="404"/>
      <c r="I900" s="404"/>
    </row>
    <row r="901" spans="1:9" ht="14.25">
      <c r="A901" s="413"/>
      <c r="B901" s="413"/>
      <c r="C901" s="14"/>
      <c r="D901" s="1581"/>
      <c r="E901" s="1581"/>
      <c r="F901" s="1581"/>
      <c r="G901" s="571"/>
      <c r="H901" s="404"/>
      <c r="I901" s="404"/>
    </row>
    <row r="902" spans="1:9" ht="14.25">
      <c r="A902" s="413"/>
      <c r="B902" s="413"/>
      <c r="C902" s="14"/>
      <c r="D902" s="1581"/>
      <c r="E902" s="1581"/>
      <c r="F902" s="1581"/>
      <c r="G902" s="571"/>
      <c r="H902" s="404"/>
      <c r="I902" s="404"/>
    </row>
    <row r="903" spans="1:9" ht="12.75">
      <c r="A903" s="143"/>
      <c r="B903" s="143"/>
      <c r="C903" s="322"/>
      <c r="D903" s="296"/>
      <c r="E903" s="296"/>
      <c r="F903" s="296"/>
      <c r="G903" s="571"/>
      <c r="H903" s="404"/>
      <c r="I903" s="404"/>
    </row>
    <row r="904" spans="1:9" ht="12.75">
      <c r="A904" s="1597" t="s">
        <v>1560</v>
      </c>
      <c r="B904" s="1597"/>
      <c r="C904" s="1597"/>
      <c r="D904" s="1597"/>
      <c r="E904" s="1597"/>
      <c r="F904" s="1597"/>
      <c r="G904" s="1597"/>
      <c r="H904" s="404"/>
      <c r="I904" s="404"/>
    </row>
    <row r="905" spans="1:9" ht="12.75">
      <c r="A905" s="143"/>
      <c r="B905" s="143"/>
      <c r="C905" s="322"/>
      <c r="D905" s="296"/>
      <c r="E905" s="296"/>
      <c r="F905" s="296"/>
      <c r="G905" s="571"/>
      <c r="H905" s="404"/>
      <c r="I905" s="404"/>
    </row>
    <row r="906" spans="1:9" ht="12.75">
      <c r="A906" s="140"/>
      <c r="B906" s="140"/>
      <c r="C906" s="322"/>
      <c r="D906" s="1644" t="s">
        <v>1842</v>
      </c>
      <c r="E906" s="1644"/>
      <c r="F906" s="1644"/>
      <c r="G906" s="571"/>
      <c r="H906" s="404"/>
      <c r="I906" s="404"/>
    </row>
    <row r="907" spans="1:9" ht="12.75">
      <c r="A907" s="414"/>
      <c r="B907" s="414"/>
      <c r="C907" s="298"/>
      <c r="D907" s="1583" t="s">
        <v>1653</v>
      </c>
      <c r="E907" s="1583"/>
      <c r="F907" s="1583"/>
      <c r="G907" s="571"/>
      <c r="H907" s="404"/>
      <c r="I907" s="404"/>
    </row>
    <row r="908" spans="1:9" ht="12.75">
      <c r="A908" s="414"/>
      <c r="B908" s="414"/>
      <c r="C908" s="298"/>
      <c r="D908" s="282"/>
      <c r="E908" s="282"/>
      <c r="F908" s="296"/>
      <c r="G908" s="571"/>
      <c r="H908" s="404"/>
      <c r="I908" s="404"/>
    </row>
    <row r="909" spans="1:9" ht="13.7" customHeight="1">
      <c r="A909" s="414"/>
      <c r="B909" s="1018" t="s">
        <v>136</v>
      </c>
      <c r="C909" s="298"/>
      <c r="D909" s="1682" t="s">
        <v>1852</v>
      </c>
      <c r="E909" s="1682"/>
      <c r="F909" s="1682"/>
      <c r="G909" s="571"/>
      <c r="H909" s="404"/>
      <c r="I909" s="404"/>
    </row>
    <row r="910" spans="1:9" ht="12.75">
      <c r="A910" s="414"/>
      <c r="B910" s="414"/>
      <c r="C910" s="298"/>
      <c r="D910" s="1682"/>
      <c r="E910" s="1682"/>
      <c r="F910" s="1682"/>
      <c r="G910" s="571"/>
      <c r="H910" s="404"/>
      <c r="I910" s="404"/>
    </row>
    <row r="911" spans="1:9" ht="12.75">
      <c r="A911" s="414"/>
      <c r="B911" s="414"/>
      <c r="C911" s="298"/>
      <c r="D911" s="1682"/>
      <c r="E911" s="1682"/>
      <c r="F911" s="1682"/>
      <c r="G911" s="571"/>
      <c r="H911" s="404"/>
      <c r="I911" s="404"/>
    </row>
    <row r="912" spans="1:9" ht="12.75">
      <c r="A912" s="414"/>
      <c r="B912" s="414"/>
      <c r="C912" s="298"/>
      <c r="D912" s="1682"/>
      <c r="E912" s="1682"/>
      <c r="F912" s="1682"/>
      <c r="G912" s="571"/>
      <c r="H912" s="404"/>
      <c r="I912" s="404"/>
    </row>
    <row r="913" spans="1:9" ht="12.75">
      <c r="A913" s="414"/>
      <c r="B913" s="414"/>
      <c r="C913" s="298"/>
      <c r="D913" s="1682"/>
      <c r="E913" s="1682"/>
      <c r="F913" s="1682"/>
      <c r="G913" s="571"/>
      <c r="H913" s="404"/>
      <c r="I913" s="404"/>
    </row>
    <row r="914" spans="1:9" ht="12.75">
      <c r="A914" s="415"/>
      <c r="B914" s="415"/>
      <c r="C914" s="299"/>
      <c r="D914" s="282"/>
      <c r="E914" s="282"/>
      <c r="F914" s="296"/>
      <c r="G914" s="571"/>
      <c r="H914" s="404"/>
      <c r="I914" s="404"/>
    </row>
    <row r="915" spans="1:9" ht="14.25" customHeight="1">
      <c r="A915" s="569"/>
      <c r="B915" s="948" t="s">
        <v>136</v>
      </c>
      <c r="C915" s="570"/>
      <c r="D915" s="1680" t="s">
        <v>1952</v>
      </c>
      <c r="E915" s="1680"/>
      <c r="F915" s="1680"/>
      <c r="G915" s="571"/>
      <c r="H915" s="404"/>
      <c r="I915" s="404"/>
    </row>
    <row r="916" spans="1:9" ht="14.25" customHeight="1">
      <c r="A916" s="569"/>
      <c r="B916" s="569"/>
      <c r="C916" s="570"/>
      <c r="D916" s="1680"/>
      <c r="E916" s="1680"/>
      <c r="F916" s="1680"/>
      <c r="G916" s="571"/>
      <c r="H916" s="404"/>
      <c r="I916" s="404"/>
    </row>
    <row r="917" spans="1:9" ht="14.25" customHeight="1">
      <c r="A917" s="569"/>
      <c r="B917" s="569"/>
      <c r="C917" s="570"/>
      <c r="D917" s="1680"/>
      <c r="E917" s="1680"/>
      <c r="F917" s="1680"/>
      <c r="G917" s="571"/>
      <c r="H917" s="404"/>
      <c r="I917" s="404"/>
    </row>
    <row r="918" spans="1:9" ht="14.25" customHeight="1">
      <c r="A918" s="569"/>
      <c r="B918" s="569"/>
      <c r="C918" s="570"/>
      <c r="D918" s="1680"/>
      <c r="E918" s="1680"/>
      <c r="F918" s="1680"/>
      <c r="G918" s="571"/>
      <c r="H918" s="404"/>
      <c r="I918" s="404"/>
    </row>
    <row r="919" spans="1:9" ht="14.25" customHeight="1">
      <c r="A919" s="572"/>
      <c r="B919" s="572"/>
      <c r="C919" s="570"/>
      <c r="D919" s="1680"/>
      <c r="E919" s="1680"/>
      <c r="F919" s="1680"/>
      <c r="G919" s="571"/>
      <c r="H919" s="404"/>
      <c r="I919" s="404"/>
    </row>
    <row r="920" spans="1:9" ht="14.25" customHeight="1">
      <c r="A920" s="572"/>
      <c r="B920" s="572"/>
      <c r="C920" s="570"/>
      <c r="D920" s="1680"/>
      <c r="E920" s="1680"/>
      <c r="F920" s="1680"/>
      <c r="G920" s="571"/>
      <c r="H920" s="404"/>
      <c r="I920" s="404"/>
    </row>
    <row r="921" spans="1:9" ht="14.25" customHeight="1">
      <c r="A921" s="572"/>
      <c r="B921" s="572"/>
      <c r="C921" s="570"/>
      <c r="D921" s="1680"/>
      <c r="E921" s="1680"/>
      <c r="F921" s="1680"/>
      <c r="G921" s="571"/>
      <c r="H921" s="404"/>
      <c r="I921" s="404"/>
    </row>
    <row r="922" spans="1:9" ht="14.25" customHeight="1">
      <c r="A922" s="572"/>
      <c r="B922" s="572"/>
      <c r="C922" s="570"/>
      <c r="D922" s="330"/>
      <c r="F922" s="571"/>
      <c r="G922" s="571"/>
      <c r="H922" s="404"/>
      <c r="I922" s="404"/>
    </row>
    <row r="923" spans="1:9" s="514" customFormat="1" ht="14.25" customHeight="1">
      <c r="A923" s="573"/>
      <c r="B923" s="948" t="s">
        <v>1532</v>
      </c>
      <c r="C923" s="574"/>
      <c r="D923" s="1680" t="s">
        <v>1953</v>
      </c>
      <c r="E923" s="1680"/>
      <c r="F923" s="1680"/>
      <c r="G923" s="576"/>
      <c r="H923" s="577"/>
      <c r="I923" s="577"/>
    </row>
    <row r="924" spans="1:9" s="514" customFormat="1" ht="14.25" customHeight="1">
      <c r="A924" s="573"/>
      <c r="B924" s="573"/>
      <c r="C924" s="574"/>
      <c r="D924" s="1680"/>
      <c r="E924" s="1680"/>
      <c r="F924" s="1680"/>
      <c r="G924" s="576"/>
      <c r="H924" s="577"/>
      <c r="I924" s="577"/>
    </row>
    <row r="925" spans="1:9" s="514" customFormat="1" ht="14.25" customHeight="1">
      <c r="A925" s="573"/>
      <c r="B925" s="573"/>
      <c r="C925" s="574"/>
      <c r="D925" s="1680"/>
      <c r="E925" s="1680"/>
      <c r="F925" s="1680"/>
      <c r="G925" s="576"/>
      <c r="H925" s="577"/>
      <c r="I925" s="577"/>
    </row>
    <row r="926" spans="1:9" s="514" customFormat="1" ht="14.25" customHeight="1">
      <c r="A926" s="573"/>
      <c r="B926" s="573"/>
      <c r="C926" s="574"/>
      <c r="D926" s="1680"/>
      <c r="E926" s="1680"/>
      <c r="F926" s="1680"/>
      <c r="G926" s="576"/>
      <c r="H926" s="577"/>
      <c r="I926" s="577"/>
    </row>
    <row r="927" spans="1:9" s="514" customFormat="1" ht="14.25" customHeight="1">
      <c r="A927" s="573"/>
      <c r="B927" s="573"/>
      <c r="C927" s="574"/>
      <c r="D927" s="1680"/>
      <c r="E927" s="1680"/>
      <c r="F927" s="1680"/>
      <c r="G927" s="576"/>
      <c r="H927" s="577"/>
      <c r="I927" s="577"/>
    </row>
    <row r="928" spans="1:9" s="514" customFormat="1" ht="14.25">
      <c r="A928" s="573"/>
      <c r="B928" s="573"/>
      <c r="C928" s="574"/>
      <c r="D928" s="1680"/>
      <c r="E928" s="1680"/>
      <c r="F928" s="1680"/>
      <c r="G928" s="576"/>
      <c r="H928" s="577"/>
      <c r="I928" s="577"/>
    </row>
    <row r="929" spans="1:9" s="514" customFormat="1" ht="14.25" customHeight="1">
      <c r="A929" s="573"/>
      <c r="B929" s="573"/>
      <c r="C929" s="574"/>
      <c r="D929" s="1680"/>
      <c r="E929" s="1680"/>
      <c r="F929" s="1680"/>
      <c r="G929" s="576"/>
      <c r="H929" s="577"/>
      <c r="I929" s="577"/>
    </row>
    <row r="930" spans="1:9" s="514" customFormat="1" ht="14.25" customHeight="1">
      <c r="A930" s="573"/>
      <c r="B930" s="573"/>
      <c r="C930" s="574"/>
      <c r="D930" s="1680"/>
      <c r="E930" s="1680"/>
      <c r="F930" s="1680"/>
      <c r="G930" s="576"/>
      <c r="H930" s="577"/>
      <c r="I930" s="577"/>
    </row>
    <row r="931" spans="1:9" s="514" customFormat="1" ht="14.25" customHeight="1">
      <c r="A931" s="573"/>
      <c r="B931" s="573"/>
      <c r="C931" s="574"/>
      <c r="D931" s="1680"/>
      <c r="E931" s="1680"/>
      <c r="F931" s="1680"/>
      <c r="G931" s="576"/>
      <c r="H931" s="577"/>
      <c r="I931" s="577"/>
    </row>
    <row r="932" spans="1:9" ht="14.25" customHeight="1">
      <c r="A932" s="572"/>
      <c r="B932" s="572"/>
      <c r="C932" s="570"/>
      <c r="D932" s="330"/>
      <c r="F932" s="571"/>
      <c r="G932" s="571"/>
      <c r="H932" s="404"/>
      <c r="I932" s="404"/>
    </row>
    <row r="933" spans="1:9" ht="14.25" customHeight="1">
      <c r="A933" s="569"/>
      <c r="B933" s="948" t="s">
        <v>1532</v>
      </c>
      <c r="C933" s="570"/>
      <c r="D933" s="1639" t="s">
        <v>1853</v>
      </c>
      <c r="E933" s="1639"/>
      <c r="F933" s="1639"/>
      <c r="G933" s="571"/>
      <c r="H933" s="404"/>
      <c r="I933" s="404"/>
    </row>
    <row r="934" spans="1:9" ht="14.25" customHeight="1">
      <c r="A934" s="569"/>
      <c r="B934" s="569"/>
      <c r="C934" s="570"/>
      <c r="D934" s="1639"/>
      <c r="E934" s="1639"/>
      <c r="F934" s="1639"/>
      <c r="G934" s="571"/>
      <c r="H934" s="404"/>
      <c r="I934" s="404"/>
    </row>
    <row r="935" spans="1:9" ht="14.25" customHeight="1">
      <c r="A935" s="569"/>
      <c r="B935" s="569"/>
      <c r="C935" s="570"/>
      <c r="D935" s="1639"/>
      <c r="E935" s="1639"/>
      <c r="F935" s="1639"/>
      <c r="G935" s="571"/>
      <c r="H935" s="404"/>
      <c r="I935" s="404"/>
    </row>
    <row r="936" spans="1:9" ht="14.25" customHeight="1">
      <c r="A936" s="569"/>
      <c r="B936" s="569"/>
      <c r="C936" s="570"/>
      <c r="D936" s="1639"/>
      <c r="E936" s="1639"/>
      <c r="F936" s="1639"/>
      <c r="G936" s="571"/>
      <c r="H936" s="404"/>
      <c r="I936" s="404"/>
    </row>
    <row r="937" spans="1:9" ht="14.25" customHeight="1">
      <c r="A937" s="569"/>
      <c r="B937" s="569"/>
      <c r="C937" s="570"/>
      <c r="D937" s="1639"/>
      <c r="E937" s="1639"/>
      <c r="F937" s="1639"/>
      <c r="G937" s="571"/>
      <c r="H937" s="404"/>
      <c r="I937" s="404"/>
    </row>
    <row r="938" spans="1:9" ht="14.25" customHeight="1">
      <c r="A938" s="569"/>
      <c r="B938" s="569"/>
      <c r="C938" s="570"/>
      <c r="D938" s="1639"/>
      <c r="E938" s="1639"/>
      <c r="F938" s="1639"/>
      <c r="G938" s="571"/>
      <c r="H938" s="404"/>
      <c r="I938" s="404"/>
    </row>
    <row r="939" spans="1:9" ht="14.25" customHeight="1">
      <c r="A939" s="569"/>
      <c r="B939" s="569"/>
      <c r="C939" s="570"/>
      <c r="D939" s="1639"/>
      <c r="E939" s="1639"/>
      <c r="F939" s="1639"/>
      <c r="G939" s="571"/>
      <c r="H939" s="404"/>
      <c r="I939" s="404"/>
    </row>
    <row r="940" spans="1:9" ht="14.25" customHeight="1">
      <c r="A940" s="569"/>
      <c r="B940" s="569"/>
      <c r="C940" s="570"/>
      <c r="D940" s="637"/>
      <c r="F940" s="571"/>
      <c r="G940" s="571"/>
      <c r="H940" s="404"/>
      <c r="I940" s="404"/>
    </row>
    <row r="941" spans="1:9" s="706" customFormat="1" ht="14.25">
      <c r="A941" s="569"/>
      <c r="B941" s="948" t="s">
        <v>136</v>
      </c>
      <c r="C941" s="570"/>
      <c r="D941" s="1680" t="s">
        <v>1854</v>
      </c>
      <c r="E941" s="1680"/>
      <c r="F941" s="1680"/>
      <c r="G941" s="571"/>
      <c r="H941" s="768"/>
    </row>
    <row r="942" spans="1:9" s="706" customFormat="1" ht="14.25">
      <c r="A942" s="569"/>
      <c r="B942" s="569"/>
      <c r="C942" s="570"/>
      <c r="D942" s="1680"/>
      <c r="E942" s="1680"/>
      <c r="F942" s="1680"/>
      <c r="G942" s="571"/>
      <c r="H942" s="768"/>
    </row>
    <row r="943" spans="1:9" s="706" customFormat="1" ht="14.25">
      <c r="A943" s="569"/>
      <c r="B943" s="569"/>
      <c r="C943" s="570"/>
      <c r="D943" s="1680"/>
      <c r="E943" s="1680"/>
      <c r="F943" s="1680"/>
      <c r="G943" s="571"/>
      <c r="H943" s="768"/>
    </row>
    <row r="944" spans="1:9" s="706" customFormat="1" ht="14.25">
      <c r="A944" s="569"/>
      <c r="B944" s="569"/>
      <c r="C944" s="570"/>
      <c r="D944" s="1680"/>
      <c r="E944" s="1680"/>
      <c r="F944" s="1680"/>
      <c r="G944" s="571"/>
      <c r="H944" s="768"/>
    </row>
    <row r="945" spans="1:9" s="706" customFormat="1" ht="14.25">
      <c r="A945" s="569"/>
      <c r="B945" s="569"/>
      <c r="C945" s="570"/>
      <c r="D945" s="330"/>
      <c r="E945" s="329"/>
      <c r="F945" s="571"/>
      <c r="G945" s="571"/>
      <c r="H945" s="768"/>
    </row>
    <row r="946" spans="1:9" ht="14.25" customHeight="1">
      <c r="A946" s="33"/>
      <c r="B946" s="33"/>
      <c r="C946" s="322"/>
      <c r="D946" s="1581" t="s">
        <v>1855</v>
      </c>
      <c r="E946" s="1581"/>
      <c r="F946" s="1581"/>
      <c r="G946" s="571"/>
      <c r="H946" s="404"/>
      <c r="I946" s="404"/>
    </row>
    <row r="947" spans="1:9" ht="14.25" customHeight="1">
      <c r="A947" s="355"/>
      <c r="B947" s="355"/>
      <c r="C947" s="322"/>
      <c r="D947" s="1581"/>
      <c r="E947" s="1581"/>
      <c r="F947" s="1581"/>
      <c r="G947" s="571"/>
      <c r="H947" s="404"/>
      <c r="I947" s="404"/>
    </row>
    <row r="948" spans="1:9" ht="14.25" customHeight="1">
      <c r="A948" s="355"/>
      <c r="B948" s="355"/>
      <c r="C948" s="322"/>
      <c r="D948" s="6"/>
      <c r="E948" s="296"/>
      <c r="F948" s="296"/>
      <c r="G948" s="571"/>
      <c r="H948" s="404"/>
      <c r="I948" s="404"/>
    </row>
    <row r="949" spans="1:9" ht="14.25">
      <c r="A949" s="413"/>
      <c r="B949" s="948" t="s">
        <v>1532</v>
      </c>
      <c r="C949" s="14"/>
      <c r="D949" s="1581" t="s">
        <v>1856</v>
      </c>
      <c r="E949" s="1581"/>
      <c r="F949" s="1581"/>
    </row>
    <row r="950" spans="1:9" ht="12.75">
      <c r="A950" s="140"/>
      <c r="B950" s="140"/>
      <c r="C950" s="14"/>
      <c r="D950" s="1581"/>
      <c r="E950" s="1581"/>
      <c r="F950" s="1581"/>
    </row>
    <row r="951" spans="1:9" ht="14.25" customHeight="1">
      <c r="A951" s="355"/>
      <c r="B951" s="355"/>
      <c r="C951" s="322"/>
      <c r="D951" s="6"/>
      <c r="E951" s="296"/>
      <c r="F951" s="296"/>
      <c r="G951" s="571"/>
      <c r="H951" s="404"/>
      <c r="I951" s="404"/>
    </row>
    <row r="952" spans="1:9" ht="14.25" customHeight="1">
      <c r="A952" s="415"/>
      <c r="B952" s="415"/>
      <c r="C952" s="299"/>
      <c r="D952" s="1644" t="s">
        <v>1845</v>
      </c>
      <c r="E952" s="1644"/>
      <c r="F952" s="1644"/>
      <c r="G952" s="571"/>
      <c r="H952" s="404"/>
      <c r="I952" s="404"/>
    </row>
    <row r="953" spans="1:9" ht="14.25" customHeight="1">
      <c r="A953" s="415"/>
      <c r="B953" s="415"/>
      <c r="C953" s="299"/>
      <c r="D953" s="1015"/>
      <c r="E953" s="282"/>
      <c r="F953" s="296"/>
      <c r="G953" s="571"/>
      <c r="H953" s="404"/>
      <c r="I953" s="404"/>
    </row>
    <row r="954" spans="1:9" ht="14.45" customHeight="1">
      <c r="A954" s="413"/>
      <c r="B954" s="948" t="s">
        <v>136</v>
      </c>
      <c r="C954" s="322"/>
      <c r="D954" s="1596" t="s">
        <v>1844</v>
      </c>
      <c r="E954" s="1596"/>
      <c r="F954" s="1596"/>
      <c r="G954" s="571"/>
      <c r="H954" s="404"/>
      <c r="I954" s="404"/>
    </row>
    <row r="955" spans="1:9" ht="12.75">
      <c r="A955" s="355"/>
      <c r="B955" s="355"/>
      <c r="C955" s="322"/>
      <c r="D955" s="1596"/>
      <c r="E955" s="1596"/>
      <c r="F955" s="1596"/>
      <c r="G955" s="571"/>
      <c r="H955" s="404"/>
      <c r="I955" s="404"/>
    </row>
    <row r="956" spans="1:9" ht="12.75">
      <c r="A956" s="355"/>
      <c r="B956" s="355"/>
      <c r="C956" s="322"/>
      <c r="D956" s="1596"/>
      <c r="E956" s="1596"/>
      <c r="F956" s="1596"/>
      <c r="G956" s="571"/>
      <c r="H956" s="404"/>
      <c r="I956" s="404"/>
    </row>
    <row r="957" spans="1:9" ht="12.75">
      <c r="A957" s="355"/>
      <c r="B957" s="355"/>
      <c r="C957" s="322"/>
      <c r="D957" s="1596"/>
      <c r="E957" s="1596"/>
      <c r="F957" s="1596"/>
      <c r="G957" s="571"/>
      <c r="H957" s="404"/>
      <c r="I957" s="404"/>
    </row>
    <row r="958" spans="1:9" ht="12.75">
      <c r="A958" s="355"/>
      <c r="B958" s="355"/>
      <c r="C958" s="322"/>
      <c r="D958" s="1596"/>
      <c r="E958" s="1596"/>
      <c r="F958" s="1596"/>
      <c r="G958" s="571"/>
      <c r="H958" s="404"/>
      <c r="I958" s="404"/>
    </row>
    <row r="959" spans="1:9" ht="12.75">
      <c r="A959" s="355"/>
      <c r="B959" s="355"/>
      <c r="C959" s="322"/>
      <c r="D959" s="1596"/>
      <c r="E959" s="1596"/>
      <c r="F959" s="1596"/>
      <c r="G959" s="571"/>
      <c r="H959" s="404"/>
      <c r="I959" s="404"/>
    </row>
    <row r="960" spans="1:9" ht="12.75">
      <c r="A960" s="355"/>
      <c r="B960" s="355"/>
      <c r="C960" s="322"/>
      <c r="D960" s="1017"/>
      <c r="E960" s="1017"/>
      <c r="F960" s="1017"/>
      <c r="G960" s="571"/>
      <c r="H960" s="404"/>
      <c r="I960" s="404"/>
    </row>
    <row r="961" spans="1:9" ht="14.45" customHeight="1">
      <c r="A961" s="413"/>
      <c r="B961" s="948" t="s">
        <v>136</v>
      </c>
      <c r="C961" s="322"/>
      <c r="D961" s="1596" t="s">
        <v>1843</v>
      </c>
      <c r="E961" s="1596"/>
      <c r="F961" s="1596"/>
      <c r="G961" s="571"/>
      <c r="H961" s="404"/>
      <c r="I961" s="404"/>
    </row>
    <row r="962" spans="1:9" ht="12.75">
      <c r="A962" s="355"/>
      <c r="B962" s="355"/>
      <c r="C962" s="322"/>
      <c r="D962" s="1596"/>
      <c r="E962" s="1596"/>
      <c r="F962" s="1596"/>
      <c r="G962" s="571"/>
      <c r="H962" s="404"/>
      <c r="I962" s="404"/>
    </row>
    <row r="963" spans="1:9" ht="12.75">
      <c r="A963" s="355"/>
      <c r="B963" s="355"/>
      <c r="C963" s="322"/>
      <c r="D963" s="1596"/>
      <c r="E963" s="1596"/>
      <c r="F963" s="1596"/>
      <c r="G963" s="571"/>
      <c r="H963" s="404"/>
      <c r="I963" s="404"/>
    </row>
    <row r="964" spans="1:9" ht="12.75">
      <c r="A964" s="355"/>
      <c r="B964" s="355"/>
      <c r="C964" s="322"/>
      <c r="D964" s="1596"/>
      <c r="E964" s="1596"/>
      <c r="F964" s="1596"/>
      <c r="G964" s="571"/>
      <c r="H964" s="404"/>
      <c r="I964" s="404"/>
    </row>
    <row r="965" spans="1:9" ht="12.75">
      <c r="A965" s="355"/>
      <c r="B965" s="355"/>
      <c r="C965" s="322"/>
      <c r="D965" s="1596"/>
      <c r="E965" s="1596"/>
      <c r="F965" s="1596"/>
      <c r="G965" s="571"/>
      <c r="H965" s="404"/>
      <c r="I965" s="404"/>
    </row>
    <row r="966" spans="1:9" ht="12.75">
      <c r="A966" s="355"/>
      <c r="B966" s="355"/>
      <c r="C966" s="322"/>
      <c r="D966" s="709"/>
      <c r="E966" s="296"/>
      <c r="F966" s="296"/>
      <c r="G966" s="571"/>
      <c r="H966" s="404"/>
      <c r="I966" s="404"/>
    </row>
    <row r="967" spans="1:9" ht="14.25">
      <c r="A967" s="413"/>
      <c r="B967" s="948" t="s">
        <v>136</v>
      </c>
      <c r="C967" s="322"/>
      <c r="D967" s="1596" t="s">
        <v>1846</v>
      </c>
      <c r="E967" s="1596"/>
      <c r="F967" s="1596"/>
      <c r="G967" s="571"/>
      <c r="H967" s="404"/>
      <c r="I967" s="404"/>
    </row>
    <row r="968" spans="1:9" ht="12.75">
      <c r="A968" s="355"/>
      <c r="B968" s="355"/>
      <c r="C968" s="322"/>
      <c r="D968" s="1596"/>
      <c r="E968" s="1596"/>
      <c r="F968" s="1596"/>
      <c r="G968" s="571"/>
      <c r="H968" s="404"/>
      <c r="I968" s="404"/>
    </row>
    <row r="969" spans="1:9" ht="12.75">
      <c r="A969" s="355"/>
      <c r="B969" s="355"/>
      <c r="C969" s="322"/>
      <c r="D969" s="1596"/>
      <c r="E969" s="1596"/>
      <c r="F969" s="1596"/>
      <c r="G969" s="571"/>
      <c r="H969" s="404"/>
      <c r="I969" s="404"/>
    </row>
    <row r="970" spans="1:9" ht="12.75">
      <c r="A970" s="355"/>
      <c r="B970" s="355"/>
      <c r="C970" s="322"/>
      <c r="D970" s="1596"/>
      <c r="E970" s="1596"/>
      <c r="F970" s="1596"/>
      <c r="G970" s="571"/>
      <c r="H970" s="404"/>
      <c r="I970" s="404"/>
    </row>
    <row r="971" spans="1:9" ht="12.75">
      <c r="A971" s="355"/>
      <c r="B971" s="355"/>
      <c r="C971" s="322"/>
      <c r="D971" s="1596"/>
      <c r="E971" s="1596"/>
      <c r="F971" s="1596"/>
      <c r="G971" s="571"/>
      <c r="H971" s="404"/>
      <c r="I971" s="404"/>
    </row>
    <row r="972" spans="1:9" ht="12.75">
      <c r="A972" s="355"/>
      <c r="B972" s="355"/>
      <c r="C972" s="322"/>
      <c r="D972" s="709"/>
      <c r="E972" s="296"/>
      <c r="F972" s="296"/>
      <c r="G972" s="571"/>
      <c r="H972" s="404"/>
      <c r="I972" s="404"/>
    </row>
    <row r="973" spans="1:9" ht="14.45" customHeight="1">
      <c r="A973" s="413"/>
      <c r="B973" s="948" t="s">
        <v>136</v>
      </c>
      <c r="C973" s="322"/>
      <c r="D973" s="1596" t="s">
        <v>1847</v>
      </c>
      <c r="E973" s="1596"/>
      <c r="F973" s="1596"/>
      <c r="G973" s="571"/>
      <c r="H973" s="404"/>
      <c r="I973" s="404"/>
    </row>
    <row r="974" spans="1:9" ht="12.75">
      <c r="A974" s="355"/>
      <c r="B974" s="355"/>
      <c r="C974" s="322"/>
      <c r="D974" s="1596"/>
      <c r="E974" s="1596"/>
      <c r="F974" s="1596"/>
      <c r="G974" s="571"/>
      <c r="H974" s="404"/>
      <c r="I974" s="404"/>
    </row>
    <row r="975" spans="1:9" ht="12.75">
      <c r="A975" s="355"/>
      <c r="B975" s="355"/>
      <c r="C975" s="322"/>
      <c r="D975" s="1596"/>
      <c r="E975" s="1596"/>
      <c r="F975" s="1596"/>
      <c r="G975" s="571"/>
      <c r="H975" s="404"/>
      <c r="I975" s="404"/>
    </row>
    <row r="976" spans="1:9" ht="12.75">
      <c r="A976" s="355"/>
      <c r="B976" s="355"/>
      <c r="C976" s="322"/>
      <c r="D976" s="1017"/>
      <c r="E976" s="1017"/>
      <c r="F976" s="1017"/>
      <c r="G976" s="571"/>
      <c r="H976" s="404"/>
      <c r="I976" s="404"/>
    </row>
    <row r="977" spans="1:9" ht="14.25">
      <c r="A977" s="413"/>
      <c r="B977" s="948" t="s">
        <v>136</v>
      </c>
      <c r="C977" s="322"/>
      <c r="D977" s="1596" t="s">
        <v>1848</v>
      </c>
      <c r="E977" s="1596"/>
      <c r="F977" s="1596"/>
      <c r="G977" s="571"/>
      <c r="H977" s="404"/>
      <c r="I977" s="404"/>
    </row>
    <row r="978" spans="1:9" ht="12.75">
      <c r="A978" s="355"/>
      <c r="B978" s="355"/>
      <c r="C978" s="322"/>
      <c r="D978" s="1596"/>
      <c r="E978" s="1596"/>
      <c r="F978" s="1596"/>
      <c r="G978" s="571"/>
      <c r="H978" s="404"/>
      <c r="I978" s="404"/>
    </row>
    <row r="979" spans="1:9" ht="12.75">
      <c r="A979" s="355"/>
      <c r="B979" s="355"/>
      <c r="C979" s="322"/>
      <c r="D979" s="709"/>
      <c r="E979" s="296"/>
      <c r="F979" s="296"/>
      <c r="G979" s="571"/>
      <c r="H979" s="404"/>
      <c r="I979" s="404"/>
    </row>
    <row r="980" spans="1:9" ht="12.75">
      <c r="A980" s="355"/>
      <c r="B980" s="948" t="s">
        <v>136</v>
      </c>
      <c r="C980" s="322"/>
      <c r="D980" s="1581" t="s">
        <v>1849</v>
      </c>
      <c r="E980" s="1581"/>
      <c r="F980" s="1581"/>
      <c r="G980" s="571"/>
      <c r="H980" s="404"/>
      <c r="I980" s="404"/>
    </row>
    <row r="981" spans="1:9" ht="12.75">
      <c r="A981" s="355"/>
      <c r="B981" s="355"/>
      <c r="C981" s="322"/>
      <c r="D981" s="1581"/>
      <c r="E981" s="1581"/>
      <c r="F981" s="1581"/>
      <c r="G981" s="571"/>
      <c r="H981" s="404"/>
      <c r="I981" s="404"/>
    </row>
    <row r="982" spans="1:9" ht="12.75">
      <c r="A982" s="355"/>
      <c r="B982" s="355"/>
      <c r="C982" s="322"/>
      <c r="D982" s="296"/>
      <c r="E982" s="296"/>
      <c r="F982" s="296"/>
      <c r="G982" s="571"/>
      <c r="H982" s="404"/>
      <c r="I982" s="404"/>
    </row>
    <row r="983" spans="1:9" ht="12.75">
      <c r="A983" s="355"/>
      <c r="B983" s="948" t="s">
        <v>136</v>
      </c>
      <c r="C983" s="322"/>
      <c r="D983" s="1681" t="s">
        <v>2001</v>
      </c>
      <c r="E983" s="1665"/>
      <c r="F983" s="1665"/>
      <c r="G983" s="571"/>
      <c r="H983" s="404"/>
      <c r="I983" s="404"/>
    </row>
    <row r="984" spans="1:9" ht="12.75">
      <c r="A984" s="355"/>
      <c r="B984" s="355"/>
      <c r="C984" s="322"/>
      <c r="D984" s="1681"/>
      <c r="E984" s="1665"/>
      <c r="F984" s="1665"/>
      <c r="G984" s="571"/>
      <c r="H984" s="404"/>
      <c r="I984" s="404"/>
    </row>
    <row r="985" spans="1:9" ht="12.75">
      <c r="A985" s="355"/>
      <c r="B985" s="355"/>
      <c r="C985" s="322"/>
      <c r="D985" s="1681"/>
      <c r="E985" s="1665"/>
      <c r="F985" s="1665"/>
      <c r="G985" s="571"/>
      <c r="H985" s="404"/>
      <c r="I985" s="404"/>
    </row>
    <row r="986" spans="1:9" ht="12.75">
      <c r="A986" s="355"/>
      <c r="B986" s="355"/>
      <c r="C986" s="322"/>
      <c r="D986" s="1665"/>
      <c r="E986" s="1665"/>
      <c r="F986" s="1665"/>
      <c r="G986" s="571"/>
      <c r="H986" s="404"/>
      <c r="I986" s="404"/>
    </row>
    <row r="987" spans="1:9" ht="12.75">
      <c r="A987" s="355"/>
      <c r="B987" s="355"/>
      <c r="C987" s="322"/>
      <c r="D987" s="287"/>
      <c r="E987" s="296"/>
      <c r="F987" s="296"/>
      <c r="G987" s="571"/>
      <c r="H987" s="404"/>
      <c r="I987" s="404"/>
    </row>
    <row r="988" spans="1:9" ht="12.75">
      <c r="A988" s="355"/>
      <c r="B988" s="948" t="s">
        <v>136</v>
      </c>
      <c r="C988" s="322"/>
      <c r="D988" s="1583" t="s">
        <v>1236</v>
      </c>
      <c r="E988" s="1583"/>
      <c r="F988" s="1583"/>
      <c r="G988" s="571"/>
      <c r="H988" s="404"/>
      <c r="I988" s="404"/>
    </row>
    <row r="989" spans="1:9" ht="12.75">
      <c r="A989" s="355"/>
      <c r="B989" s="355"/>
      <c r="C989" s="322"/>
      <c r="D989" s="287"/>
      <c r="E989" s="296"/>
      <c r="F989" s="296"/>
      <c r="G989" s="571"/>
      <c r="H989" s="404"/>
      <c r="I989" s="404"/>
    </row>
    <row r="990" spans="1:9" ht="12.75">
      <c r="A990" s="355"/>
      <c r="B990" s="948" t="s">
        <v>136</v>
      </c>
      <c r="C990" s="322"/>
      <c r="D990" s="1583" t="s">
        <v>1237</v>
      </c>
      <c r="E990" s="1583"/>
      <c r="F990" s="1583"/>
      <c r="G990" s="571"/>
      <c r="H990" s="404"/>
      <c r="I990" s="404"/>
    </row>
    <row r="991" spans="1:9" ht="12.75" customHeight="1">
      <c r="A991" s="355"/>
      <c r="B991" s="355"/>
      <c r="C991" s="322"/>
      <c r="D991" s="296"/>
      <c r="E991" s="296"/>
      <c r="F991" s="296"/>
      <c r="G991" s="571"/>
      <c r="H991" s="404"/>
      <c r="I991" s="404"/>
    </row>
    <row r="992" spans="1:9" ht="12.75">
      <c r="A992" s="355"/>
      <c r="B992" s="14"/>
      <c r="C992" s="322"/>
      <c r="D992" s="1588" t="s">
        <v>1657</v>
      </c>
      <c r="E992" s="1588"/>
      <c r="F992" s="1588"/>
      <c r="G992" s="571"/>
      <c r="H992" s="404"/>
      <c r="I992" s="404"/>
    </row>
    <row r="993" spans="1:9" ht="12.75">
      <c r="A993" s="355"/>
      <c r="B993" s="14"/>
      <c r="C993" s="322"/>
      <c r="D993" s="1015"/>
      <c r="E993" s="296"/>
      <c r="F993" s="296"/>
      <c r="G993" s="571"/>
      <c r="H993" s="404"/>
      <c r="I993" s="404"/>
    </row>
    <row r="994" spans="1:9" ht="14.25">
      <c r="A994" s="413"/>
      <c r="B994" s="948" t="s">
        <v>1532</v>
      </c>
      <c r="C994" s="322"/>
      <c r="D994" s="1625" t="s">
        <v>1850</v>
      </c>
      <c r="E994" s="1625"/>
      <c r="F994" s="1625"/>
      <c r="G994" s="571"/>
      <c r="H994" s="404"/>
      <c r="I994" s="404"/>
    </row>
    <row r="995" spans="1:9" ht="12.75">
      <c r="A995" s="355"/>
      <c r="B995" s="355"/>
      <c r="C995" s="322"/>
      <c r="D995" s="1625"/>
      <c r="E995" s="1625"/>
      <c r="F995" s="1625"/>
      <c r="G995" s="571"/>
      <c r="H995" s="404"/>
      <c r="I995" s="404"/>
    </row>
    <row r="996" spans="1:9" ht="12.75">
      <c r="A996" s="355"/>
      <c r="B996" s="355"/>
      <c r="C996" s="322"/>
      <c r="D996" s="1625"/>
      <c r="E996" s="1625"/>
      <c r="F996" s="1625"/>
      <c r="G996" s="571"/>
      <c r="H996" s="404"/>
      <c r="I996" s="404"/>
    </row>
    <row r="997" spans="1:9" ht="12.75">
      <c r="A997" s="355"/>
      <c r="B997" s="355"/>
      <c r="C997" s="322"/>
      <c r="D997" s="1625"/>
      <c r="E997" s="1625"/>
      <c r="F997" s="1625"/>
      <c r="G997" s="571"/>
      <c r="H997" s="404"/>
      <c r="I997" s="404"/>
    </row>
    <row r="998" spans="1:9" ht="12.75">
      <c r="A998" s="355"/>
      <c r="B998" s="355"/>
      <c r="C998" s="322"/>
      <c r="D998" s="1625"/>
      <c r="E998" s="1625"/>
      <c r="F998" s="1625"/>
      <c r="G998" s="571"/>
      <c r="H998" s="404"/>
      <c r="I998" s="404"/>
    </row>
    <row r="999" spans="1:9" ht="12.75">
      <c r="A999" s="355"/>
      <c r="B999" s="355"/>
      <c r="C999" s="322"/>
      <c r="E999" s="282"/>
      <c r="F999" s="282"/>
      <c r="G999" s="571"/>
      <c r="H999" s="404"/>
      <c r="I999" s="404"/>
    </row>
    <row r="1000" spans="1:9" ht="14.25">
      <c r="A1000" s="413"/>
      <c r="B1000" s="948" t="s">
        <v>136</v>
      </c>
      <c r="C1000" s="322"/>
      <c r="D1000" s="1625" t="s">
        <v>1851</v>
      </c>
      <c r="E1000" s="1625"/>
      <c r="F1000" s="1625"/>
      <c r="G1000" s="571"/>
      <c r="H1000" s="404"/>
      <c r="I1000" s="404"/>
    </row>
    <row r="1001" spans="1:9" ht="12.75">
      <c r="A1001" s="355"/>
      <c r="B1001" s="355"/>
      <c r="C1001" s="322"/>
      <c r="D1001" s="1625"/>
      <c r="E1001" s="1625"/>
      <c r="F1001" s="1625"/>
      <c r="G1001" s="571"/>
      <c r="H1001" s="404"/>
      <c r="I1001" s="404"/>
    </row>
    <row r="1002" spans="1:9" ht="12.75">
      <c r="A1002" s="355"/>
      <c r="B1002" s="355"/>
      <c r="C1002" s="322"/>
      <c r="D1002" s="1625"/>
      <c r="E1002" s="1625"/>
      <c r="F1002" s="1625"/>
      <c r="G1002" s="571"/>
      <c r="H1002" s="404"/>
      <c r="I1002" s="404"/>
    </row>
    <row r="1003" spans="1:9" ht="12.75">
      <c r="A1003" s="355"/>
      <c r="B1003" s="355"/>
      <c r="C1003" s="322"/>
      <c r="D1003" s="1625"/>
      <c r="E1003" s="1625"/>
      <c r="F1003" s="1625"/>
      <c r="G1003" s="571"/>
      <c r="H1003" s="404"/>
      <c r="I1003" s="404"/>
    </row>
    <row r="1004" spans="1:9" ht="12.75">
      <c r="A1004" s="355"/>
      <c r="B1004" s="355"/>
      <c r="C1004" s="322"/>
      <c r="D1004" s="1625"/>
      <c r="E1004" s="1625"/>
      <c r="F1004" s="1625"/>
      <c r="G1004" s="571"/>
      <c r="H1004" s="404"/>
      <c r="I1004" s="404"/>
    </row>
    <row r="1005" spans="1:9" ht="12.75">
      <c r="A1005" s="355"/>
      <c r="B1005" s="355"/>
      <c r="C1005" s="322"/>
      <c r="D1005" s="296"/>
      <c r="E1005" s="296"/>
      <c r="F1005" s="296"/>
      <c r="G1005" s="571"/>
      <c r="H1005" s="404"/>
      <c r="I1005" s="404"/>
    </row>
    <row r="1006" spans="1:9" ht="12.75">
      <c r="A1006" s="355"/>
      <c r="B1006" s="355"/>
      <c r="C1006" s="322"/>
      <c r="D1006" s="1588" t="s">
        <v>1658</v>
      </c>
      <c r="E1006" s="1588"/>
      <c r="F1006" s="1588"/>
      <c r="G1006" s="571"/>
      <c r="H1006" s="404"/>
      <c r="I1006" s="404"/>
    </row>
    <row r="1007" spans="1:9" ht="12.75">
      <c r="A1007" s="355"/>
      <c r="B1007" s="355"/>
      <c r="C1007" s="322"/>
      <c r="D1007" s="1015"/>
      <c r="E1007" s="296"/>
      <c r="F1007" s="296"/>
      <c r="G1007" s="571"/>
      <c r="H1007" s="404"/>
      <c r="I1007" s="404"/>
    </row>
    <row r="1008" spans="1:9" ht="14.25">
      <c r="A1008" s="413"/>
      <c r="B1008" s="948" t="s">
        <v>136</v>
      </c>
      <c r="C1008" s="322"/>
      <c r="D1008" s="1625" t="s">
        <v>1857</v>
      </c>
      <c r="E1008" s="1625"/>
      <c r="F1008" s="1625"/>
      <c r="G1008" s="571"/>
      <c r="H1008" s="404"/>
      <c r="I1008" s="404"/>
    </row>
    <row r="1009" spans="1:9" ht="12.75">
      <c r="A1009" s="355"/>
      <c r="B1009" s="355"/>
      <c r="C1009" s="322"/>
      <c r="D1009" s="1625"/>
      <c r="E1009" s="1625"/>
      <c r="F1009" s="1625"/>
      <c r="G1009" s="571"/>
      <c r="H1009" s="404"/>
      <c r="I1009" s="404"/>
    </row>
    <row r="1010" spans="1:9" ht="12.75">
      <c r="A1010" s="355"/>
      <c r="B1010" s="355"/>
      <c r="C1010" s="322"/>
      <c r="D1010" s="1625"/>
      <c r="E1010" s="1625"/>
      <c r="F1010" s="1625"/>
      <c r="G1010" s="571"/>
      <c r="H1010" s="404"/>
      <c r="I1010" s="404"/>
    </row>
    <row r="1011" spans="1:9" ht="12.75">
      <c r="A1011" s="355"/>
      <c r="B1011" s="355"/>
      <c r="C1011" s="322"/>
      <c r="E1011" s="282"/>
      <c r="F1011" s="282"/>
      <c r="G1011" s="571"/>
      <c r="H1011" s="404"/>
      <c r="I1011" s="404"/>
    </row>
    <row r="1012" spans="1:9" ht="14.25">
      <c r="A1012" s="413"/>
      <c r="B1012" s="948" t="s">
        <v>136</v>
      </c>
      <c r="C1012" s="322"/>
      <c r="D1012" s="1625" t="s">
        <v>1858</v>
      </c>
      <c r="E1012" s="1625"/>
      <c r="F1012" s="1625"/>
      <c r="G1012" s="571"/>
      <c r="H1012" s="404"/>
      <c r="I1012" s="404"/>
    </row>
    <row r="1013" spans="1:9" ht="12.75">
      <c r="A1013" s="355"/>
      <c r="B1013" s="355"/>
      <c r="C1013" s="322"/>
      <c r="D1013" s="1625"/>
      <c r="E1013" s="1625"/>
      <c r="F1013" s="1625"/>
      <c r="G1013" s="571"/>
      <c r="H1013" s="404"/>
      <c r="I1013" s="404"/>
    </row>
    <row r="1014" spans="1:9" ht="12.75">
      <c r="A1014" s="355"/>
      <c r="B1014" s="355"/>
      <c r="C1014" s="322"/>
      <c r="D1014" s="1625"/>
      <c r="E1014" s="1625"/>
      <c r="F1014" s="1625"/>
      <c r="G1014" s="571"/>
      <c r="H1014" s="404"/>
      <c r="I1014" s="404"/>
    </row>
    <row r="1015" spans="1:9" ht="12.75">
      <c r="A1015" s="355"/>
      <c r="B1015" s="355"/>
      <c r="C1015" s="322"/>
      <c r="D1015" s="287"/>
      <c r="E1015" s="296"/>
      <c r="F1015" s="296"/>
      <c r="G1015" s="571"/>
      <c r="H1015" s="404"/>
      <c r="I1015" s="404"/>
    </row>
    <row r="1016" spans="1:9" ht="12.75">
      <c r="A1016" s="355"/>
      <c r="B1016" s="355"/>
      <c r="C1016" s="322"/>
      <c r="D1016" s="1588" t="s">
        <v>1659</v>
      </c>
      <c r="E1016" s="1588"/>
      <c r="F1016" s="1588"/>
      <c r="G1016" s="571"/>
      <c r="H1016" s="404"/>
      <c r="I1016" s="404"/>
    </row>
    <row r="1017" spans="1:9" ht="12.75">
      <c r="A1017" s="355"/>
      <c r="B1017" s="355"/>
      <c r="C1017" s="322"/>
      <c r="D1017" s="1015"/>
      <c r="E1017" s="296"/>
      <c r="F1017" s="296"/>
      <c r="G1017" s="571"/>
      <c r="H1017" s="404"/>
      <c r="I1017" s="404"/>
    </row>
    <row r="1018" spans="1:9" ht="14.25" customHeight="1">
      <c r="A1018" s="413"/>
      <c r="B1018" s="948" t="s">
        <v>136</v>
      </c>
      <c r="C1018" s="322"/>
      <c r="D1018" s="1629" t="s">
        <v>1860</v>
      </c>
      <c r="E1018" s="1629"/>
      <c r="F1018" s="1629"/>
      <c r="G1018" s="476"/>
      <c r="H1018" s="479"/>
      <c r="I1018" s="479"/>
    </row>
    <row r="1019" spans="1:9" ht="12.75">
      <c r="A1019" s="355"/>
      <c r="B1019" s="355"/>
      <c r="C1019" s="322"/>
      <c r="D1019" s="1629"/>
      <c r="E1019" s="1629"/>
      <c r="F1019" s="1629"/>
      <c r="G1019" s="476"/>
      <c r="H1019" s="479"/>
      <c r="I1019" s="479"/>
    </row>
    <row r="1020" spans="1:9" ht="12.75">
      <c r="A1020" s="355"/>
      <c r="B1020" s="355"/>
      <c r="C1020" s="322"/>
      <c r="D1020" s="1629"/>
      <c r="E1020" s="1629"/>
      <c r="F1020" s="1629"/>
      <c r="G1020" s="476"/>
      <c r="H1020" s="479"/>
      <c r="I1020" s="479"/>
    </row>
    <row r="1021" spans="1:9" ht="12" customHeight="1">
      <c r="A1021" s="355"/>
      <c r="B1021" s="355"/>
      <c r="C1021" s="322"/>
      <c r="D1021" s="479"/>
      <c r="E1021" s="479"/>
      <c r="F1021" s="479"/>
      <c r="G1021" s="479"/>
      <c r="H1021" s="479"/>
      <c r="I1021" s="479"/>
    </row>
    <row r="1022" spans="1:9" ht="12.75" customHeight="1">
      <c r="A1022" s="355"/>
      <c r="B1022" s="948" t="s">
        <v>1532</v>
      </c>
      <c r="C1022" s="322"/>
      <c r="D1022" s="1629" t="s">
        <v>1859</v>
      </c>
      <c r="E1022" s="1629"/>
      <c r="F1022" s="1629"/>
      <c r="G1022" s="479"/>
      <c r="H1022" s="404"/>
      <c r="I1022" s="404"/>
    </row>
    <row r="1023" spans="1:9" ht="12.75">
      <c r="A1023" s="355"/>
      <c r="B1023" s="355"/>
      <c r="C1023" s="322"/>
      <c r="D1023" s="1629"/>
      <c r="E1023" s="1629"/>
      <c r="F1023" s="1629"/>
      <c r="G1023" s="479"/>
      <c r="H1023" s="404"/>
      <c r="I1023" s="404"/>
    </row>
    <row r="1024" spans="1:9" ht="12.75">
      <c r="A1024" s="355"/>
      <c r="B1024" s="355"/>
      <c r="C1024" s="322"/>
      <c r="D1024" s="1629"/>
      <c r="E1024" s="1629"/>
      <c r="F1024" s="1629"/>
      <c r="G1024" s="479"/>
      <c r="H1024" s="404"/>
      <c r="I1024" s="404"/>
    </row>
    <row r="1025" spans="1:9" ht="12" customHeight="1">
      <c r="A1025" s="355"/>
      <c r="B1025" s="355"/>
      <c r="C1025" s="322"/>
      <c r="D1025" s="287"/>
      <c r="E1025" s="296"/>
      <c r="F1025" s="296"/>
      <c r="G1025" s="571"/>
      <c r="H1025" s="404"/>
      <c r="I1025" s="404"/>
    </row>
    <row r="1026" spans="1:9" ht="12.75" customHeight="1">
      <c r="A1026" s="355"/>
      <c r="B1026" s="948" t="s">
        <v>136</v>
      </c>
      <c r="C1026" s="322"/>
      <c r="D1026" s="1683" t="s">
        <v>1861</v>
      </c>
      <c r="E1026" s="1683"/>
      <c r="F1026" s="1683"/>
      <c r="G1026" s="563"/>
      <c r="H1026" s="404"/>
      <c r="I1026" s="404"/>
    </row>
    <row r="1027" spans="1:9" ht="12.75">
      <c r="A1027" s="355"/>
      <c r="B1027" s="355"/>
      <c r="C1027" s="322"/>
      <c r="D1027" s="1683"/>
      <c r="E1027" s="1683"/>
      <c r="F1027" s="1683"/>
      <c r="G1027" s="563"/>
      <c r="H1027" s="404"/>
      <c r="I1027" s="404"/>
    </row>
    <row r="1028" spans="1:9" ht="12.75">
      <c r="A1028" s="355"/>
      <c r="B1028" s="355"/>
      <c r="C1028" s="322"/>
      <c r="D1028" s="1683"/>
      <c r="E1028" s="1683"/>
      <c r="F1028" s="1683"/>
      <c r="G1028" s="563"/>
      <c r="H1028" s="404"/>
      <c r="I1028" s="404"/>
    </row>
    <row r="1029" spans="1:9" ht="12" customHeight="1">
      <c r="A1029" s="355"/>
      <c r="B1029" s="355"/>
      <c r="C1029" s="322"/>
      <c r="D1029" s="296"/>
      <c r="E1029" s="296"/>
      <c r="F1029" s="296"/>
      <c r="G1029" s="571"/>
      <c r="H1029" s="404"/>
      <c r="I1029" s="404"/>
    </row>
    <row r="1030" spans="1:9" ht="12.75" customHeight="1">
      <c r="A1030" s="355"/>
      <c r="B1030" s="948" t="s">
        <v>136</v>
      </c>
      <c r="C1030" s="322"/>
      <c r="D1030" s="1629" t="s">
        <v>1862</v>
      </c>
      <c r="E1030" s="1629"/>
      <c r="F1030" s="1629"/>
      <c r="G1030" s="563"/>
      <c r="H1030" s="563"/>
      <c r="I1030" s="563"/>
    </row>
    <row r="1031" spans="1:9" ht="12.75">
      <c r="A1031" s="355"/>
      <c r="B1031" s="355"/>
      <c r="C1031" s="322"/>
      <c r="D1031" s="1629"/>
      <c r="E1031" s="1629"/>
      <c r="F1031" s="1629"/>
      <c r="G1031" s="563"/>
      <c r="H1031" s="563"/>
      <c r="I1031" s="563"/>
    </row>
    <row r="1032" spans="1:9" ht="12.75">
      <c r="A1032" s="355"/>
      <c r="B1032" s="355"/>
      <c r="C1032" s="322"/>
      <c r="D1032" s="1629"/>
      <c r="E1032" s="1629"/>
      <c r="F1032" s="1629"/>
      <c r="G1032" s="563"/>
      <c r="H1032" s="563"/>
      <c r="I1032" s="563"/>
    </row>
    <row r="1033" spans="1:9" ht="14.25">
      <c r="A1033" s="413"/>
      <c r="B1033" s="413"/>
      <c r="C1033" s="322"/>
      <c r="D1033" s="287"/>
      <c r="E1033" s="296"/>
      <c r="F1033" s="296"/>
      <c r="G1033" s="571"/>
      <c r="H1033" s="404"/>
      <c r="I1033" s="404"/>
    </row>
    <row r="1034" spans="1:9" ht="12.75" customHeight="1">
      <c r="A1034" s="355"/>
      <c r="B1034" s="948" t="s">
        <v>136</v>
      </c>
      <c r="C1034" s="322"/>
      <c r="D1034" s="1629" t="s">
        <v>1863</v>
      </c>
      <c r="E1034" s="1629"/>
      <c r="F1034" s="1629"/>
      <c r="G1034" s="563"/>
      <c r="H1034" s="563"/>
      <c r="I1034" s="563"/>
    </row>
    <row r="1035" spans="1:9" ht="12.75">
      <c r="A1035" s="355"/>
      <c r="B1035" s="355"/>
      <c r="C1035" s="322"/>
      <c r="D1035" s="1629"/>
      <c r="E1035" s="1629"/>
      <c r="F1035" s="1629"/>
      <c r="G1035" s="563"/>
      <c r="H1035" s="563"/>
      <c r="I1035" s="563"/>
    </row>
    <row r="1036" spans="1:9" ht="12.75">
      <c r="A1036" s="355"/>
      <c r="B1036" s="355"/>
      <c r="C1036" s="322"/>
      <c r="D1036" s="1629"/>
      <c r="E1036" s="1629"/>
      <c r="F1036" s="1629"/>
      <c r="G1036" s="563"/>
      <c r="H1036" s="563"/>
      <c r="I1036" s="563"/>
    </row>
    <row r="1037" spans="1:9" ht="12.75">
      <c r="A1037" s="355"/>
      <c r="B1037" s="355"/>
      <c r="C1037" s="322"/>
      <c r="D1037" s="287"/>
      <c r="E1037" s="296"/>
      <c r="F1037" s="296"/>
      <c r="G1037" s="571"/>
      <c r="H1037" s="404"/>
      <c r="I1037" s="404"/>
    </row>
    <row r="1038" spans="1:9" ht="12.75" customHeight="1">
      <c r="A1038" s="355"/>
      <c r="B1038" s="948" t="s">
        <v>136</v>
      </c>
      <c r="C1038" s="322"/>
      <c r="D1038" s="1629" t="s">
        <v>1660</v>
      </c>
      <c r="E1038" s="1629"/>
      <c r="F1038" s="1629"/>
      <c r="G1038" s="476"/>
      <c r="H1038" s="404"/>
      <c r="I1038" s="404"/>
    </row>
    <row r="1039" spans="1:9" ht="12.75">
      <c r="A1039" s="355"/>
      <c r="B1039" s="355"/>
      <c r="C1039" s="322"/>
      <c r="D1039" s="1629"/>
      <c r="E1039" s="1629"/>
      <c r="F1039" s="1629"/>
      <c r="G1039" s="476"/>
      <c r="H1039" s="404"/>
      <c r="I1039" s="404"/>
    </row>
    <row r="1040" spans="1:9" ht="12.75">
      <c r="A1040" s="355"/>
      <c r="B1040" s="355"/>
      <c r="C1040" s="322"/>
      <c r="D1040" s="1629"/>
      <c r="E1040" s="1629"/>
      <c r="F1040" s="1629"/>
      <c r="G1040" s="476"/>
      <c r="H1040" s="404"/>
      <c r="I1040" s="404"/>
    </row>
    <row r="1041" spans="1:9" ht="12.75">
      <c r="A1041" s="355"/>
      <c r="B1041" s="355"/>
      <c r="C1041" s="322"/>
      <c r="D1041" s="476"/>
      <c r="E1041" s="476"/>
      <c r="F1041" s="476"/>
      <c r="G1041" s="476"/>
      <c r="H1041" s="404"/>
      <c r="I1041" s="404"/>
    </row>
    <row r="1042" spans="1:9" ht="12.75" customHeight="1">
      <c r="A1042" s="355"/>
      <c r="B1042" s="948" t="s">
        <v>136</v>
      </c>
      <c r="C1042" s="322"/>
      <c r="D1042" s="1629" t="s">
        <v>1661</v>
      </c>
      <c r="E1042" s="1629"/>
      <c r="F1042" s="1629"/>
      <c r="G1042" s="476"/>
      <c r="H1042" s="404"/>
      <c r="I1042" s="404"/>
    </row>
    <row r="1043" spans="1:9" ht="12.75">
      <c r="A1043" s="355"/>
      <c r="B1043" s="355"/>
      <c r="C1043" s="322"/>
      <c r="D1043" s="1629"/>
      <c r="E1043" s="1629"/>
      <c r="F1043" s="1629"/>
      <c r="G1043" s="476"/>
      <c r="H1043" s="404"/>
      <c r="I1043" s="404"/>
    </row>
    <row r="1044" spans="1:9" ht="12.75">
      <c r="A1044" s="355"/>
      <c r="B1044" s="355"/>
      <c r="C1044" s="322"/>
      <c r="D1044" s="1629"/>
      <c r="E1044" s="1629"/>
      <c r="F1044" s="1629"/>
      <c r="G1044" s="476"/>
      <c r="H1044" s="404"/>
      <c r="I1044" s="404"/>
    </row>
    <row r="1045" spans="1:9" ht="12.75">
      <c r="A1045" s="355"/>
      <c r="B1045" s="355"/>
      <c r="C1045" s="322"/>
      <c r="D1045" s="482"/>
      <c r="E1045" s="482"/>
      <c r="F1045" s="482"/>
      <c r="G1045" s="509"/>
      <c r="H1045" s="404"/>
      <c r="I1045" s="404"/>
    </row>
    <row r="1046" spans="1:9" ht="12.75" customHeight="1">
      <c r="A1046" s="578"/>
      <c r="B1046" s="948" t="s">
        <v>136</v>
      </c>
      <c r="C1046" s="405"/>
      <c r="D1046" s="1630" t="s">
        <v>1247</v>
      </c>
      <c r="E1046" s="1630"/>
      <c r="F1046" s="1630"/>
      <c r="G1046" s="946"/>
      <c r="H1046" s="404"/>
      <c r="I1046" s="404"/>
    </row>
    <row r="1047" spans="1:9" ht="12.75">
      <c r="A1047" s="578"/>
      <c r="B1047" s="578"/>
      <c r="C1047" s="405"/>
      <c r="D1047" s="1630"/>
      <c r="E1047" s="1630"/>
      <c r="F1047" s="1630"/>
      <c r="G1047" s="946"/>
      <c r="H1047" s="404"/>
      <c r="I1047" s="404"/>
    </row>
    <row r="1048" spans="1:9" ht="12.75">
      <c r="A1048" s="578"/>
      <c r="B1048" s="578"/>
      <c r="C1048" s="405"/>
      <c r="D1048" s="1630"/>
      <c r="E1048" s="1630"/>
      <c r="F1048" s="1630"/>
      <c r="G1048" s="946"/>
      <c r="H1048" s="404"/>
      <c r="I1048" s="404"/>
    </row>
    <row r="1049" spans="1:9" ht="12.75">
      <c r="A1049" s="578"/>
      <c r="B1049" s="578"/>
      <c r="C1049" s="405"/>
      <c r="D1049" s="1630"/>
      <c r="E1049" s="1630"/>
      <c r="F1049" s="1630"/>
      <c r="G1049" s="946"/>
      <c r="H1049" s="404"/>
      <c r="I1049" s="404"/>
    </row>
    <row r="1050" spans="1:9" ht="12.75">
      <c r="A1050" s="578"/>
      <c r="B1050" s="578"/>
      <c r="C1050" s="405"/>
      <c r="D1050" s="1630"/>
      <c r="E1050" s="1630"/>
      <c r="F1050" s="1630"/>
      <c r="G1050" s="946"/>
      <c r="H1050" s="404"/>
      <c r="I1050" s="404"/>
    </row>
    <row r="1051" spans="1:9" ht="12.75">
      <c r="A1051" s="578"/>
      <c r="B1051" s="578"/>
      <c r="C1051" s="405"/>
      <c r="D1051" s="1630"/>
      <c r="E1051" s="1630"/>
      <c r="F1051" s="1630"/>
      <c r="G1051" s="946"/>
      <c r="H1051" s="404"/>
      <c r="I1051" s="404"/>
    </row>
    <row r="1052" spans="1:9" ht="12.75">
      <c r="A1052" s="578"/>
      <c r="B1052" s="578"/>
      <c r="C1052" s="405"/>
      <c r="D1052" s="1630"/>
      <c r="E1052" s="1630"/>
      <c r="F1052" s="1630"/>
      <c r="G1052" s="946"/>
      <c r="H1052" s="404"/>
      <c r="I1052" s="404"/>
    </row>
    <row r="1053" spans="1:9" ht="12.75">
      <c r="A1053" s="578"/>
      <c r="B1053" s="578"/>
      <c r="C1053" s="405"/>
      <c r="D1053" s="1630"/>
      <c r="E1053" s="1630"/>
      <c r="F1053" s="1630"/>
      <c r="G1053" s="946"/>
      <c r="H1053" s="404"/>
      <c r="I1053" s="404"/>
    </row>
    <row r="1054" spans="1:9" ht="12.75">
      <c r="A1054" s="578"/>
      <c r="B1054" s="578"/>
      <c r="C1054" s="405"/>
      <c r="D1054" s="1630"/>
      <c r="E1054" s="1630"/>
      <c r="F1054" s="1630"/>
      <c r="G1054" s="946"/>
      <c r="H1054" s="404"/>
      <c r="I1054" s="404"/>
    </row>
    <row r="1055" spans="1:9" ht="12.75">
      <c r="A1055" s="578"/>
      <c r="B1055" s="578"/>
      <c r="C1055" s="405"/>
      <c r="D1055" s="1630"/>
      <c r="E1055" s="1630"/>
      <c r="F1055" s="1630"/>
      <c r="G1055" s="946"/>
      <c r="H1055" s="404"/>
      <c r="I1055" s="404"/>
    </row>
    <row r="1056" spans="1:9" ht="27.6" customHeight="1">
      <c r="A1056" s="578"/>
      <c r="B1056" s="578"/>
      <c r="C1056" s="405"/>
      <c r="D1056" s="1630"/>
      <c r="E1056" s="1630"/>
      <c r="F1056" s="1630"/>
      <c r="G1056" s="946"/>
      <c r="H1056" s="404"/>
      <c r="I1056" s="404"/>
    </row>
    <row r="1057" spans="1:9" ht="12.75">
      <c r="A1057" s="578"/>
      <c r="B1057" s="578"/>
      <c r="C1057" s="405"/>
      <c r="D1057" s="663"/>
      <c r="E1057" s="663"/>
      <c r="F1057" s="663"/>
      <c r="G1057" s="663"/>
      <c r="H1057" s="404"/>
      <c r="I1057" s="404"/>
    </row>
    <row r="1058" spans="1:9" ht="12.75" customHeight="1">
      <c r="A1058" s="355"/>
      <c r="B1058" s="355"/>
      <c r="C1058" s="322"/>
      <c r="D1058" s="1588" t="s">
        <v>1662</v>
      </c>
      <c r="E1058" s="1588"/>
      <c r="F1058" s="1588"/>
      <c r="G1058" s="663"/>
      <c r="H1058" s="404"/>
      <c r="I1058" s="404"/>
    </row>
    <row r="1059" spans="1:9" ht="12.75" customHeight="1">
      <c r="A1059" s="355"/>
      <c r="B1059" s="355"/>
      <c r="C1059" s="322"/>
      <c r="D1059" s="1015"/>
      <c r="E1059" s="1012"/>
      <c r="F1059" s="1012"/>
      <c r="G1059" s="663"/>
      <c r="H1059" s="404"/>
      <c r="I1059" s="404"/>
    </row>
    <row r="1060" spans="1:9" ht="14.25">
      <c r="A1060" s="413"/>
      <c r="B1060" s="948" t="s">
        <v>136</v>
      </c>
      <c r="C1060" s="322"/>
      <c r="D1060" s="1581" t="s">
        <v>1864</v>
      </c>
      <c r="E1060" s="1581"/>
      <c r="F1060" s="1581"/>
      <c r="G1060" s="571"/>
      <c r="H1060" s="404"/>
      <c r="I1060" s="404"/>
    </row>
    <row r="1061" spans="1:9" ht="12.75">
      <c r="A1061" s="355"/>
      <c r="B1061" s="355"/>
      <c r="C1061" s="322"/>
      <c r="D1061" s="1581"/>
      <c r="E1061" s="1581"/>
      <c r="F1061" s="1581"/>
      <c r="G1061" s="571"/>
      <c r="H1061" s="404"/>
      <c r="I1061" s="404"/>
    </row>
    <row r="1062" spans="1:9" ht="12.75">
      <c r="A1062" s="355"/>
      <c r="B1062" s="355"/>
      <c r="C1062" s="322"/>
      <c r="D1062" s="1581"/>
      <c r="E1062" s="1581"/>
      <c r="F1062" s="1581"/>
      <c r="G1062" s="571"/>
      <c r="H1062" s="404"/>
      <c r="I1062" s="404"/>
    </row>
    <row r="1063" spans="1:9" ht="12.75">
      <c r="A1063" s="355"/>
      <c r="B1063" s="355"/>
      <c r="C1063" s="322"/>
      <c r="D1063" s="1581"/>
      <c r="E1063" s="1581"/>
      <c r="F1063" s="1581"/>
      <c r="G1063" s="571"/>
      <c r="H1063" s="404"/>
      <c r="I1063" s="404"/>
    </row>
    <row r="1064" spans="1:9" ht="12.75">
      <c r="A1064" s="355"/>
      <c r="B1064" s="355"/>
      <c r="C1064" s="322"/>
      <c r="D1064" s="296"/>
      <c r="E1064" s="296"/>
      <c r="F1064" s="296"/>
      <c r="G1064" s="571"/>
      <c r="H1064" s="404"/>
      <c r="I1064" s="404"/>
    </row>
    <row r="1065" spans="1:9" ht="14.25">
      <c r="A1065" s="413"/>
      <c r="B1065" s="948" t="s">
        <v>1532</v>
      </c>
      <c r="C1065" s="322"/>
      <c r="D1065" s="1581" t="s">
        <v>1865</v>
      </c>
      <c r="E1065" s="1581"/>
      <c r="F1065" s="1581"/>
      <c r="G1065" s="571"/>
      <c r="H1065" s="404"/>
      <c r="I1065" s="404"/>
    </row>
    <row r="1066" spans="1:9" ht="12.75">
      <c r="A1066" s="355"/>
      <c r="B1066" s="355"/>
      <c r="C1066" s="322"/>
      <c r="D1066" s="1581"/>
      <c r="E1066" s="1581"/>
      <c r="F1066" s="1581"/>
      <c r="G1066" s="571"/>
      <c r="H1066" s="404"/>
      <c r="I1066" s="404"/>
    </row>
    <row r="1067" spans="1:9" ht="12.75">
      <c r="A1067" s="355"/>
      <c r="B1067" s="355"/>
      <c r="C1067" s="322"/>
      <c r="D1067" s="1581"/>
      <c r="E1067" s="1581"/>
      <c r="F1067" s="1581"/>
      <c r="G1067" s="571"/>
      <c r="H1067" s="404"/>
      <c r="I1067" s="404"/>
    </row>
    <row r="1068" spans="1:9" ht="12.75">
      <c r="A1068" s="355"/>
      <c r="B1068" s="355"/>
      <c r="C1068" s="322"/>
      <c r="D1068" s="1581"/>
      <c r="E1068" s="1581"/>
      <c r="F1068" s="1581"/>
      <c r="G1068" s="571"/>
      <c r="H1068" s="404"/>
      <c r="I1068" s="404"/>
    </row>
    <row r="1069" spans="1:9" ht="12.75">
      <c r="A1069" s="355"/>
      <c r="B1069" s="355"/>
      <c r="C1069" s="322"/>
      <c r="D1069" s="296"/>
      <c r="E1069" s="296"/>
      <c r="F1069" s="296"/>
      <c r="G1069" s="571"/>
    </row>
    <row r="1070" spans="1:9" ht="12.75">
      <c r="A1070" s="355"/>
      <c r="B1070" s="948" t="s">
        <v>136</v>
      </c>
      <c r="C1070" s="322"/>
      <c r="D1070" s="1649" t="s">
        <v>1866</v>
      </c>
      <c r="E1070" s="1649"/>
      <c r="F1070" s="1649"/>
      <c r="G1070" s="571"/>
    </row>
    <row r="1071" spans="1:9" ht="12.75">
      <c r="A1071" s="355"/>
      <c r="B1071" s="355"/>
      <c r="C1071" s="322"/>
      <c r="D1071" s="1649"/>
      <c r="E1071" s="1649"/>
      <c r="F1071" s="1649"/>
      <c r="G1071" s="571"/>
    </row>
    <row r="1072" spans="1:9" ht="12.75">
      <c r="A1072" s="355"/>
      <c r="B1072" s="355"/>
      <c r="C1072" s="322"/>
      <c r="D1072" s="1649"/>
      <c r="E1072" s="1649"/>
      <c r="F1072" s="1649"/>
      <c r="G1072" s="571"/>
    </row>
    <row r="1073" spans="1:7" ht="12.75">
      <c r="A1073" s="355"/>
      <c r="B1073" s="355"/>
      <c r="C1073" s="322"/>
      <c r="D1073" s="296"/>
      <c r="E1073" s="296"/>
      <c r="F1073" s="296"/>
      <c r="G1073" s="571"/>
    </row>
    <row r="1074" spans="1:7" ht="14.25">
      <c r="A1074" s="413"/>
      <c r="B1074" s="948" t="s">
        <v>136</v>
      </c>
      <c r="C1074" s="679"/>
      <c r="D1074" s="1650" t="s">
        <v>1867</v>
      </c>
      <c r="E1074" s="1650"/>
      <c r="F1074" s="1650"/>
      <c r="G1074" s="711"/>
    </row>
    <row r="1075" spans="1:7" ht="12.75">
      <c r="A1075" s="678"/>
      <c r="B1075" s="678"/>
      <c r="C1075" s="679"/>
      <c r="D1075" s="1650"/>
      <c r="E1075" s="1650"/>
      <c r="F1075" s="1650"/>
      <c r="G1075" s="711"/>
    </row>
    <row r="1076" spans="1:7" ht="12.75">
      <c r="A1076" s="678"/>
      <c r="B1076" s="678"/>
      <c r="C1076" s="679"/>
      <c r="D1076" s="1650"/>
      <c r="E1076" s="1650"/>
      <c r="F1076" s="1650"/>
      <c r="G1076" s="711"/>
    </row>
    <row r="1077" spans="1:7" ht="12.75">
      <c r="A1077" s="355"/>
      <c r="B1077" s="355"/>
      <c r="C1077" s="322"/>
      <c r="D1077" s="296"/>
      <c r="E1077" s="296"/>
      <c r="F1077" s="296"/>
      <c r="G1077" s="571"/>
    </row>
    <row r="1078" spans="1:7" ht="12.75">
      <c r="A1078" s="14"/>
      <c r="B1078" s="14"/>
      <c r="C1078" s="322"/>
      <c r="D1078" s="1588" t="s">
        <v>1663</v>
      </c>
      <c r="E1078" s="1588"/>
      <c r="F1078" s="1588"/>
      <c r="G1078" s="571"/>
    </row>
    <row r="1079" spans="1:7" ht="12.75">
      <c r="A1079" s="14"/>
      <c r="B1079" s="14"/>
      <c r="C1079" s="322"/>
      <c r="D1079" s="1015"/>
      <c r="E1079" s="296"/>
      <c r="F1079" s="296"/>
      <c r="G1079" s="571"/>
    </row>
    <row r="1080" spans="1:7" ht="12.75">
      <c r="A1080" s="355"/>
      <c r="B1080" s="948" t="s">
        <v>136</v>
      </c>
      <c r="C1080" s="322"/>
      <c r="D1080" s="1625" t="s">
        <v>1868</v>
      </c>
      <c r="E1080" s="1625"/>
      <c r="F1080" s="1625"/>
      <c r="G1080" s="571"/>
    </row>
    <row r="1081" spans="1:7" ht="12.75">
      <c r="A1081" s="355"/>
      <c r="B1081" s="355"/>
      <c r="C1081" s="322"/>
      <c r="D1081" s="1625"/>
      <c r="E1081" s="1625"/>
      <c r="F1081" s="1625"/>
      <c r="G1081" s="571"/>
    </row>
    <row r="1082" spans="1:7" ht="12.75">
      <c r="A1082" s="355"/>
      <c r="B1082" s="355"/>
      <c r="C1082" s="322"/>
      <c r="D1082" s="1625"/>
      <c r="E1082" s="1625"/>
      <c r="F1082" s="1625"/>
      <c r="G1082" s="571"/>
    </row>
    <row r="1083" spans="1:7" ht="12.75">
      <c r="A1083" s="355"/>
      <c r="B1083" s="355"/>
      <c r="C1083" s="322"/>
      <c r="D1083" s="571"/>
      <c r="E1083" s="296"/>
      <c r="F1083" s="296"/>
      <c r="G1083" s="571"/>
    </row>
    <row r="1084" spans="1:7" ht="14.25">
      <c r="A1084" s="413"/>
      <c r="B1084" s="948" t="s">
        <v>136</v>
      </c>
      <c r="C1084" s="322"/>
      <c r="D1084" s="1625" t="s">
        <v>1869</v>
      </c>
      <c r="E1084" s="1625"/>
      <c r="F1084" s="1625"/>
      <c r="G1084" s="571"/>
    </row>
    <row r="1085" spans="1:7" ht="12.75">
      <c r="A1085" s="355"/>
      <c r="B1085" s="355"/>
      <c r="C1085" s="322"/>
      <c r="D1085" s="1625"/>
      <c r="E1085" s="1625"/>
      <c r="F1085" s="1625"/>
      <c r="G1085" s="571"/>
    </row>
    <row r="1086" spans="1:7" ht="12.75">
      <c r="A1086" s="355"/>
      <c r="B1086" s="355"/>
      <c r="C1086" s="322"/>
      <c r="D1086" s="1625"/>
      <c r="E1086" s="1625"/>
      <c r="F1086" s="1625"/>
      <c r="G1086" s="571"/>
    </row>
    <row r="1087" spans="1:7" ht="12.75">
      <c r="A1087" s="355"/>
      <c r="B1087" s="355"/>
      <c r="C1087" s="322"/>
      <c r="D1087" s="296"/>
      <c r="E1087" s="296"/>
      <c r="F1087" s="296"/>
      <c r="G1087" s="571"/>
    </row>
    <row r="1088" spans="1:7" ht="12.75">
      <c r="A1088" s="355"/>
      <c r="B1088" s="355"/>
      <c r="C1088" s="322"/>
      <c r="D1088" s="1588" t="s">
        <v>1238</v>
      </c>
      <c r="E1088" s="1588"/>
      <c r="F1088" s="1588"/>
      <c r="G1088" s="571"/>
    </row>
    <row r="1089" spans="1:7" ht="12.75">
      <c r="A1089" s="355"/>
      <c r="B1089" s="355"/>
      <c r="C1089" s="322"/>
      <c r="D1089" s="1583" t="s">
        <v>1664</v>
      </c>
      <c r="E1089" s="1583"/>
      <c r="F1089" s="1583"/>
      <c r="G1089" s="571"/>
    </row>
    <row r="1090" spans="1:7" ht="12.75">
      <c r="A1090" s="355"/>
      <c r="B1090" s="355"/>
      <c r="C1090" s="322"/>
      <c r="D1090" s="1016"/>
      <c r="E1090" s="296"/>
      <c r="F1090" s="296"/>
      <c r="G1090" s="571"/>
    </row>
    <row r="1091" spans="1:7" ht="14.25">
      <c r="A1091" s="413"/>
      <c r="B1091" s="948" t="s">
        <v>136</v>
      </c>
      <c r="C1091" s="322"/>
      <c r="D1091" s="1581" t="s">
        <v>1870</v>
      </c>
      <c r="E1091" s="1581"/>
      <c r="F1091" s="1581"/>
      <c r="G1091" s="571"/>
    </row>
    <row r="1092" spans="1:7" ht="12.75">
      <c r="A1092" s="355"/>
      <c r="B1092" s="355"/>
      <c r="C1092" s="322"/>
      <c r="D1092" s="1581"/>
      <c r="E1092" s="1581"/>
      <c r="F1092" s="1581"/>
      <c r="G1092" s="571"/>
    </row>
    <row r="1093" spans="1:7" ht="12.75">
      <c r="A1093" s="355"/>
      <c r="B1093" s="355"/>
      <c r="C1093" s="322"/>
      <c r="D1093" s="296"/>
      <c r="E1093" s="296"/>
      <c r="F1093" s="296"/>
      <c r="G1093" s="571"/>
    </row>
    <row r="1094" spans="1:7" ht="14.25">
      <c r="A1094" s="413"/>
      <c r="B1094" s="948" t="s">
        <v>136</v>
      </c>
      <c r="C1094" s="322"/>
      <c r="D1094" s="1581" t="s">
        <v>1871</v>
      </c>
      <c r="E1094" s="1581"/>
      <c r="F1094" s="1581"/>
      <c r="G1094" s="571"/>
    </row>
    <row r="1095" spans="1:7" ht="12.75">
      <c r="A1095" s="355"/>
      <c r="B1095" s="355"/>
      <c r="C1095" s="322"/>
      <c r="D1095" s="1581"/>
      <c r="E1095" s="1581"/>
      <c r="F1095" s="1581"/>
      <c r="G1095" s="571"/>
    </row>
    <row r="1096" spans="1:7" ht="12.75">
      <c r="A1096" s="355"/>
      <c r="B1096" s="355"/>
      <c r="C1096" s="322"/>
      <c r="D1096" s="282"/>
      <c r="E1096" s="296"/>
      <c r="F1096" s="296"/>
      <c r="G1096" s="571"/>
    </row>
    <row r="1097" spans="1:7" ht="12.75">
      <c r="A1097" s="355"/>
      <c r="B1097" s="355"/>
      <c r="C1097" s="322"/>
      <c r="D1097" s="1588" t="s">
        <v>1665</v>
      </c>
      <c r="E1097" s="1588"/>
      <c r="F1097" s="1588"/>
      <c r="G1097" s="571"/>
    </row>
    <row r="1098" spans="1:7" ht="12.75">
      <c r="A1098" s="355"/>
      <c r="B1098" s="355"/>
      <c r="C1098" s="322"/>
      <c r="D1098" s="1015"/>
      <c r="E1098" s="296"/>
      <c r="F1098" s="296"/>
      <c r="G1098" s="571"/>
    </row>
    <row r="1099" spans="1:7" ht="14.25">
      <c r="A1099" s="413"/>
      <c r="B1099" s="948" t="s">
        <v>136</v>
      </c>
      <c r="C1099" s="322"/>
      <c r="D1099" s="1581" t="s">
        <v>1872</v>
      </c>
      <c r="E1099" s="1581"/>
      <c r="F1099" s="1581"/>
      <c r="G1099" s="571"/>
    </row>
    <row r="1100" spans="1:7" ht="12.75">
      <c r="A1100" s="355"/>
      <c r="B1100" s="355"/>
      <c r="C1100" s="322"/>
      <c r="D1100" s="1581"/>
      <c r="E1100" s="1581"/>
      <c r="F1100" s="1581"/>
      <c r="G1100" s="571"/>
    </row>
    <row r="1101" spans="1:7" ht="12.75">
      <c r="A1101" s="355"/>
      <c r="B1101" s="355"/>
      <c r="C1101" s="322"/>
      <c r="D1101" s="1581"/>
      <c r="E1101" s="1581"/>
      <c r="F1101" s="1581"/>
      <c r="G1101" s="571"/>
    </row>
    <row r="1102" spans="1:7" ht="12.75">
      <c r="A1102" s="355"/>
      <c r="B1102" s="355"/>
      <c r="C1102" s="322"/>
      <c r="D1102" s="1581"/>
      <c r="E1102" s="1581"/>
      <c r="F1102" s="1581"/>
      <c r="G1102" s="571"/>
    </row>
    <row r="1103" spans="1:7" ht="12.75">
      <c r="A1103" s="355"/>
      <c r="B1103" s="355"/>
      <c r="C1103" s="322"/>
      <c r="D1103" s="1581"/>
      <c r="E1103" s="1581"/>
      <c r="F1103" s="1581"/>
      <c r="G1103" s="571"/>
    </row>
    <row r="1104" spans="1:7" ht="12.75">
      <c r="A1104" s="355"/>
      <c r="B1104" s="355"/>
      <c r="C1104" s="322"/>
      <c r="D1104" s="1581"/>
      <c r="E1104" s="1581"/>
      <c r="F1104" s="1581"/>
      <c r="G1104" s="571"/>
    </row>
    <row r="1105" spans="1:7" ht="12.75">
      <c r="A1105" s="355"/>
      <c r="B1105" s="355"/>
      <c r="C1105" s="322"/>
      <c r="D1105" s="1581"/>
      <c r="E1105" s="1581"/>
      <c r="F1105" s="1581"/>
      <c r="G1105" s="571"/>
    </row>
    <row r="1106" spans="1:7" ht="12.75">
      <c r="A1106" s="355"/>
      <c r="B1106" s="355"/>
      <c r="C1106" s="322"/>
      <c r="D1106" s="296"/>
      <c r="E1106" s="296"/>
      <c r="F1106" s="296"/>
      <c r="G1106" s="571"/>
    </row>
    <row r="1107" spans="1:7" ht="14.25">
      <c r="A1107" s="413"/>
      <c r="B1107" s="948" t="s">
        <v>136</v>
      </c>
      <c r="C1107" s="322"/>
      <c r="D1107" s="1581" t="s">
        <v>1873</v>
      </c>
      <c r="E1107" s="1581"/>
      <c r="F1107" s="1581"/>
      <c r="G1107" s="571"/>
    </row>
    <row r="1108" spans="1:7" ht="12.75">
      <c r="A1108" s="355"/>
      <c r="B1108" s="355"/>
      <c r="C1108" s="322"/>
      <c r="D1108" s="1581"/>
      <c r="E1108" s="1581"/>
      <c r="F1108" s="1581"/>
      <c r="G1108" s="571"/>
    </row>
    <row r="1109" spans="1:7" ht="12.75">
      <c r="A1109" s="355"/>
      <c r="B1109" s="355"/>
      <c r="C1109" s="322"/>
      <c r="D1109" s="1581"/>
      <c r="E1109" s="1581"/>
      <c r="F1109" s="1581"/>
      <c r="G1109" s="571"/>
    </row>
    <row r="1110" spans="1:7" ht="12.75">
      <c r="A1110" s="355"/>
      <c r="B1110" s="355"/>
      <c r="C1110" s="322"/>
      <c r="D1110" s="1581"/>
      <c r="E1110" s="1581"/>
      <c r="F1110" s="1581"/>
      <c r="G1110" s="571"/>
    </row>
    <row r="1111" spans="1:7" ht="12.75">
      <c r="A1111" s="355"/>
      <c r="B1111" s="355"/>
      <c r="C1111" s="322"/>
      <c r="D1111" s="1581"/>
      <c r="E1111" s="1581"/>
      <c r="F1111" s="1581"/>
      <c r="G1111" s="571"/>
    </row>
    <row r="1112" spans="1:7" ht="12.75">
      <c r="A1112" s="355"/>
      <c r="B1112" s="355"/>
      <c r="C1112" s="322"/>
      <c r="D1112" s="1581"/>
      <c r="E1112" s="1581"/>
      <c r="F1112" s="1581"/>
      <c r="G1112" s="571"/>
    </row>
    <row r="1113" spans="1:7" ht="12.75">
      <c r="A1113" s="355"/>
      <c r="B1113" s="355"/>
      <c r="C1113" s="322"/>
      <c r="D1113" s="1581"/>
      <c r="E1113" s="1581"/>
      <c r="F1113" s="1581"/>
      <c r="G1113" s="571"/>
    </row>
    <row r="1114" spans="1:7" ht="12.75">
      <c r="A1114" s="355"/>
      <c r="B1114" s="355"/>
      <c r="C1114" s="322"/>
      <c r="D1114" s="1130"/>
      <c r="E1114" s="1130"/>
      <c r="F1114" s="1130"/>
      <c r="G1114" s="571"/>
    </row>
    <row r="1115" spans="1:7" ht="12.6" customHeight="1">
      <c r="A1115" s="355"/>
      <c r="B1115" s="1132" t="s">
        <v>136</v>
      </c>
      <c r="C1115" s="322"/>
      <c r="D1115" s="1652" t="s">
        <v>2002</v>
      </c>
      <c r="E1115" s="1649"/>
      <c r="F1115" s="1649"/>
      <c r="G1115" s="571"/>
    </row>
    <row r="1116" spans="1:7" ht="12.6" customHeight="1">
      <c r="A1116" s="355"/>
      <c r="B1116" s="355"/>
      <c r="C1116" s="322"/>
      <c r="D1116" s="1649"/>
      <c r="E1116" s="1649"/>
      <c r="F1116" s="1649"/>
      <c r="G1116" s="571"/>
    </row>
    <row r="1117" spans="1:7" ht="12.75">
      <c r="A1117" s="355"/>
      <c r="B1117" s="355"/>
      <c r="C1117" s="322"/>
      <c r="D1117" s="1649"/>
      <c r="E1117" s="1649"/>
      <c r="F1117" s="1649"/>
      <c r="G1117" s="571"/>
    </row>
    <row r="1118" spans="1:7" ht="12.75">
      <c r="A1118" s="355"/>
      <c r="B1118" s="355"/>
      <c r="C1118" s="322"/>
      <c r="D1118" s="1131"/>
      <c r="E1118" s="1131"/>
      <c r="F1118" s="1131"/>
      <c r="G1118" s="571"/>
    </row>
    <row r="1119" spans="1:7" ht="12.75">
      <c r="A1119" s="140"/>
      <c r="B1119" s="140"/>
      <c r="C1119" s="14"/>
      <c r="D1119" s="1588" t="s">
        <v>1666</v>
      </c>
      <c r="E1119" s="1588"/>
      <c r="F1119" s="1588"/>
    </row>
    <row r="1120" spans="1:7" ht="12.75">
      <c r="A1120" s="1020"/>
      <c r="B1120" s="1020"/>
      <c r="C1120" s="14"/>
      <c r="D1120" s="1015"/>
      <c r="E1120" s="282"/>
      <c r="F1120" s="282"/>
    </row>
    <row r="1121" spans="1:7" ht="14.25">
      <c r="A1121" s="413"/>
      <c r="B1121" s="948" t="s">
        <v>136</v>
      </c>
      <c r="C1121" s="14"/>
      <c r="D1121" s="1625" t="s">
        <v>1874</v>
      </c>
      <c r="E1121" s="1625"/>
      <c r="F1121" s="1625"/>
    </row>
    <row r="1122" spans="1:7" ht="12.75">
      <c r="A1122" s="140"/>
      <c r="B1122" s="140"/>
      <c r="C1122" s="14"/>
      <c r="D1122" s="1625"/>
      <c r="E1122" s="1625"/>
      <c r="F1122" s="1625"/>
    </row>
    <row r="1123" spans="1:7" ht="12.75">
      <c r="A1123" s="140"/>
      <c r="B1123" s="140"/>
      <c r="C1123" s="14"/>
      <c r="E1123" s="282"/>
      <c r="F1123" s="282"/>
    </row>
    <row r="1124" spans="1:7" ht="14.25">
      <c r="A1124" s="413"/>
      <c r="B1124" s="948" t="s">
        <v>1532</v>
      </c>
      <c r="C1124" s="14"/>
      <c r="D1124" s="1625" t="s">
        <v>1875</v>
      </c>
      <c r="E1124" s="1625"/>
      <c r="F1124" s="1625"/>
    </row>
    <row r="1125" spans="1:7" ht="12.75">
      <c r="A1125" s="140"/>
      <c r="B1125" s="140"/>
      <c r="C1125" s="14"/>
      <c r="D1125" s="1625"/>
      <c r="E1125" s="1625"/>
      <c r="F1125" s="1625"/>
    </row>
    <row r="1126" spans="1:7" ht="12.75">
      <c r="A1126" s="140"/>
      <c r="B1126" s="140"/>
      <c r="C1126" s="14"/>
      <c r="D1126" s="282"/>
      <c r="E1126" s="282"/>
      <c r="F1126" s="282"/>
    </row>
    <row r="1127" spans="1:7" ht="12.75">
      <c r="A1127" s="140"/>
      <c r="B1127" s="140"/>
      <c r="C1127" s="14"/>
      <c r="D1127" s="1588" t="s">
        <v>1667</v>
      </c>
      <c r="E1127" s="1588"/>
      <c r="F1127" s="1588"/>
    </row>
    <row r="1128" spans="1:7" ht="12.75">
      <c r="A1128" s="1020"/>
      <c r="B1128" s="1020"/>
      <c r="C1128" s="14"/>
      <c r="D1128" s="1015"/>
      <c r="E1128" s="282"/>
      <c r="F1128" s="282"/>
    </row>
    <row r="1129" spans="1:7" ht="14.25">
      <c r="A1129" s="413"/>
      <c r="B1129" s="948" t="s">
        <v>136</v>
      </c>
      <c r="C1129" s="14"/>
      <c r="D1129" s="1583" t="s">
        <v>1876</v>
      </c>
      <c r="E1129" s="1583"/>
      <c r="F1129" s="1583"/>
    </row>
    <row r="1130" spans="1:7" ht="12.75">
      <c r="A1130" s="140"/>
      <c r="B1130" s="140"/>
      <c r="C1130" s="14"/>
      <c r="D1130" s="282"/>
      <c r="E1130" s="282"/>
      <c r="F1130" s="282"/>
    </row>
    <row r="1131" spans="1:7" ht="14.25">
      <c r="A1131" s="413"/>
      <c r="B1131" s="948" t="s">
        <v>136</v>
      </c>
      <c r="C1131" s="14"/>
      <c r="D1131" s="1581" t="s">
        <v>1877</v>
      </c>
      <c r="E1131" s="1581"/>
      <c r="F1131" s="1581"/>
    </row>
    <row r="1132" spans="1:7" ht="14.25">
      <c r="A1132" s="413"/>
      <c r="B1132" s="413"/>
      <c r="C1132" s="14"/>
      <c r="D1132" s="1581"/>
      <c r="E1132" s="1581"/>
      <c r="F1132" s="1581"/>
    </row>
    <row r="1133" spans="1:7" ht="14.25">
      <c r="A1133" s="413"/>
      <c r="B1133" s="413"/>
      <c r="C1133" s="14"/>
      <c r="D1133" s="1024"/>
      <c r="E1133" s="1024"/>
      <c r="F1133" s="1024"/>
      <c r="G1133" s="2"/>
    </row>
    <row r="1134" spans="1:7" ht="12.75">
      <c r="A1134" s="1026"/>
      <c r="B1134" s="1026"/>
      <c r="C1134" s="14"/>
      <c r="D1134" s="1588" t="s">
        <v>1887</v>
      </c>
      <c r="E1134" s="1588"/>
      <c r="F1134" s="1588"/>
      <c r="G1134" s="2"/>
    </row>
    <row r="1135" spans="1:7" ht="12.75">
      <c r="A1135" s="1026"/>
      <c r="B1135" s="1026"/>
      <c r="C1135" s="14"/>
      <c r="D1135" s="1025"/>
      <c r="E1135" s="282"/>
      <c r="F1135" s="282"/>
      <c r="G1135" s="2"/>
    </row>
    <row r="1136" spans="1:7" ht="14.45" customHeight="1">
      <c r="A1136" s="413"/>
      <c r="B1136" s="1027" t="s">
        <v>1532</v>
      </c>
      <c r="C1136" s="14"/>
      <c r="D1136" s="1580" t="s">
        <v>1983</v>
      </c>
      <c r="E1136" s="1581"/>
      <c r="F1136" s="1581"/>
      <c r="G1136" s="2"/>
    </row>
    <row r="1137" spans="1:7" ht="14.25">
      <c r="A1137" s="413"/>
      <c r="B1137" s="413"/>
      <c r="C1137" s="14"/>
      <c r="D1137" s="1581"/>
      <c r="E1137" s="1581"/>
      <c r="F1137" s="1581"/>
      <c r="G1137" s="2"/>
    </row>
    <row r="1138" spans="1:7" ht="14.25">
      <c r="A1138" s="413"/>
      <c r="B1138" s="413"/>
      <c r="C1138" s="14"/>
      <c r="D1138" s="1581"/>
      <c r="E1138" s="1581"/>
      <c r="F1138" s="1581"/>
      <c r="G1138" s="2"/>
    </row>
    <row r="1139" spans="1:7" ht="14.25">
      <c r="A1139" s="413"/>
      <c r="B1139" s="413"/>
      <c r="C1139" s="14"/>
      <c r="D1139" s="1581"/>
      <c r="E1139" s="1581"/>
      <c r="F1139" s="1581"/>
      <c r="G1139" s="2"/>
    </row>
    <row r="1140" spans="1:7" ht="14.25">
      <c r="A1140" s="413"/>
      <c r="B1140" s="413"/>
      <c r="C1140" s="14"/>
      <c r="D1140" s="1581"/>
      <c r="E1140" s="1581"/>
      <c r="F1140" s="1581"/>
      <c r="G1140" s="2"/>
    </row>
    <row r="1141" spans="1:7" ht="14.25">
      <c r="A1141" s="413"/>
      <c r="B1141" s="413"/>
      <c r="C1141" s="14"/>
      <c r="D1141" s="1581"/>
      <c r="E1141" s="1581"/>
      <c r="F1141" s="1581"/>
      <c r="G1141" s="2"/>
    </row>
    <row r="1142" spans="1:7" ht="14.25">
      <c r="A1142" s="413"/>
      <c r="B1142" s="413"/>
      <c r="C1142" s="14"/>
      <c r="D1142" s="1581"/>
      <c r="E1142" s="1581"/>
      <c r="F1142" s="1581"/>
      <c r="G1142" s="2"/>
    </row>
    <row r="1143" spans="1:7" ht="14.25">
      <c r="A1143" s="413"/>
      <c r="B1143" s="413"/>
      <c r="C1143" s="14"/>
      <c r="D1143" s="1581"/>
      <c r="E1143" s="1581"/>
      <c r="F1143" s="1581"/>
      <c r="G1143" s="2"/>
    </row>
    <row r="1144" spans="1:7" ht="14.25">
      <c r="A1144" s="413"/>
      <c r="B1144" s="413"/>
      <c r="C1144" s="14"/>
      <c r="D1144" s="1581"/>
      <c r="E1144" s="1581"/>
      <c r="F1144" s="1581"/>
      <c r="G1144" s="2"/>
    </row>
    <row r="1145" spans="1:7" ht="14.25">
      <c r="A1145" s="413"/>
      <c r="B1145" s="413"/>
      <c r="C1145" s="14"/>
      <c r="D1145" s="1581"/>
      <c r="E1145" s="1581"/>
      <c r="F1145" s="1581"/>
      <c r="G1145" s="2"/>
    </row>
    <row r="1146" spans="1:7" ht="14.25">
      <c r="A1146" s="413"/>
      <c r="B1146" s="413"/>
      <c r="C1146" s="14"/>
      <c r="D1146" s="1581"/>
      <c r="E1146" s="1581"/>
      <c r="F1146" s="1581"/>
      <c r="G1146" s="2"/>
    </row>
    <row r="1147" spans="1:7" ht="14.25">
      <c r="A1147" s="413"/>
      <c r="B1147" s="413"/>
      <c r="C1147" s="14"/>
      <c r="D1147" s="1581"/>
      <c r="E1147" s="1581"/>
      <c r="F1147" s="1581"/>
      <c r="G1147" s="2"/>
    </row>
    <row r="1148" spans="1:7" ht="14.25">
      <c r="A1148" s="413"/>
      <c r="B1148" s="413"/>
      <c r="C1148" s="14"/>
      <c r="D1148" s="1581"/>
      <c r="E1148" s="1581"/>
      <c r="F1148" s="1581"/>
      <c r="G1148" s="2"/>
    </row>
    <row r="1149" spans="1:7" ht="14.25">
      <c r="A1149" s="413"/>
      <c r="B1149" s="413"/>
      <c r="C1149" s="14"/>
      <c r="D1149" s="1581"/>
      <c r="E1149" s="1581"/>
      <c r="F1149" s="1581"/>
    </row>
    <row r="1150" spans="1:7" ht="12.75">
      <c r="A1150" s="140"/>
      <c r="B1150" s="140"/>
      <c r="C1150" s="14"/>
      <c r="D1150" s="282"/>
      <c r="E1150" s="282"/>
      <c r="F1150" s="282"/>
    </row>
    <row r="1151" spans="1:7" ht="12.75">
      <c r="A1151" s="1597" t="s">
        <v>1561</v>
      </c>
      <c r="B1151" s="1597"/>
      <c r="C1151" s="1597"/>
      <c r="D1151" s="1597"/>
      <c r="E1151" s="1597"/>
      <c r="F1151" s="1597"/>
      <c r="G1151" s="1597"/>
    </row>
    <row r="1152" spans="1:7" ht="12.75">
      <c r="A1152" s="143"/>
      <c r="B1152" s="143"/>
      <c r="C1152" s="14"/>
      <c r="D1152" s="282"/>
      <c r="E1152" s="282"/>
      <c r="F1152" s="282"/>
    </row>
    <row r="1153" spans="1:7" ht="12.75">
      <c r="A1153" s="140"/>
      <c r="B1153" s="140"/>
      <c r="C1153" s="322"/>
      <c r="D1153" s="1588" t="s">
        <v>1878</v>
      </c>
      <c r="E1153" s="1588"/>
      <c r="F1153" s="1588"/>
    </row>
    <row r="1154" spans="1:7" ht="12.75">
      <c r="A1154" s="414"/>
      <c r="B1154" s="414"/>
      <c r="C1154" s="298"/>
      <c r="D1154" s="1685" t="s">
        <v>1671</v>
      </c>
      <c r="E1154" s="1583"/>
      <c r="F1154" s="1583"/>
    </row>
    <row r="1155" spans="1:7" ht="12.75">
      <c r="A1155" s="414"/>
      <c r="B1155" s="414"/>
      <c r="C1155" s="298"/>
      <c r="D1155" s="282"/>
      <c r="E1155" s="282"/>
      <c r="F1155" s="296"/>
      <c r="G1155" s="2"/>
    </row>
    <row r="1156" spans="1:7" ht="13.7" customHeight="1">
      <c r="A1156" s="140"/>
      <c r="B1156" s="948" t="s">
        <v>1532</v>
      </c>
      <c r="C1156" s="14"/>
      <c r="D1156" s="1651" t="s">
        <v>1984</v>
      </c>
      <c r="E1156" s="1651"/>
      <c r="F1156" s="1651"/>
      <c r="G1156" s="2"/>
    </row>
    <row r="1157" spans="1:7" ht="12.75">
      <c r="A1157" s="140"/>
      <c r="B1157" s="140"/>
      <c r="C1157" s="14"/>
      <c r="D1157" s="1651"/>
      <c r="E1157" s="1651"/>
      <c r="F1157" s="1651"/>
      <c r="G1157" s="2"/>
    </row>
    <row r="1158" spans="1:7" ht="12.75">
      <c r="A1158" s="140"/>
      <c r="B1158" s="140"/>
      <c r="C1158" s="14"/>
      <c r="D1158" s="1651"/>
      <c r="E1158" s="1651"/>
      <c r="F1158" s="1651"/>
      <c r="G1158" s="2"/>
    </row>
    <row r="1159" spans="1:7" ht="12.75">
      <c r="A1159" s="150"/>
      <c r="B1159" s="150"/>
      <c r="D1159" s="1651"/>
      <c r="E1159" s="1651"/>
      <c r="F1159" s="1651"/>
      <c r="G1159" s="2"/>
    </row>
    <row r="1160" spans="1:7" ht="12.75">
      <c r="A1160" s="150"/>
      <c r="B1160" s="150"/>
      <c r="D1160" s="1651"/>
      <c r="E1160" s="1651"/>
      <c r="F1160" s="1651"/>
      <c r="G1160" s="2"/>
    </row>
    <row r="1161" spans="1:7" ht="12.75">
      <c r="A1161" s="415"/>
      <c r="B1161" s="415"/>
      <c r="C1161" s="299"/>
      <c r="D1161" s="1651"/>
      <c r="E1161" s="1651"/>
      <c r="F1161" s="1651"/>
      <c r="G1161" s="2"/>
    </row>
    <row r="1162" spans="1:7" ht="14.45" customHeight="1">
      <c r="A1162" s="415"/>
      <c r="B1162" s="415"/>
      <c r="C1162" s="299"/>
      <c r="D1162" s="1651"/>
      <c r="E1162" s="1651"/>
      <c r="F1162" s="1651"/>
      <c r="G1162" s="2"/>
    </row>
    <row r="1163" spans="1:7" ht="12.75">
      <c r="A1163" s="415"/>
      <c r="B1163" s="415"/>
      <c r="C1163" s="299"/>
      <c r="D1163" s="1014"/>
      <c r="E1163" s="1014"/>
      <c r="F1163" s="1014"/>
      <c r="G1163" s="2"/>
    </row>
    <row r="1164" spans="1:7" ht="12.75">
      <c r="A1164" s="415"/>
      <c r="B1164" s="1031" t="s">
        <v>136</v>
      </c>
      <c r="C1164" s="299"/>
      <c r="D1164" s="1625" t="s">
        <v>1888</v>
      </c>
      <c r="E1164" s="1625"/>
      <c r="F1164" s="1625"/>
      <c r="G1164" s="2"/>
    </row>
    <row r="1165" spans="1:7" ht="12.75">
      <c r="A1165" s="415"/>
      <c r="B1165" s="415"/>
      <c r="C1165" s="299"/>
      <c r="D1165" s="1625"/>
      <c r="E1165" s="1625"/>
      <c r="F1165" s="1625"/>
      <c r="G1165" s="2"/>
    </row>
    <row r="1166" spans="1:7" ht="12.75">
      <c r="A1166" s="415"/>
      <c r="B1166" s="415"/>
      <c r="C1166" s="299"/>
      <c r="D1166" s="1625"/>
      <c r="E1166" s="1625"/>
      <c r="F1166" s="1625"/>
      <c r="G1166" s="2"/>
    </row>
    <row r="1167" spans="1:7" ht="12.75">
      <c r="A1167" s="415"/>
      <c r="B1167" s="415"/>
      <c r="C1167" s="299"/>
      <c r="D1167" s="1625"/>
      <c r="E1167" s="1625"/>
      <c r="F1167" s="1625"/>
      <c r="G1167" s="2"/>
    </row>
    <row r="1168" spans="1:7" ht="12.75">
      <c r="A1168" s="415"/>
      <c r="B1168" s="415"/>
      <c r="C1168" s="299"/>
      <c r="D1168" s="1100"/>
      <c r="E1168" s="1100"/>
      <c r="F1168" s="1100"/>
      <c r="G1168" s="2"/>
    </row>
    <row r="1169" spans="1:7" ht="12.75">
      <c r="A1169" s="415"/>
      <c r="B1169" s="1101" t="s">
        <v>136</v>
      </c>
      <c r="C1169" s="299"/>
      <c r="D1169" s="1626" t="s">
        <v>1985</v>
      </c>
      <c r="E1169" s="1625"/>
      <c r="F1169" s="1625"/>
      <c r="G1169" s="2"/>
    </row>
    <row r="1170" spans="1:7" ht="12.75">
      <c r="A1170" s="415"/>
      <c r="B1170" s="415"/>
      <c r="C1170" s="299"/>
      <c r="D1170" s="1625"/>
      <c r="E1170" s="1625"/>
      <c r="F1170" s="1625"/>
      <c r="G1170" s="2"/>
    </row>
    <row r="1171" spans="1:7" ht="12.75">
      <c r="A1171" s="415"/>
      <c r="B1171" s="415"/>
      <c r="C1171" s="299"/>
      <c r="D1171" s="1100"/>
      <c r="E1171" s="1100"/>
      <c r="F1171" s="1100"/>
      <c r="G1171" s="2"/>
    </row>
    <row r="1172" spans="1:7" ht="14.25">
      <c r="A1172" s="413"/>
      <c r="B1172" s="948" t="s">
        <v>1532</v>
      </c>
      <c r="C1172" s="14"/>
      <c r="D1172" s="1583" t="s">
        <v>1879</v>
      </c>
      <c r="E1172" s="1583"/>
      <c r="F1172" s="1583"/>
      <c r="G1172" s="2"/>
    </row>
    <row r="1173" spans="1:7" ht="12.75">
      <c r="A1173" s="140"/>
      <c r="B1173" s="140"/>
      <c r="C1173" s="14"/>
      <c r="D1173" s="282"/>
      <c r="E1173" s="282"/>
      <c r="F1173" s="282"/>
      <c r="G1173" s="2"/>
    </row>
    <row r="1174" spans="1:7" ht="14.25">
      <c r="A1174" s="413"/>
      <c r="B1174" s="948" t="s">
        <v>136</v>
      </c>
      <c r="C1174" s="14"/>
      <c r="D1174" s="1583" t="s">
        <v>1880</v>
      </c>
      <c r="E1174" s="1583"/>
      <c r="F1174" s="1583"/>
      <c r="G1174" s="2"/>
    </row>
    <row r="1175" spans="1:7" ht="12.75">
      <c r="A1175" s="140"/>
      <c r="B1175" s="140"/>
      <c r="C1175" s="14"/>
      <c r="D1175" s="287"/>
      <c r="E1175" s="282"/>
      <c r="F1175" s="282"/>
      <c r="G1175" s="2"/>
    </row>
    <row r="1176" spans="1:7" ht="14.25">
      <c r="A1176" s="413"/>
      <c r="B1176" s="948" t="s">
        <v>1532</v>
      </c>
      <c r="C1176" s="14"/>
      <c r="D1176" s="1583" t="s">
        <v>1881</v>
      </c>
      <c r="E1176" s="1583"/>
      <c r="F1176" s="1583"/>
      <c r="G1176" s="2"/>
    </row>
    <row r="1177" spans="1:7" ht="12.75">
      <c r="A1177" s="140"/>
      <c r="B1177" s="140"/>
      <c r="C1177" s="14"/>
      <c r="D1177" s="287"/>
      <c r="E1177" s="282"/>
      <c r="F1177" s="282"/>
      <c r="G1177" s="2"/>
    </row>
    <row r="1178" spans="1:7" ht="14.25">
      <c r="A1178" s="413"/>
      <c r="B1178" s="948" t="s">
        <v>136</v>
      </c>
      <c r="C1178" s="14"/>
      <c r="D1178" s="1581" t="s">
        <v>1882</v>
      </c>
      <c r="E1178" s="1581"/>
      <c r="F1178" s="1581"/>
      <c r="G1178" s="2"/>
    </row>
    <row r="1179" spans="1:7" ht="14.25">
      <c r="A1179" s="413"/>
      <c r="B1179" s="413"/>
      <c r="C1179" s="14"/>
      <c r="D1179" s="1581"/>
      <c r="E1179" s="1581"/>
      <c r="F1179" s="1581"/>
      <c r="G1179" s="2"/>
    </row>
    <row r="1180" spans="1:7" ht="14.25">
      <c r="A1180" s="413"/>
      <c r="B1180" s="413"/>
      <c r="C1180" s="14"/>
      <c r="D1180" s="287"/>
      <c r="E1180" s="282"/>
      <c r="F1180" s="282"/>
    </row>
    <row r="1181" spans="1:7" s="706" customFormat="1" ht="14.25">
      <c r="A1181" s="463"/>
      <c r="B1181" s="948" t="s">
        <v>136</v>
      </c>
      <c r="C1181" s="464"/>
      <c r="D1181" s="1634" t="s">
        <v>1883</v>
      </c>
      <c r="E1181" s="1634"/>
      <c r="F1181" s="1634"/>
      <c r="G1181" s="707"/>
    </row>
    <row r="1182" spans="1:7" s="706" customFormat="1" ht="12.75">
      <c r="A1182" s="464"/>
      <c r="B1182" s="464"/>
      <c r="C1182" s="464"/>
      <c r="D1182" s="1634"/>
      <c r="E1182" s="1634"/>
      <c r="F1182" s="1634"/>
      <c r="G1182" s="707"/>
    </row>
    <row r="1183" spans="1:7" s="706" customFormat="1" ht="12.75">
      <c r="A1183" s="464"/>
      <c r="B1183" s="464"/>
      <c r="C1183" s="464"/>
      <c r="D1183" s="465"/>
      <c r="E1183" s="466"/>
      <c r="F1183" s="466"/>
      <c r="G1183" s="707"/>
    </row>
    <row r="1184" spans="1:7" s="706" customFormat="1" ht="14.25">
      <c r="A1184" s="463"/>
      <c r="B1184" s="948" t="s">
        <v>136</v>
      </c>
      <c r="C1184" s="464"/>
      <c r="D1184" s="1684" t="s">
        <v>1884</v>
      </c>
      <c r="E1184" s="1684"/>
      <c r="F1184" s="1684"/>
      <c r="G1184" s="707"/>
    </row>
    <row r="1185" spans="1:7" s="706" customFormat="1" ht="12.75">
      <c r="A1185" s="464"/>
      <c r="B1185" s="464"/>
      <c r="C1185" s="464"/>
      <c r="D1185" s="465"/>
      <c r="E1185" s="466"/>
      <c r="F1185" s="466"/>
      <c r="G1185" s="707"/>
    </row>
    <row r="1186" spans="1:7" ht="14.25">
      <c r="A1186" s="413"/>
      <c r="B1186" s="948" t="s">
        <v>136</v>
      </c>
      <c r="C1186" s="14"/>
      <c r="D1186" s="1583" t="s">
        <v>1885</v>
      </c>
      <c r="E1186" s="1583"/>
      <c r="F1186" s="1583"/>
    </row>
    <row r="1187" spans="1:7" ht="14.25">
      <c r="A1187" s="413"/>
      <c r="B1187" s="413"/>
      <c r="C1187" s="14"/>
      <c r="D1187" s="287"/>
      <c r="E1187" s="282"/>
      <c r="F1187" s="282"/>
    </row>
    <row r="1188" spans="1:7" ht="14.25">
      <c r="A1188" s="413"/>
      <c r="B1188" s="948" t="s">
        <v>1532</v>
      </c>
      <c r="C1188" s="14"/>
      <c r="D1188" s="1581" t="s">
        <v>1886</v>
      </c>
      <c r="E1188" s="1581"/>
      <c r="F1188" s="1581"/>
    </row>
    <row r="1189" spans="1:7" ht="14.25">
      <c r="A1189" s="413"/>
      <c r="B1189" s="413"/>
      <c r="C1189" s="14"/>
      <c r="D1189" s="1581"/>
      <c r="E1189" s="1581"/>
      <c r="F1189" s="1581"/>
    </row>
    <row r="1190" spans="1:7" ht="12.75">
      <c r="A1190" s="140"/>
      <c r="B1190" s="140"/>
      <c r="C1190" s="14"/>
      <c r="D1190" s="282"/>
      <c r="E1190" s="282"/>
      <c r="F1190" s="282"/>
    </row>
    <row r="1191" spans="1:7" ht="12.75">
      <c r="A1191" s="1597" t="s">
        <v>2309</v>
      </c>
      <c r="B1191" s="1597"/>
      <c r="C1191" s="1597"/>
      <c r="D1191" s="1597"/>
      <c r="E1191" s="1597"/>
      <c r="F1191" s="1597"/>
      <c r="G1191" s="1597"/>
    </row>
    <row r="1192" spans="1:7" ht="12.75">
      <c r="A1192" s="140"/>
      <c r="B1192" s="140"/>
      <c r="C1192" s="14"/>
      <c r="D1192" s="282"/>
      <c r="E1192" s="282"/>
      <c r="F1192" s="282"/>
    </row>
    <row r="1193" spans="1:7" ht="12.75">
      <c r="A1193" s="1597" t="s">
        <v>1562</v>
      </c>
      <c r="B1193" s="1597"/>
      <c r="C1193" s="1597"/>
      <c r="D1193" s="1597"/>
      <c r="E1193" s="1597"/>
      <c r="F1193" s="1597"/>
      <c r="G1193" s="1597"/>
    </row>
    <row r="1194" spans="1:7" ht="12.75">
      <c r="A1194" s="140"/>
      <c r="B1194" s="140"/>
      <c r="C1194" s="14"/>
      <c r="D1194" s="282"/>
      <c r="E1194" s="282"/>
      <c r="F1194" s="282"/>
    </row>
    <row r="1195" spans="1:7" ht="12.75">
      <c r="A1195" s="150"/>
      <c r="B1195" s="150"/>
      <c r="D1195" s="1644" t="s">
        <v>1691</v>
      </c>
      <c r="E1195" s="1644"/>
      <c r="F1195" s="1644"/>
    </row>
    <row r="1196" spans="1:7" ht="12.75">
      <c r="A1196" s="150"/>
      <c r="B1196" s="150"/>
      <c r="D1196" s="1645" t="s">
        <v>2187</v>
      </c>
      <c r="E1196" s="1645"/>
      <c r="F1196" s="1645"/>
    </row>
    <row r="1197" spans="1:7" ht="12.75">
      <c r="A1197" s="430"/>
      <c r="B1197" s="430"/>
      <c r="C1197" s="406"/>
    </row>
    <row r="1198" spans="1:7" ht="14.25">
      <c r="A1198" s="413"/>
      <c r="B1198" s="413"/>
      <c r="C1198" s="299"/>
      <c r="D1198" s="1644" t="s">
        <v>1692</v>
      </c>
      <c r="E1198" s="1644"/>
      <c r="F1198" s="1644"/>
    </row>
    <row r="1199" spans="1:7" ht="12.75">
      <c r="A1199" s="140"/>
      <c r="B1199" s="948" t="s">
        <v>1532</v>
      </c>
      <c r="C1199" s="14"/>
      <c r="D1199" s="1648" t="s">
        <v>1693</v>
      </c>
      <c r="E1199" s="1648"/>
      <c r="F1199" s="1648"/>
    </row>
    <row r="1200" spans="1:7" ht="12.75">
      <c r="A1200" s="140"/>
      <c r="B1200" s="140"/>
      <c r="C1200" s="14"/>
      <c r="D1200" s="1645" t="s">
        <v>2188</v>
      </c>
      <c r="E1200" s="1645"/>
      <c r="F1200" s="1645"/>
    </row>
    <row r="1201" spans="1:7" ht="12.75">
      <c r="A1201" s="150"/>
      <c r="B1201" s="150"/>
      <c r="G1201" s="2"/>
    </row>
    <row r="1202" spans="1:7" ht="12.75" customHeight="1">
      <c r="A1202" s="150"/>
      <c r="B1202" s="1311" t="s">
        <v>1532</v>
      </c>
      <c r="D1202" s="1599" t="s">
        <v>2077</v>
      </c>
      <c r="E1202" s="1599"/>
      <c r="F1202" s="1599"/>
      <c r="G1202" s="2"/>
    </row>
    <row r="1203" spans="1:7" ht="12.75">
      <c r="A1203" s="150"/>
      <c r="B1203" s="150"/>
      <c r="D1203" s="1599"/>
      <c r="E1203" s="1599"/>
      <c r="F1203" s="1599"/>
      <c r="G1203" s="2"/>
    </row>
    <row r="1204" spans="1:7" ht="12.75">
      <c r="A1204" s="150"/>
      <c r="B1204" s="150"/>
      <c r="G1204" s="2"/>
    </row>
    <row r="1205" spans="1:7" ht="12.75" customHeight="1">
      <c r="A1205" s="150"/>
      <c r="B1205" s="150"/>
    </row>
    <row r="1206" spans="1:7" ht="12.75">
      <c r="A1206" s="1631" t="s">
        <v>1564</v>
      </c>
      <c r="B1206" s="1631"/>
      <c r="C1206" s="1631"/>
      <c r="D1206" s="1631"/>
      <c r="E1206" s="1631"/>
      <c r="F1206" s="1631"/>
      <c r="G1206" s="1631"/>
    </row>
    <row r="1207" spans="1:7" ht="12.75">
      <c r="A1207" s="76"/>
      <c r="B1207" s="76"/>
      <c r="C1207" s="285"/>
      <c r="D1207" s="288"/>
      <c r="E1207" s="288"/>
      <c r="F1207" s="288"/>
      <c r="G1207" s="288"/>
    </row>
    <row r="1208" spans="1:7" ht="12.75" customHeight="1">
      <c r="A1208" s="76"/>
      <c r="B1208" s="76"/>
      <c r="C1208" s="285"/>
      <c r="D1208" s="1642" t="s">
        <v>1563</v>
      </c>
      <c r="E1208" s="1642"/>
      <c r="F1208" s="1642"/>
      <c r="G1208" s="288"/>
    </row>
    <row r="1209" spans="1:7" ht="12.75" customHeight="1">
      <c r="A1209" s="76"/>
      <c r="B1209" s="76"/>
      <c r="C1209" s="285"/>
      <c r="D1209" s="1643" t="s">
        <v>1573</v>
      </c>
      <c r="E1209" s="1643"/>
      <c r="F1209" s="1643"/>
      <c r="G1209" s="288"/>
    </row>
    <row r="1210" spans="1:7" ht="12.75" customHeight="1">
      <c r="A1210" s="76"/>
      <c r="B1210" s="76"/>
      <c r="C1210" s="285"/>
      <c r="D1210" s="288"/>
      <c r="E1210" s="288"/>
      <c r="F1210" s="288"/>
      <c r="G1210" s="288"/>
    </row>
    <row r="1211" spans="1:7" ht="14.25">
      <c r="A1211" s="413"/>
      <c r="B1211" s="948" t="s">
        <v>136</v>
      </c>
      <c r="C1211" s="14"/>
      <c r="D1211" s="1590" t="s">
        <v>1125</v>
      </c>
      <c r="E1211" s="1590"/>
      <c r="F1211" s="1590"/>
    </row>
    <row r="1212" spans="1:7" ht="12.75">
      <c r="A1212" s="140"/>
      <c r="B1212" s="140"/>
      <c r="C1212" s="14"/>
      <c r="D1212" s="1583" t="s">
        <v>1256</v>
      </c>
      <c r="E1212" s="1583"/>
      <c r="F1212" s="1583"/>
    </row>
    <row r="1213" spans="1:7" ht="12.75">
      <c r="A1213" s="140"/>
      <c r="B1213" s="140"/>
      <c r="C1213" s="14"/>
      <c r="D1213" s="282"/>
      <c r="E1213" s="1607" t="s">
        <v>1694</v>
      </c>
      <c r="F1213" s="1607"/>
    </row>
    <row r="1214" spans="1:7" ht="12.75">
      <c r="A1214" s="140"/>
      <c r="B1214" s="140"/>
      <c r="C1214" s="14"/>
      <c r="D1214" s="6"/>
      <c r="E1214" s="282"/>
      <c r="F1214" s="282"/>
    </row>
    <row r="1215" spans="1:7" ht="12.75">
      <c r="A1215" s="140"/>
      <c r="B1215" s="140"/>
      <c r="C1215" s="14"/>
      <c r="D1215" s="1641" t="s">
        <v>1408</v>
      </c>
      <c r="E1215" s="1641"/>
      <c r="F1215" s="1641"/>
    </row>
    <row r="1216" spans="1:7" ht="12.75">
      <c r="A1216" s="140"/>
      <c r="B1216" s="948" t="s">
        <v>136</v>
      </c>
      <c r="C1216" s="140"/>
      <c r="D1216" s="1581" t="s">
        <v>1695</v>
      </c>
      <c r="E1216" s="1581"/>
      <c r="F1216" s="1581"/>
      <c r="G1216" s="2"/>
    </row>
    <row r="1217" spans="1:7" ht="12.75">
      <c r="A1217" s="140"/>
      <c r="B1217" s="140"/>
      <c r="C1217" s="14"/>
      <c r="D1217" s="1581"/>
      <c r="E1217" s="1581"/>
      <c r="F1217" s="1581"/>
      <c r="G1217" s="2"/>
    </row>
    <row r="1218" spans="1:7" ht="12.75">
      <c r="A1218" s="140"/>
      <c r="B1218" s="140"/>
      <c r="C1218" s="14"/>
      <c r="D1218" s="808" t="s">
        <v>1411</v>
      </c>
      <c r="E1218" s="2"/>
      <c r="F1218" s="2"/>
      <c r="G1218" s="2"/>
    </row>
    <row r="1219" spans="1:7" ht="13.7" customHeight="1">
      <c r="A1219" s="140"/>
      <c r="B1219" s="140"/>
      <c r="C1219" s="14"/>
      <c r="D1219" s="1581" t="s">
        <v>1696</v>
      </c>
      <c r="E1219" s="1581"/>
      <c r="F1219" s="1581"/>
      <c r="G1219" s="2"/>
    </row>
    <row r="1220" spans="1:7" ht="12.75">
      <c r="A1220" s="140"/>
      <c r="B1220" s="140"/>
      <c r="C1220" s="14"/>
      <c r="D1220" s="1581"/>
      <c r="E1220" s="1581"/>
      <c r="F1220" s="1581"/>
      <c r="G1220" s="2"/>
    </row>
    <row r="1221" spans="1:7" ht="12.75">
      <c r="A1221" s="140"/>
      <c r="B1221" s="140"/>
      <c r="C1221" s="14"/>
      <c r="D1221" s="1581"/>
      <c r="E1221" s="1581"/>
      <c r="F1221" s="1581"/>
      <c r="G1221" s="2"/>
    </row>
    <row r="1222" spans="1:7" ht="12.75">
      <c r="A1222" s="140"/>
      <c r="B1222" s="140"/>
      <c r="C1222" s="14"/>
      <c r="D1222" s="1581"/>
      <c r="E1222" s="1581"/>
      <c r="F1222" s="1581"/>
      <c r="G1222" s="2"/>
    </row>
    <row r="1223" spans="1:7" ht="12.75">
      <c r="A1223" s="140"/>
      <c r="B1223" s="140"/>
      <c r="C1223" s="14"/>
      <c r="D1223" s="1607" t="s">
        <v>1128</v>
      </c>
      <c r="E1223" s="1607"/>
      <c r="F1223" s="1607"/>
      <c r="G1223" s="2"/>
    </row>
    <row r="1224" spans="1:7" ht="12.75">
      <c r="A1224" s="140"/>
      <c r="B1224" s="948" t="s">
        <v>136</v>
      </c>
      <c r="C1224" s="140"/>
      <c r="D1224" s="1590" t="s">
        <v>1409</v>
      </c>
      <c r="E1224" s="1590"/>
      <c r="F1224" s="1590"/>
      <c r="G1224" s="2"/>
    </row>
    <row r="1225" spans="1:7" ht="12.75">
      <c r="A1225" s="140"/>
      <c r="B1225" s="140"/>
      <c r="C1225" s="14"/>
      <c r="D1225" s="282"/>
      <c r="E1225" s="2"/>
      <c r="F1225" s="2"/>
      <c r="G1225" s="2"/>
    </row>
    <row r="1226" spans="1:7" ht="12.75">
      <c r="A1226" s="140"/>
      <c r="B1226" s="140"/>
      <c r="C1226" s="14"/>
      <c r="D1226" s="1613" t="s">
        <v>1410</v>
      </c>
      <c r="E1226" s="1613"/>
      <c r="F1226" s="1613"/>
      <c r="G1226" s="2"/>
    </row>
    <row r="1227" spans="1:7" ht="12.75">
      <c r="A1227" s="140"/>
      <c r="B1227" s="140"/>
      <c r="C1227" s="14"/>
      <c r="D1227" s="6" t="s">
        <v>1126</v>
      </c>
      <c r="E1227" s="2"/>
      <c r="F1227" s="2"/>
      <c r="G1227" s="2"/>
    </row>
    <row r="1228" spans="1:7" ht="14.45" customHeight="1">
      <c r="A1228" s="413"/>
      <c r="B1228" s="948" t="s">
        <v>136</v>
      </c>
      <c r="C1228" s="140"/>
      <c r="D1228" s="1581" t="s">
        <v>1697</v>
      </c>
      <c r="E1228" s="1581"/>
      <c r="F1228" s="1581"/>
      <c r="G1228" s="2"/>
    </row>
    <row r="1229" spans="1:7" ht="14.25">
      <c r="A1229" s="413"/>
      <c r="B1229" s="413"/>
      <c r="C1229" s="140"/>
      <c r="D1229" s="1581"/>
      <c r="E1229" s="1581"/>
      <c r="F1229" s="1581"/>
      <c r="G1229" s="2"/>
    </row>
    <row r="1230" spans="1:7" ht="14.25">
      <c r="A1230" s="413"/>
      <c r="B1230" s="413"/>
      <c r="C1230" s="140"/>
      <c r="D1230" s="1581"/>
      <c r="E1230" s="1581"/>
      <c r="F1230" s="1581"/>
      <c r="G1230" s="2"/>
    </row>
    <row r="1231" spans="1:7" ht="14.25">
      <c r="A1231" s="413"/>
      <c r="B1231" s="413"/>
      <c r="C1231" s="14"/>
      <c r="D1231" s="282"/>
      <c r="E1231" s="2"/>
      <c r="F1231" s="2"/>
      <c r="G1231" s="2"/>
    </row>
    <row r="1232" spans="1:7" ht="14.25">
      <c r="A1232" s="413"/>
      <c r="B1232" s="413"/>
      <c r="C1232" s="14"/>
      <c r="D1232" s="664" t="s">
        <v>1254</v>
      </c>
      <c r="E1232" s="664"/>
      <c r="F1232" s="664"/>
    </row>
    <row r="1233" spans="1:7" ht="14.25">
      <c r="A1233" s="413"/>
      <c r="B1233" s="948" t="s">
        <v>136</v>
      </c>
      <c r="C1233" s="14"/>
      <c r="D1233" s="1581" t="s">
        <v>1698</v>
      </c>
      <c r="E1233" s="1581"/>
      <c r="F1233" s="1581"/>
    </row>
    <row r="1234" spans="1:7" ht="14.25">
      <c r="A1234" s="413"/>
      <c r="B1234" s="413"/>
      <c r="C1234" s="14"/>
      <c r="D1234" s="1581"/>
      <c r="E1234" s="1581"/>
      <c r="F1234" s="1581"/>
    </row>
    <row r="1235" spans="1:7" ht="14.25">
      <c r="A1235" s="413"/>
      <c r="B1235" s="413"/>
      <c r="C1235" s="14"/>
      <c r="D1235" s="1581"/>
      <c r="E1235" s="1581"/>
      <c r="F1235" s="1581"/>
    </row>
    <row r="1236" spans="1:7" ht="14.25">
      <c r="A1236" s="413"/>
      <c r="B1236" s="413"/>
      <c r="C1236" s="14"/>
      <c r="D1236" s="1581"/>
      <c r="E1236" s="1581"/>
      <c r="F1236" s="1581"/>
    </row>
    <row r="1237" spans="1:7" ht="14.25">
      <c r="A1237" s="413"/>
      <c r="B1237" s="413"/>
      <c r="C1237" s="14"/>
      <c r="D1237" s="1581"/>
      <c r="E1237" s="1581"/>
      <c r="F1237" s="1581"/>
    </row>
    <row r="1238" spans="1:7" ht="12.75" customHeight="1">
      <c r="A1238" s="76"/>
      <c r="B1238" s="76"/>
      <c r="C1238" s="285"/>
      <c r="D1238" s="288"/>
      <c r="E1238" s="288"/>
      <c r="F1238" s="288"/>
      <c r="G1238" s="288"/>
    </row>
    <row r="1239" spans="1:7" ht="12.75">
      <c r="A1239" s="1631" t="s">
        <v>1606</v>
      </c>
      <c r="B1239" s="1631"/>
      <c r="C1239" s="1631"/>
      <c r="D1239" s="1631"/>
      <c r="E1239" s="1631"/>
      <c r="F1239" s="1631"/>
      <c r="G1239" s="1631"/>
    </row>
    <row r="1240" spans="1:7" ht="12.75">
      <c r="A1240" s="76"/>
      <c r="B1240" s="76"/>
      <c r="C1240" s="285"/>
      <c r="D1240" s="288"/>
      <c r="E1240" s="288"/>
      <c r="F1240" s="288"/>
      <c r="G1240" s="288"/>
    </row>
    <row r="1241" spans="1:7" ht="12.75">
      <c r="A1241" s="76"/>
      <c r="B1241" s="76"/>
      <c r="C1241" s="285"/>
      <c r="D1241" s="1627" t="s">
        <v>1607</v>
      </c>
      <c r="E1241" s="1627"/>
      <c r="F1241" s="1627"/>
      <c r="G1241" s="288"/>
    </row>
    <row r="1242" spans="1:7" ht="12.75">
      <c r="A1242" s="419"/>
      <c r="B1242" s="419"/>
      <c r="C1242" s="407"/>
      <c r="D1242" s="1628" t="s">
        <v>1624</v>
      </c>
      <c r="E1242" s="1628"/>
      <c r="F1242" s="1628"/>
      <c r="G1242" s="408"/>
    </row>
    <row r="1243" spans="1:7" ht="10.5" customHeight="1">
      <c r="A1243" s="150"/>
      <c r="B1243" s="150"/>
    </row>
    <row r="1244" spans="1:7" ht="14.25">
      <c r="A1244" s="413"/>
      <c r="B1244" s="948" t="s">
        <v>136</v>
      </c>
      <c r="D1244" s="1590" t="s">
        <v>1257</v>
      </c>
      <c r="E1244" s="1590"/>
      <c r="F1244" s="1590"/>
    </row>
    <row r="1245" spans="1:7" ht="12.75">
      <c r="A1245" s="150"/>
      <c r="B1245" s="150"/>
      <c r="D1245" s="282"/>
      <c r="E1245" s="1613" t="s">
        <v>1533</v>
      </c>
      <c r="F1245" s="1613"/>
    </row>
    <row r="1246" spans="1:7" ht="12.75">
      <c r="A1246" s="140"/>
      <c r="B1246" s="140"/>
      <c r="C1246" s="14"/>
      <c r="D1246" s="954"/>
      <c r="E1246" s="954"/>
      <c r="F1246" s="954"/>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pans="1:7" ht="13.7" customHeight="1">
      <c r="A1265" s="2"/>
      <c r="B1265" s="2"/>
      <c r="C1265" s="2"/>
      <c r="D1265" s="2"/>
      <c r="E1265" s="2"/>
      <c r="F1265" s="2"/>
      <c r="G1265" s="2"/>
    </row>
    <row r="1266" spans="1:7" ht="13.7" customHeight="1">
      <c r="A1266" s="2"/>
      <c r="B1266" s="2"/>
      <c r="C1266" s="2"/>
      <c r="D1266" s="2"/>
      <c r="E1266" s="2"/>
      <c r="F1266" s="2"/>
      <c r="G1266" s="2"/>
    </row>
    <row r="1267" spans="1:7" ht="13.7" customHeight="1">
      <c r="A1267" s="2"/>
      <c r="B1267" s="2"/>
      <c r="C1267" s="2"/>
      <c r="D1267" s="2"/>
      <c r="E1267" s="2"/>
      <c r="F1267" s="2"/>
      <c r="G1267" s="2"/>
    </row>
    <row r="1268" spans="1:7" ht="13.7" customHeight="1">
      <c r="A1268" s="2"/>
      <c r="B1268" s="2"/>
      <c r="C1268" s="2"/>
      <c r="D1268" s="2"/>
      <c r="E1268" s="2"/>
      <c r="F1268" s="2"/>
      <c r="G1268" s="2"/>
    </row>
    <row r="1269" spans="1:7" ht="13.7" customHeight="1">
      <c r="A1269" s="2"/>
      <c r="B1269" s="2"/>
      <c r="C1269" s="2"/>
      <c r="D1269" s="2"/>
      <c r="E1269" s="2"/>
      <c r="F1269" s="2"/>
      <c r="G1269" s="2"/>
    </row>
    <row r="1270" spans="1:7" ht="13.7" customHeight="1">
      <c r="A1270" s="2"/>
      <c r="B1270" s="2"/>
      <c r="C1270" s="2"/>
      <c r="D1270" s="2"/>
      <c r="E1270" s="2"/>
      <c r="F1270" s="2"/>
      <c r="G1270" s="2"/>
    </row>
    <row r="1271" spans="1:7" ht="13.7" customHeight="1">
      <c r="A1271" s="2"/>
      <c r="B1271" s="2"/>
      <c r="C1271" s="2"/>
      <c r="D1271" s="2"/>
      <c r="E1271" s="2"/>
      <c r="F1271" s="2"/>
      <c r="G1271" s="2"/>
    </row>
    <row r="1272" spans="1:7" ht="13.7" customHeight="1">
      <c r="A1272" s="2"/>
      <c r="B1272" s="2"/>
      <c r="C1272" s="2"/>
      <c r="D1272" s="2"/>
      <c r="E1272" s="2"/>
      <c r="F1272" s="2"/>
      <c r="G1272" s="2"/>
    </row>
    <row r="1273" spans="1:7" ht="13.7" customHeight="1">
      <c r="A1273" s="2"/>
      <c r="B1273" s="2"/>
      <c r="C1273" s="2"/>
      <c r="D1273" s="2"/>
      <c r="E1273" s="2"/>
      <c r="F1273" s="2"/>
      <c r="G1273" s="2"/>
    </row>
    <row r="1274" spans="1:7" ht="13.7" customHeight="1">
      <c r="A1274" s="2"/>
      <c r="B1274" s="2"/>
      <c r="C1274" s="2"/>
      <c r="D1274" s="2"/>
      <c r="E1274" s="2"/>
      <c r="F1274" s="2"/>
      <c r="G1274" s="2"/>
    </row>
    <row r="1275" spans="1:7" ht="13.7" customHeight="1">
      <c r="A1275" s="2"/>
      <c r="B1275" s="2"/>
      <c r="C1275" s="2"/>
      <c r="D1275" s="2"/>
      <c r="E1275" s="2"/>
      <c r="F1275" s="2"/>
      <c r="G1275" s="2"/>
    </row>
    <row r="1276" spans="1:7" ht="13.7" customHeight="1">
      <c r="A1276" s="2"/>
      <c r="B1276" s="2"/>
      <c r="C1276" s="2"/>
      <c r="D1276" s="2"/>
      <c r="E1276" s="2"/>
      <c r="F1276" s="2"/>
      <c r="G1276" s="2"/>
    </row>
    <row r="1277" spans="1:7" ht="13.7" customHeight="1">
      <c r="A1277" s="2"/>
      <c r="B1277" s="2"/>
      <c r="C1277" s="2"/>
      <c r="D1277" s="2"/>
      <c r="E1277" s="2"/>
      <c r="F1277" s="2"/>
      <c r="G1277" s="2"/>
    </row>
    <row r="1278" spans="1:7" ht="13.7" customHeight="1">
      <c r="A1278" s="2"/>
      <c r="B1278" s="2"/>
      <c r="C1278" s="2"/>
      <c r="D1278" s="2"/>
      <c r="E1278" s="2"/>
      <c r="F1278" s="2"/>
      <c r="G1278" s="2"/>
    </row>
    <row r="1279" spans="1:7" ht="13.7" customHeight="1">
      <c r="A1279" s="2"/>
      <c r="B1279" s="2"/>
      <c r="C1279" s="2"/>
      <c r="D1279" s="2"/>
      <c r="E1279" s="2"/>
      <c r="F1279" s="2"/>
      <c r="G1279" s="2"/>
    </row>
    <row r="1280" spans="1:7" ht="13.7" customHeight="1">
      <c r="A1280" s="2"/>
      <c r="B1280" s="2"/>
      <c r="C1280" s="2"/>
      <c r="D1280" s="2"/>
      <c r="E1280" s="2"/>
      <c r="F1280" s="2"/>
      <c r="G1280" s="2"/>
    </row>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formula1>$I$2:$I$5</formula1>
    </dataValidation>
    <dataValidation type="list" allowBlank="1" showInputMessage="1" showErrorMessage="1" sqref="B721 B724">
      <formula1>$I$3:$I$6</formula1>
    </dataValidation>
  </dataValidations>
  <hyperlinks>
    <hyperlink ref="D460" r:id="rId1"/>
    <hyperlink ref="D1218" r:id="rId2"/>
    <hyperlink ref="D195" r:id="rId3"/>
    <hyperlink ref="D677" r:id="rId4"/>
    <hyperlink ref="D154:F154" r:id="rId5" display="(https://www.treasurer.ca.gov/ctcac/cuac/index.asp) "/>
    <hyperlink ref="D748" r:id="rId6"/>
    <hyperlink ref="D425" r:id="rId7"/>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V1090"/>
  <sheetViews>
    <sheetView showGridLines="0" showZeros="0" tabSelected="1" zoomScaleNormal="100" zoomScaleSheetLayoutView="100" workbookViewId="0">
      <selection activeCell="T330" sqref="T330"/>
    </sheetView>
  </sheetViews>
  <sheetFormatPr defaultColWidth="0" defaultRowHeight="0" customHeight="1" zeroHeight="1"/>
  <cols>
    <col min="1" max="38" width="2.42578125" style="16" customWidth="1"/>
    <col min="39" max="41" width="2.7109375" style="16" customWidth="1"/>
    <col min="42" max="45" width="2.42578125" style="16" customWidth="1"/>
    <col min="46" max="46" width="1.7109375" style="16" customWidth="1"/>
    <col min="47" max="52" width="3.7109375" style="16" hidden="1" customWidth="1"/>
    <col min="53" max="53" width="6" style="16" hidden="1" customWidth="1"/>
    <col min="54" max="67" width="3.7109375" style="16" hidden="1" customWidth="1"/>
    <col min="68" max="81" width="2.42578125" style="16" hidden="1" customWidth="1"/>
    <col min="82" max="83" width="2.7109375" style="16" hidden="1" customWidth="1"/>
    <col min="84" max="84" width="2.42578125" style="16" hidden="1" customWidth="1"/>
    <col min="85" max="126" width="2.7109375" style="16" hidden="1" customWidth="1"/>
    <col min="127" max="16384" width="9.140625"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17" t="s">
        <v>868</v>
      </c>
      <c r="B9" s="2017"/>
      <c r="C9" s="2017"/>
      <c r="D9" s="2017"/>
      <c r="E9" s="2017"/>
      <c r="F9" s="2017"/>
      <c r="G9" s="2017"/>
      <c r="H9" s="2017"/>
      <c r="I9" s="2017"/>
      <c r="J9" s="2017"/>
      <c r="K9" s="2017"/>
      <c r="L9" s="2017"/>
      <c r="M9" s="2017"/>
      <c r="N9" s="2017"/>
      <c r="O9" s="2017"/>
      <c r="P9" s="2017"/>
      <c r="Q9" s="2017"/>
      <c r="R9" s="2017"/>
      <c r="S9" s="2017"/>
      <c r="T9" s="2017"/>
      <c r="U9" s="2017"/>
      <c r="V9" s="2017"/>
      <c r="W9" s="2017"/>
      <c r="X9" s="2017"/>
      <c r="Y9" s="2017"/>
      <c r="Z9" s="2017"/>
      <c r="AA9" s="2017"/>
      <c r="AB9" s="2017"/>
      <c r="AC9" s="2017"/>
      <c r="AD9" s="2017"/>
      <c r="AE9" s="2017"/>
      <c r="AF9" s="2017"/>
      <c r="AG9" s="2017"/>
      <c r="AH9" s="2017"/>
      <c r="AI9" s="2017"/>
      <c r="AJ9" s="2017"/>
      <c r="AK9" s="2017"/>
      <c r="AL9" s="2017"/>
    </row>
    <row r="10" spans="1:38" ht="15" customHeight="1">
      <c r="A10" s="2019" t="s">
        <v>2247</v>
      </c>
      <c r="B10" s="2019"/>
      <c r="C10" s="2019"/>
      <c r="D10" s="2019"/>
      <c r="E10" s="2019"/>
      <c r="F10" s="2019"/>
      <c r="G10" s="2019"/>
      <c r="H10" s="2019"/>
      <c r="I10" s="2019"/>
      <c r="J10" s="2019"/>
      <c r="K10" s="2019"/>
      <c r="L10" s="2019"/>
      <c r="M10" s="2019"/>
      <c r="N10" s="2019"/>
      <c r="O10" s="2019"/>
      <c r="P10" s="2019"/>
      <c r="Q10" s="2019"/>
      <c r="R10" s="2019"/>
      <c r="S10" s="2019"/>
      <c r="T10" s="2019"/>
      <c r="U10" s="2019"/>
      <c r="V10" s="2019"/>
      <c r="W10" s="2019"/>
      <c r="X10" s="2019"/>
      <c r="Y10" s="2019"/>
      <c r="Z10" s="2019"/>
      <c r="AA10" s="2019"/>
      <c r="AB10" s="2019"/>
      <c r="AC10" s="2019"/>
      <c r="AD10" s="2019"/>
      <c r="AE10" s="2019"/>
      <c r="AF10" s="2019"/>
      <c r="AG10" s="2019"/>
      <c r="AH10" s="2019"/>
      <c r="AI10" s="2019"/>
      <c r="AJ10" s="2019"/>
      <c r="AK10" s="2019"/>
      <c r="AL10" s="2019"/>
    </row>
    <row r="11" spans="1:38" s="643" customFormat="1" ht="12.75">
      <c r="A11" s="2020" t="s">
        <v>2370</v>
      </c>
      <c r="B11" s="2021"/>
      <c r="C11" s="2021"/>
      <c r="D11" s="2021"/>
      <c r="E11" s="2021"/>
      <c r="F11" s="2021"/>
      <c r="G11" s="2021"/>
      <c r="H11" s="2021"/>
      <c r="I11" s="2021"/>
      <c r="J11" s="2021"/>
      <c r="K11" s="2021"/>
      <c r="L11" s="2021"/>
      <c r="M11" s="2021"/>
      <c r="N11" s="2021"/>
      <c r="O11" s="2021"/>
      <c r="P11" s="2021"/>
      <c r="Q11" s="2021"/>
      <c r="R11" s="2021"/>
      <c r="S11" s="2021"/>
      <c r="T11" s="2021"/>
      <c r="U11" s="2021"/>
      <c r="V11" s="2021"/>
      <c r="W11" s="2021"/>
      <c r="X11" s="2021"/>
      <c r="Y11" s="2021"/>
      <c r="Z11" s="2021"/>
      <c r="AA11" s="2021"/>
      <c r="AB11" s="2021"/>
      <c r="AC11" s="2021"/>
      <c r="AD11" s="2021"/>
      <c r="AE11" s="2021"/>
      <c r="AF11" s="2021"/>
      <c r="AG11" s="2021"/>
      <c r="AH11" s="2021"/>
      <c r="AI11" s="2021"/>
      <c r="AJ11" s="2021"/>
      <c r="AK11" s="2021"/>
      <c r="AL11" s="2021"/>
    </row>
    <row r="12" spans="1:38" ht="12.75">
      <c r="A12" s="1553" t="s">
        <v>2137</v>
      </c>
      <c r="B12" s="1553"/>
      <c r="C12" s="1553"/>
      <c r="D12" s="1553"/>
      <c r="E12" s="1553"/>
      <c r="F12" s="1553"/>
      <c r="G12" s="1553"/>
      <c r="H12" s="1553"/>
      <c r="I12" s="1553"/>
      <c r="J12" s="1553"/>
      <c r="K12" s="1553"/>
      <c r="L12" s="1553"/>
      <c r="M12" s="1553"/>
      <c r="N12" s="1553"/>
      <c r="O12" s="1553"/>
      <c r="P12" s="1553"/>
      <c r="Q12" s="1553"/>
      <c r="R12" s="1553"/>
      <c r="S12" s="1553"/>
      <c r="T12" s="1553"/>
      <c r="U12" s="1553"/>
      <c r="V12" s="1553"/>
      <c r="W12" s="1553"/>
      <c r="X12" s="1553"/>
      <c r="Y12" s="1553"/>
      <c r="Z12" s="1553"/>
      <c r="AA12" s="1553"/>
      <c r="AB12" s="1553"/>
      <c r="AC12" s="1553"/>
      <c r="AD12" s="1553"/>
      <c r="AE12" s="1553"/>
      <c r="AF12" s="1553"/>
      <c r="AG12" s="1553"/>
      <c r="AH12" s="1553"/>
      <c r="AI12" s="1553"/>
      <c r="AJ12" s="1553"/>
      <c r="AK12" s="1553"/>
      <c r="AL12" s="1553"/>
    </row>
    <row r="13" spans="1:38" ht="12.75" customHeight="1" thickBot="1">
      <c r="A13" s="1555"/>
      <c r="B13" s="1555"/>
      <c r="C13" s="1555"/>
      <c r="D13" s="1555"/>
      <c r="E13" s="1555"/>
      <c r="F13" s="1555"/>
      <c r="G13" s="1555"/>
      <c r="H13" s="1555"/>
      <c r="I13" s="1555"/>
      <c r="J13" s="1555"/>
      <c r="K13" s="1555"/>
      <c r="L13" s="1555"/>
      <c r="M13" s="1555"/>
      <c r="N13" s="1555"/>
      <c r="O13" s="1555"/>
      <c r="P13" s="1555"/>
      <c r="Q13" s="1555"/>
      <c r="R13" s="1555"/>
      <c r="S13" s="1555"/>
      <c r="T13" s="1555"/>
      <c r="U13" s="1555"/>
      <c r="V13" s="1555"/>
      <c r="W13" s="1555"/>
      <c r="X13" s="1555"/>
      <c r="Y13" s="1555"/>
      <c r="Z13" s="1555"/>
      <c r="AA13" s="1555"/>
      <c r="AB13" s="1555"/>
      <c r="AC13" s="1555"/>
      <c r="AD13" s="1555"/>
      <c r="AE13" s="1555"/>
      <c r="AF13" s="1555"/>
      <c r="AG13" s="1555"/>
      <c r="AH13" s="1555"/>
      <c r="AI13" s="1555"/>
      <c r="AJ13" s="1555"/>
      <c r="AK13" s="1555"/>
      <c r="AL13" s="1555"/>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616</v>
      </c>
      <c r="C15" s="8"/>
      <c r="D15" s="8"/>
      <c r="E15" s="8"/>
      <c r="F15" s="8"/>
      <c r="G15" s="8"/>
      <c r="H15" s="1851" t="s">
        <v>2496</v>
      </c>
      <c r="I15" s="1851"/>
      <c r="J15" s="1851"/>
      <c r="K15" s="1851"/>
      <c r="L15" s="1851"/>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row>
    <row r="16" spans="1:38" ht="12.75" customHeight="1"/>
    <row r="17" spans="1:40" ht="12.75" customHeight="1">
      <c r="A17" s="142" t="s">
        <v>869</v>
      </c>
      <c r="C17" s="8"/>
      <c r="D17" s="8"/>
      <c r="E17" s="8"/>
      <c r="F17" s="8"/>
      <c r="G17" s="8"/>
      <c r="H17" s="1700" t="s">
        <v>2469</v>
      </c>
      <c r="I17" s="1692"/>
      <c r="J17" s="1692"/>
      <c r="K17" s="1692"/>
      <c r="L17" s="1692"/>
      <c r="M17" s="1692"/>
      <c r="N17" s="1692"/>
      <c r="O17" s="1692"/>
      <c r="P17" s="1692"/>
      <c r="Q17" s="1692"/>
      <c r="R17" s="1692"/>
      <c r="S17" s="1692"/>
      <c r="T17" s="1692"/>
      <c r="U17" s="1692"/>
      <c r="V17" s="1692"/>
      <c r="W17" s="1692"/>
      <c r="X17" s="1692"/>
      <c r="Y17" s="1692"/>
      <c r="Z17" s="1692"/>
      <c r="AA17" s="1692"/>
      <c r="AB17" s="1692"/>
      <c r="AC17" s="1692"/>
      <c r="AD17" s="1692"/>
      <c r="AE17" s="1692"/>
      <c r="AF17" s="1692"/>
      <c r="AG17" s="1692"/>
      <c r="AH17" s="1692"/>
      <c r="AI17" s="1692"/>
      <c r="AJ17" s="1692"/>
    </row>
    <row r="18" spans="1:40" ht="12.75" customHeight="1"/>
    <row r="19" spans="1:40" ht="15" customHeight="1">
      <c r="A19" s="1574" t="s">
        <v>1218</v>
      </c>
      <c r="B19" s="1574"/>
      <c r="C19" s="1574"/>
      <c r="D19" s="1574"/>
      <c r="E19" s="1574"/>
      <c r="F19" s="1574"/>
      <c r="G19" s="1574"/>
      <c r="H19" s="1574"/>
      <c r="I19" s="1574"/>
      <c r="J19" s="1574"/>
      <c r="K19" s="1574"/>
      <c r="L19" s="1574"/>
      <c r="M19" s="1574"/>
      <c r="N19" s="1574"/>
      <c r="O19" s="1574"/>
      <c r="P19" s="1574"/>
      <c r="Q19" s="1574"/>
      <c r="R19" s="1574"/>
      <c r="S19" s="1574"/>
      <c r="T19" s="1574"/>
      <c r="U19" s="1574"/>
      <c r="V19" s="1574"/>
      <c r="W19" s="1574"/>
      <c r="X19" s="1574"/>
      <c r="Y19" s="1574"/>
      <c r="Z19" s="1574"/>
      <c r="AA19" s="1574"/>
      <c r="AB19" s="1574"/>
      <c r="AC19" s="1574"/>
      <c r="AD19" s="1574"/>
      <c r="AE19" s="1574"/>
      <c r="AF19" s="1574"/>
      <c r="AG19" s="1574"/>
      <c r="AH19" s="1574"/>
      <c r="AI19" s="1574"/>
      <c r="AJ19" s="1574"/>
      <c r="AK19" s="1574"/>
      <c r="AL19" s="1574"/>
    </row>
    <row r="20" spans="1:40" ht="12.75" customHeight="1">
      <c r="A20" s="2022" t="s">
        <v>1494</v>
      </c>
      <c r="B20" s="2022"/>
      <c r="C20" s="2022"/>
      <c r="D20" s="2022"/>
      <c r="E20" s="2022"/>
      <c r="F20" s="2022"/>
      <c r="G20" s="2022"/>
      <c r="H20" s="2022"/>
      <c r="I20" s="2022"/>
      <c r="J20" s="2022"/>
      <c r="K20" s="2022"/>
      <c r="L20" s="2022"/>
      <c r="M20" s="2022"/>
      <c r="N20" s="2022"/>
      <c r="O20" s="2022"/>
      <c r="P20" s="2022"/>
      <c r="Q20" s="2022"/>
      <c r="R20" s="2022"/>
      <c r="S20" s="2022"/>
      <c r="T20" s="2022"/>
      <c r="U20" s="2022"/>
      <c r="V20" s="2022"/>
      <c r="W20" s="2022"/>
      <c r="X20" s="2022"/>
      <c r="Y20" s="2022"/>
      <c r="Z20" s="2022"/>
      <c r="AA20" s="2022"/>
      <c r="AB20" s="2022"/>
      <c r="AC20" s="2022"/>
      <c r="AD20" s="2022"/>
      <c r="AE20" s="2022"/>
      <c r="AF20" s="2022"/>
      <c r="AG20" s="2022"/>
      <c r="AH20" s="2022"/>
      <c r="AI20" s="2022"/>
      <c r="AJ20" s="2022"/>
      <c r="AK20" s="2022"/>
      <c r="AL20" s="2022"/>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05">
        <f>ROUND('Basis &amp; Credits'!AB55,0)</f>
        <v>2500000</v>
      </c>
      <c r="N25" s="2005"/>
      <c r="O25" s="2005"/>
      <c r="P25" s="2005"/>
      <c r="Q25" s="2005"/>
      <c r="R25" s="8" t="s">
        <v>926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05">
        <f>'Basis &amp; Credits'!AB76</f>
        <v>0</v>
      </c>
      <c r="N27" s="2005"/>
      <c r="O27" s="2005"/>
      <c r="P27" s="2005"/>
      <c r="Q27" s="2005"/>
      <c r="R27" s="8" t="s">
        <v>1493</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818</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1503</v>
      </c>
      <c r="C33" s="427"/>
      <c r="D33" s="427"/>
      <c r="E33" s="427"/>
      <c r="F33" s="427"/>
      <c r="G33" s="427"/>
      <c r="H33" s="427"/>
      <c r="I33" s="427"/>
      <c r="J33" s="427"/>
      <c r="K33" s="427"/>
      <c r="L33" s="427"/>
      <c r="M33" s="427"/>
      <c r="N33" s="427"/>
      <c r="O33" s="1694" t="s">
        <v>136</v>
      </c>
      <c r="P33" s="1694"/>
      <c r="Q33" s="427" t="s">
        <v>1504</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2150</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1505</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2153</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2151</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2152</v>
      </c>
      <c r="AM38" s="41"/>
    </row>
    <row r="39" spans="1:39" ht="12.75" customHeight="1">
      <c r="AM39" s="41"/>
    </row>
    <row r="40" spans="1:39" ht="12.75" customHeight="1">
      <c r="A40" s="427" t="s">
        <v>879</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880</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881</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1495</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1304</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988</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1338</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1362</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1305</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1307</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1306</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1150</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4.1"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4.1"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839</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857</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858</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1502</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1501</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328</v>
      </c>
      <c r="AM87" s="41"/>
    </row>
    <row r="88" spans="1:39" ht="12.75" customHeight="1">
      <c r="A88" s="222" t="s">
        <v>329</v>
      </c>
      <c r="AM88" s="41"/>
    </row>
    <row r="89" spans="1:39" ht="12.75">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872</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1255</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38" t="s">
        <v>2115</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38" t="s">
        <v>2114</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2107</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2108</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38" t="s">
        <v>2109</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38" t="s">
        <v>2110</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38" t="s">
        <v>1496</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39" t="s">
        <v>2111</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38" t="s">
        <v>2113</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38" t="s">
        <v>2112</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1497</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1498</v>
      </c>
    </row>
    <row r="117" spans="1:39" ht="12.75">
      <c r="A117" s="427" t="s">
        <v>1499</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4" t="s">
        <v>1500</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999</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1000</v>
      </c>
    </row>
    <row r="125" spans="1:39" ht="12.75">
      <c r="A125" s="222" t="s">
        <v>1151</v>
      </c>
      <c r="V125" s="72"/>
      <c r="W125" s="72"/>
      <c r="AL125" s="72"/>
    </row>
    <row r="126" spans="1:39" ht="12.75">
      <c r="A126" s="72"/>
      <c r="B126" s="72"/>
      <c r="AL126" s="72"/>
    </row>
    <row r="127" spans="1:39" ht="12.75">
      <c r="A127" s="72"/>
      <c r="B127" s="72"/>
      <c r="AL127" s="72"/>
    </row>
    <row r="128" spans="1:39" ht="12.75">
      <c r="A128" s="72"/>
      <c r="B128" s="72"/>
      <c r="C128" s="72" t="s">
        <v>460</v>
      </c>
      <c r="E128" s="72"/>
      <c r="F128" s="72"/>
      <c r="G128" s="1809">
        <v>30</v>
      </c>
      <c r="H128" s="1809"/>
      <c r="I128" s="72" t="s">
        <v>461</v>
      </c>
      <c r="J128" s="72"/>
      <c r="L128" s="1859" t="s">
        <v>2498</v>
      </c>
      <c r="M128" s="1860"/>
      <c r="N128" s="1860"/>
      <c r="O128" s="72" t="s">
        <v>2248</v>
      </c>
      <c r="P128" s="72"/>
      <c r="Q128" s="72"/>
      <c r="R128" s="72"/>
      <c r="S128" s="72"/>
      <c r="T128" s="72"/>
      <c r="U128" s="72"/>
      <c r="V128" s="72"/>
      <c r="W128" s="72"/>
      <c r="X128" s="72" t="s">
        <v>463</v>
      </c>
      <c r="Y128" s="1355"/>
      <c r="Z128" s="1355"/>
      <c r="AA128" s="1355"/>
      <c r="AB128" s="1355"/>
      <c r="AC128" s="1355"/>
      <c r="AD128" s="1355"/>
      <c r="AE128" s="1355"/>
      <c r="AF128" s="1355"/>
      <c r="AG128" s="1355"/>
      <c r="AH128" s="1355"/>
      <c r="AI128" s="1355"/>
      <c r="AJ128" s="1355"/>
      <c r="AK128" s="1355"/>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2.75">
      <c r="A130" s="72"/>
      <c r="B130" s="72"/>
      <c r="C130" s="1859" t="s">
        <v>439</v>
      </c>
      <c r="D130" s="1860"/>
      <c r="E130" s="1860"/>
      <c r="F130" s="1860"/>
      <c r="G130" s="1860"/>
      <c r="H130" s="1860"/>
      <c r="I130" s="1860"/>
      <c r="J130" s="1860"/>
      <c r="K130" s="1860"/>
      <c r="L130" s="493" t="s">
        <v>462</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700" t="s">
        <v>2372</v>
      </c>
      <c r="Z131" s="1692"/>
      <c r="AA131" s="1692"/>
      <c r="AB131" s="1692"/>
      <c r="AC131" s="1692"/>
      <c r="AD131" s="1692"/>
      <c r="AE131" s="1692"/>
      <c r="AF131" s="1692"/>
      <c r="AG131" s="1692"/>
      <c r="AH131" s="1692"/>
      <c r="AI131" s="1692"/>
      <c r="AJ131" s="1692"/>
      <c r="AK131" s="1692"/>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49"/>
      <c r="B134" s="1349"/>
      <c r="C134" s="72"/>
      <c r="D134" s="72"/>
      <c r="E134" s="72"/>
      <c r="F134" s="72"/>
      <c r="G134" s="72"/>
      <c r="H134" s="72"/>
      <c r="I134" s="72"/>
      <c r="J134" s="72"/>
      <c r="K134" s="72"/>
      <c r="L134" s="72"/>
      <c r="M134" s="72"/>
      <c r="N134" s="72"/>
      <c r="O134" s="72"/>
      <c r="P134" s="72"/>
      <c r="Q134" s="72"/>
      <c r="R134" s="72"/>
      <c r="S134" s="72"/>
      <c r="T134" s="72"/>
      <c r="U134" s="72"/>
      <c r="V134" s="72"/>
      <c r="W134" s="72"/>
      <c r="X134" s="72"/>
      <c r="Y134" s="1700" t="s">
        <v>2497</v>
      </c>
      <c r="Z134" s="1692"/>
      <c r="AA134" s="1692"/>
      <c r="AB134" s="1692"/>
      <c r="AC134" s="1692"/>
      <c r="AD134" s="1692"/>
      <c r="AE134" s="1692"/>
      <c r="AF134" s="1692"/>
      <c r="AG134" s="1692"/>
      <c r="AH134" s="1692"/>
      <c r="AI134" s="1692"/>
      <c r="AJ134" s="1692"/>
      <c r="AK134" s="1692"/>
      <c r="AL134" s="1340"/>
      <c r="AM134" s="1340"/>
      <c r="AN134" s="1340"/>
      <c r="AO134" s="1340"/>
      <c r="AP134" s="1340"/>
      <c r="AQ134" s="1340"/>
      <c r="AR134" s="1340"/>
      <c r="AS134" s="1340"/>
      <c r="AT134" s="1340"/>
      <c r="AU134" s="1340"/>
      <c r="AV134" s="1340"/>
      <c r="AW134" s="1340"/>
      <c r="AX134" s="1340"/>
      <c r="AY134" s="1340"/>
      <c r="AZ134" s="1340"/>
      <c r="BA134" s="1340"/>
      <c r="BB134" s="1340"/>
      <c r="BC134" s="1340"/>
      <c r="BD134" s="1340"/>
    </row>
    <row r="135" spans="1:56" s="8" customFormat="1" ht="12.75">
      <c r="A135" s="774"/>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5"/>
    </row>
    <row r="136" spans="1:56" ht="12.75">
      <c r="A136" s="774"/>
      <c r="B136" s="8"/>
      <c r="AL136" s="775"/>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722</v>
      </c>
      <c r="F156" s="42"/>
      <c r="G156" s="42"/>
      <c r="H156" s="42"/>
      <c r="I156" s="42"/>
      <c r="J156" s="42"/>
      <c r="K156" s="42"/>
      <c r="L156" s="42"/>
      <c r="M156" s="42"/>
      <c r="N156" s="42"/>
      <c r="O156" s="1700" t="s">
        <v>2481</v>
      </c>
      <c r="P156" s="1692"/>
      <c r="Q156" s="1692"/>
      <c r="R156" s="1692"/>
      <c r="S156" s="1692"/>
      <c r="T156" s="1692"/>
      <c r="U156" s="1692"/>
      <c r="V156" s="1692"/>
      <c r="W156" s="1692"/>
      <c r="X156" s="1692"/>
      <c r="Y156" s="1692"/>
      <c r="Z156" s="1692"/>
      <c r="AA156" s="1692"/>
      <c r="AB156" s="1692"/>
      <c r="AC156" s="1692"/>
      <c r="AD156" s="1692"/>
      <c r="AE156" s="1692"/>
      <c r="AF156" s="1692"/>
      <c r="AG156" s="1692"/>
      <c r="AH156" s="1692"/>
      <c r="BT156" s="16" t="s">
        <v>86</v>
      </c>
    </row>
    <row r="157" spans="1:72" ht="12.75" customHeight="1">
      <c r="D157" s="732" t="s">
        <v>602</v>
      </c>
      <c r="F157" s="42"/>
      <c r="G157" s="42"/>
      <c r="H157" s="42"/>
      <c r="I157" s="42"/>
      <c r="J157" s="42"/>
      <c r="K157" s="42"/>
      <c r="L157" s="42"/>
      <c r="M157" s="42"/>
      <c r="N157" s="42"/>
      <c r="O157" s="1701" t="s">
        <v>2374</v>
      </c>
      <c r="P157" s="1702"/>
      <c r="Q157" s="1702"/>
      <c r="R157" s="1702"/>
      <c r="S157" s="1702"/>
      <c r="T157" s="1702"/>
      <c r="U157" s="1702"/>
      <c r="V157" s="1702"/>
      <c r="W157" s="1702"/>
      <c r="X157" s="1702"/>
      <c r="Y157" s="1702"/>
      <c r="Z157" s="1702"/>
      <c r="AA157" s="1702"/>
      <c r="AB157" s="1702"/>
      <c r="AC157" s="1702"/>
      <c r="AD157" s="1702"/>
      <c r="AE157" s="1702"/>
      <c r="AF157" s="1702"/>
      <c r="AG157" s="1702"/>
      <c r="AH157" s="1702"/>
      <c r="AI157" s="16" t="s">
        <v>775</v>
      </c>
      <c r="BN157" s="47" t="s">
        <v>471</v>
      </c>
      <c r="BT157" s="16" t="s">
        <v>32</v>
      </c>
    </row>
    <row r="158" spans="1:72" ht="12.75" customHeight="1">
      <c r="D158" s="17" t="s">
        <v>603</v>
      </c>
      <c r="F158" s="17"/>
      <c r="G158" s="17"/>
      <c r="H158" s="17"/>
      <c r="I158" s="17"/>
      <c r="J158" s="17"/>
      <c r="K158" s="17"/>
      <c r="L158" s="17"/>
      <c r="M158" s="17"/>
      <c r="N158" s="17"/>
      <c r="O158" s="1857" t="s">
        <v>604</v>
      </c>
      <c r="P158" s="1857"/>
      <c r="Q158" s="1857"/>
      <c r="R158" s="1857"/>
      <c r="S158" s="1857"/>
      <c r="T158" s="1857"/>
      <c r="U158" s="1857"/>
      <c r="V158" s="1857"/>
      <c r="W158" s="1857"/>
      <c r="X158" s="1857"/>
      <c r="Y158" s="1857"/>
      <c r="Z158" s="1857"/>
      <c r="AA158" s="1857"/>
      <c r="AB158" s="1857"/>
      <c r="AC158" s="1857"/>
      <c r="AD158" s="1857"/>
      <c r="AE158" s="1857"/>
      <c r="AF158" s="1857"/>
      <c r="AG158" s="1857"/>
      <c r="AH158" s="1857"/>
      <c r="BN158" s="47" t="s">
        <v>472</v>
      </c>
      <c r="BT158" s="16" t="s">
        <v>33</v>
      </c>
    </row>
    <row r="159" spans="1:72" ht="12.75" customHeight="1">
      <c r="D159" s="42" t="s">
        <v>713</v>
      </c>
      <c r="F159" s="42"/>
      <c r="G159" s="42"/>
      <c r="H159" s="42"/>
      <c r="I159" s="42"/>
      <c r="J159" s="42"/>
      <c r="K159" s="42"/>
      <c r="L159" s="42"/>
      <c r="M159" s="42"/>
      <c r="N159" s="42"/>
      <c r="O159" s="1697" t="s">
        <v>2375</v>
      </c>
      <c r="P159" s="1697"/>
      <c r="Q159" s="1697"/>
      <c r="R159" s="1697"/>
      <c r="S159" s="1697"/>
      <c r="T159" s="1697"/>
      <c r="U159" s="1697"/>
      <c r="V159" s="1697"/>
      <c r="W159" s="1697"/>
      <c r="X159" s="1697"/>
      <c r="Y159" s="1697"/>
      <c r="Z159" s="1697"/>
      <c r="AA159" s="1697"/>
      <c r="AB159" s="1697"/>
      <c r="AC159" s="1697"/>
      <c r="AD159" s="1697"/>
      <c r="AE159" s="1697"/>
      <c r="AF159" s="1697"/>
      <c r="AG159" s="1697"/>
      <c r="AH159" s="1697"/>
      <c r="BN159" s="47" t="s">
        <v>80</v>
      </c>
      <c r="BT159" s="16" t="s">
        <v>432</v>
      </c>
    </row>
    <row r="160" spans="1:72" ht="12.75" customHeight="1">
      <c r="D160" s="42" t="s">
        <v>714</v>
      </c>
      <c r="F160" s="42"/>
      <c r="G160" s="42"/>
      <c r="H160" s="42"/>
      <c r="I160" s="42"/>
      <c r="J160" s="42"/>
      <c r="K160" s="42"/>
      <c r="L160" s="42"/>
      <c r="M160" s="42"/>
      <c r="N160" s="42"/>
      <c r="O160" s="1700" t="s">
        <v>2376</v>
      </c>
      <c r="P160" s="1692"/>
      <c r="Q160" s="1692"/>
      <c r="R160" s="1692"/>
      <c r="S160" s="1692"/>
      <c r="T160" s="1692"/>
      <c r="U160" s="1692"/>
      <c r="V160" s="1692"/>
      <c r="W160" s="1692"/>
      <c r="X160" s="1692"/>
      <c r="Y160" s="18"/>
      <c r="Z160" s="18"/>
      <c r="AA160" s="18"/>
      <c r="AB160" s="18"/>
      <c r="AC160" s="18"/>
      <c r="AD160" s="18"/>
      <c r="AE160" s="18"/>
      <c r="AF160" s="18"/>
      <c r="BN160" s="47" t="s">
        <v>82</v>
      </c>
      <c r="BT160" s="16" t="s">
        <v>433</v>
      </c>
    </row>
    <row r="161" spans="1:72" ht="12.75" customHeight="1">
      <c r="D161" s="42" t="s">
        <v>715</v>
      </c>
      <c r="F161" s="42"/>
      <c r="G161" s="42"/>
      <c r="H161" s="42"/>
      <c r="I161" s="42"/>
      <c r="J161" s="42"/>
      <c r="K161" s="42"/>
      <c r="L161" s="42"/>
      <c r="M161" s="42"/>
      <c r="N161" s="42"/>
      <c r="O161" s="1863">
        <v>93721</v>
      </c>
      <c r="P161" s="1863"/>
      <c r="Q161" s="1863"/>
      <c r="R161" s="1863"/>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716</v>
      </c>
      <c r="F162" s="42"/>
      <c r="G162" s="42"/>
      <c r="H162" s="42"/>
      <c r="I162" s="42"/>
      <c r="J162" s="42"/>
      <c r="K162" s="42"/>
      <c r="L162" s="42"/>
      <c r="M162" s="42"/>
      <c r="N162" s="42"/>
      <c r="O162" s="1846" t="s">
        <v>2377</v>
      </c>
      <c r="P162" s="1846"/>
      <c r="Q162" s="1846"/>
      <c r="R162" s="1846"/>
      <c r="S162" s="1846"/>
      <c r="T162" s="1846"/>
      <c r="V162" s="271" t="s">
        <v>12</v>
      </c>
      <c r="W162" s="1864"/>
      <c r="X162" s="1864"/>
      <c r="Y162" s="20"/>
      <c r="Z162" s="20"/>
      <c r="AA162" s="20"/>
      <c r="AB162" s="20"/>
      <c r="AC162" s="20"/>
      <c r="AD162" s="20"/>
      <c r="AE162" s="20"/>
      <c r="AF162" s="20"/>
      <c r="BJ162" s="16" t="s">
        <v>119</v>
      </c>
      <c r="BN162" s="47" t="s">
        <v>84</v>
      </c>
      <c r="BT162" s="16" t="s">
        <v>435</v>
      </c>
    </row>
    <row r="163" spans="1:72" ht="12.75" customHeight="1">
      <c r="D163" s="42" t="s">
        <v>717</v>
      </c>
      <c r="F163" s="42"/>
      <c r="G163" s="42"/>
      <c r="H163" s="42"/>
      <c r="I163" s="42"/>
      <c r="J163" s="42"/>
      <c r="K163" s="42"/>
      <c r="L163" s="42"/>
      <c r="M163" s="42"/>
      <c r="N163" s="42"/>
      <c r="O163" s="1846" t="s">
        <v>136</v>
      </c>
      <c r="P163" s="1846"/>
      <c r="Q163" s="1846"/>
      <c r="R163" s="1846"/>
      <c r="S163" s="1846"/>
      <c r="T163" s="1846"/>
      <c r="U163" s="20"/>
      <c r="V163" s="20"/>
      <c r="W163" s="20"/>
      <c r="X163" s="20"/>
      <c r="Y163" s="20"/>
      <c r="Z163" s="20"/>
      <c r="AA163" s="20"/>
      <c r="AB163" s="20"/>
      <c r="AC163" s="20"/>
      <c r="AD163" s="20"/>
      <c r="AE163" s="20"/>
      <c r="AF163" s="20"/>
      <c r="BN163" s="47" t="s">
        <v>525</v>
      </c>
      <c r="BT163" s="16" t="s">
        <v>436</v>
      </c>
    </row>
    <row r="164" spans="1:72" ht="12.75" customHeight="1">
      <c r="D164" s="42" t="s">
        <v>718</v>
      </c>
      <c r="F164" s="42"/>
      <c r="G164" s="42"/>
      <c r="H164" s="42"/>
      <c r="I164" s="42"/>
      <c r="J164" s="42"/>
      <c r="K164" s="42"/>
      <c r="L164" s="42"/>
      <c r="M164" s="42"/>
      <c r="N164" s="42"/>
      <c r="O164" s="1693" t="s">
        <v>2378</v>
      </c>
      <c r="P164" s="1693"/>
      <c r="Q164" s="1693"/>
      <c r="R164" s="1693"/>
      <c r="S164" s="1693"/>
      <c r="T164" s="1693"/>
      <c r="U164" s="1693"/>
      <c r="V164" s="1693"/>
      <c r="W164" s="1693"/>
      <c r="X164" s="1693"/>
      <c r="Y164" s="1693"/>
      <c r="Z164" s="1693"/>
      <c r="AA164" s="1693"/>
      <c r="AB164" s="1693"/>
      <c r="AC164" s="1693"/>
      <c r="AD164" s="1693"/>
      <c r="AE164" s="1693"/>
      <c r="AF164" s="1693"/>
      <c r="AG164" s="1693"/>
      <c r="AH164" s="1693"/>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775</v>
      </c>
      <c r="D166" s="395" t="s">
        <v>776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1862" t="s">
        <v>2196</v>
      </c>
      <c r="E167" s="1862"/>
      <c r="F167" s="1862"/>
      <c r="G167" s="1862"/>
      <c r="H167" s="1862"/>
      <c r="I167" s="1862"/>
      <c r="J167" s="1862"/>
      <c r="K167" s="1862"/>
      <c r="L167" s="1862"/>
      <c r="M167" s="1862"/>
      <c r="N167" s="1862"/>
      <c r="O167" s="1862"/>
      <c r="P167" s="1862"/>
      <c r="Q167" s="1862"/>
      <c r="R167" s="1862"/>
      <c r="S167" s="1862"/>
      <c r="T167" s="1862"/>
      <c r="U167" s="1862"/>
      <c r="V167" s="1862"/>
      <c r="W167" s="1862"/>
      <c r="X167" s="1862"/>
      <c r="Y167" s="1862"/>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2.75">
      <c r="A169" s="1686" t="s">
        <v>423</v>
      </c>
      <c r="B169" s="1686"/>
      <c r="C169" s="1686"/>
      <c r="D169" s="1686"/>
      <c r="E169" s="1686"/>
      <c r="F169" s="1686"/>
      <c r="G169" s="1686"/>
      <c r="H169" s="1686"/>
      <c r="I169" s="1686"/>
      <c r="J169" s="1686"/>
      <c r="K169" s="1686"/>
      <c r="L169" s="1686"/>
      <c r="M169" s="1686"/>
      <c r="N169" s="1686"/>
      <c r="O169" s="1686"/>
      <c r="P169" s="1686"/>
      <c r="Q169" s="1686"/>
      <c r="R169" s="1686"/>
      <c r="S169" s="1686"/>
      <c r="T169" s="1686"/>
      <c r="U169" s="1686"/>
      <c r="V169" s="1686"/>
      <c r="W169" s="1686"/>
      <c r="X169" s="1686"/>
      <c r="Y169" s="1686"/>
      <c r="Z169" s="1686"/>
      <c r="AA169" s="1686"/>
      <c r="AB169" s="1686"/>
      <c r="AC169" s="1686"/>
      <c r="AD169" s="1686"/>
      <c r="AE169" s="1686"/>
      <c r="AF169" s="1686"/>
      <c r="AG169" s="1686"/>
      <c r="AH169" s="1686"/>
      <c r="AI169" s="1686"/>
      <c r="AJ169" s="1686"/>
      <c r="AK169" s="1686"/>
      <c r="AL169" s="1686"/>
      <c r="BN169" s="47" t="s">
        <v>535</v>
      </c>
      <c r="BT169" s="16" t="s">
        <v>442</v>
      </c>
    </row>
    <row r="170" spans="1:72" ht="12.75" customHeight="1" thickBot="1">
      <c r="A170" s="1687"/>
      <c r="B170" s="1687"/>
      <c r="C170" s="1687"/>
      <c r="D170" s="1687"/>
      <c r="E170" s="1687"/>
      <c r="F170" s="1687"/>
      <c r="G170" s="1687"/>
      <c r="H170" s="1687"/>
      <c r="I170" s="1687"/>
      <c r="J170" s="1687"/>
      <c r="K170" s="1687"/>
      <c r="L170" s="1687"/>
      <c r="M170" s="1687"/>
      <c r="N170" s="1687"/>
      <c r="O170" s="1687"/>
      <c r="P170" s="1687"/>
      <c r="Q170" s="1687"/>
      <c r="R170" s="1687"/>
      <c r="S170" s="1687"/>
      <c r="T170" s="1687"/>
      <c r="U170" s="1687"/>
      <c r="V170" s="1687"/>
      <c r="W170" s="1687"/>
      <c r="X170" s="1687"/>
      <c r="Y170" s="1687"/>
      <c r="Z170" s="1687"/>
      <c r="AA170" s="1687"/>
      <c r="AB170" s="1687"/>
      <c r="AC170" s="1687"/>
      <c r="AD170" s="1687"/>
      <c r="AE170" s="1687"/>
      <c r="AF170" s="1687"/>
      <c r="AG170" s="1687"/>
      <c r="AH170" s="1687"/>
      <c r="AI170" s="1687"/>
      <c r="AJ170" s="1687"/>
      <c r="AK170" s="1687"/>
      <c r="AL170" s="1687"/>
      <c r="AM170" s="35"/>
      <c r="BN170" s="47" t="s">
        <v>536</v>
      </c>
      <c r="BT170" s="16" t="s">
        <v>443</v>
      </c>
    </row>
    <row r="171" spans="1:72" ht="13.5" thickTop="1">
      <c r="A171" s="35"/>
      <c r="B171" s="35"/>
      <c r="C171" s="35"/>
      <c r="D171" s="35"/>
      <c r="E171" s="35"/>
      <c r="F171" s="35"/>
      <c r="G171" s="3"/>
      <c r="H171" s="35"/>
      <c r="AK171" s="3"/>
      <c r="AL171" s="3"/>
      <c r="AM171" s="35"/>
      <c r="BN171" s="47" t="s">
        <v>537</v>
      </c>
      <c r="BT171" s="16" t="s">
        <v>444</v>
      </c>
    </row>
    <row r="172" spans="1:72" ht="12.75">
      <c r="A172" s="48" t="s">
        <v>719</v>
      </c>
      <c r="C172" s="48" t="s">
        <v>720</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2.75">
      <c r="A173" s="35"/>
      <c r="C173" s="49"/>
      <c r="D173" s="50" t="s">
        <v>486</v>
      </c>
      <c r="J173" s="1858" t="s">
        <v>563</v>
      </c>
      <c r="K173" s="1858"/>
      <c r="L173" s="1858"/>
      <c r="M173" s="1858"/>
      <c r="N173" s="1858"/>
      <c r="O173" s="1858"/>
      <c r="P173" s="1858"/>
      <c r="Q173" s="1858"/>
      <c r="R173" s="1858"/>
      <c r="S173" s="1858"/>
      <c r="U173" s="51"/>
      <c r="X173" s="51"/>
      <c r="AF173" s="35"/>
      <c r="AH173" s="35"/>
      <c r="AJ173" s="3"/>
      <c r="AK173" s="3"/>
      <c r="AL173" s="3"/>
      <c r="BN173" s="47" t="s">
        <v>540</v>
      </c>
      <c r="BT173" s="16" t="s">
        <v>446</v>
      </c>
    </row>
    <row r="174" spans="1:72" ht="12.75">
      <c r="A174" s="35"/>
      <c r="C174" s="49"/>
      <c r="D174" s="35" t="s">
        <v>487</v>
      </c>
      <c r="E174" s="35"/>
      <c r="F174" s="35"/>
      <c r="G174" s="35"/>
      <c r="H174" s="35"/>
      <c r="I174" s="35"/>
      <c r="J174" s="35"/>
      <c r="K174" s="35"/>
      <c r="L174" s="35"/>
      <c r="M174" s="35"/>
      <c r="N174" s="35"/>
      <c r="O174" s="35"/>
      <c r="P174" s="35"/>
      <c r="Q174" s="35"/>
      <c r="R174" s="35"/>
      <c r="S174" s="35"/>
      <c r="U174" s="1694" t="s">
        <v>531</v>
      </c>
      <c r="V174" s="1694"/>
      <c r="W174" s="3"/>
      <c r="X174" s="3"/>
      <c r="Y174" s="3"/>
      <c r="Z174" s="3"/>
      <c r="AA174" s="3"/>
      <c r="AH174" s="35"/>
      <c r="AJ174" s="3"/>
      <c r="AK174" s="3"/>
      <c r="AL174" s="3"/>
      <c r="BN174" s="47" t="s">
        <v>660</v>
      </c>
      <c r="BT174" s="16" t="s">
        <v>447</v>
      </c>
    </row>
    <row r="175" spans="1:72" ht="12.75">
      <c r="A175" s="35"/>
      <c r="C175" s="17"/>
      <c r="D175" s="52"/>
      <c r="E175" s="16" t="s">
        <v>256</v>
      </c>
      <c r="O175" s="53"/>
      <c r="P175" s="35" t="s">
        <v>257</v>
      </c>
      <c r="Q175" s="35"/>
      <c r="R175" s="35"/>
      <c r="S175" s="35" t="s">
        <v>258</v>
      </c>
      <c r="U175" s="1855"/>
      <c r="V175" s="1855"/>
      <c r="W175" s="4" t="s">
        <v>259</v>
      </c>
      <c r="X175" s="1861"/>
      <c r="Y175" s="1861"/>
      <c r="Z175" s="35"/>
      <c r="AC175" s="35"/>
      <c r="AD175" s="35"/>
      <c r="AE175" s="35"/>
      <c r="AF175" s="35"/>
      <c r="AH175" s="35"/>
      <c r="AJ175" s="3"/>
      <c r="AK175" s="3"/>
      <c r="AL175" s="3"/>
      <c r="BN175" s="47" t="s">
        <v>661</v>
      </c>
      <c r="BT175" s="16" t="s">
        <v>448</v>
      </c>
    </row>
    <row r="176" spans="1:72" ht="12.75">
      <c r="A176" s="35"/>
      <c r="C176" s="54"/>
      <c r="D176" s="35" t="s">
        <v>307</v>
      </c>
      <c r="E176" s="35"/>
      <c r="F176" s="35"/>
      <c r="G176" s="35"/>
      <c r="H176" s="35"/>
      <c r="I176" s="35"/>
      <c r="J176" s="35"/>
      <c r="K176" s="35"/>
      <c r="L176" s="35"/>
      <c r="M176" s="35"/>
      <c r="N176" s="35"/>
      <c r="O176" s="35"/>
      <c r="S176" s="35"/>
      <c r="T176" s="3"/>
      <c r="U176" s="1694" t="s">
        <v>531</v>
      </c>
      <c r="V176" s="1694"/>
      <c r="W176" s="3"/>
      <c r="X176" s="3"/>
      <c r="Y176" s="3"/>
      <c r="AD176" s="35"/>
      <c r="AF176" s="35"/>
      <c r="AH176" s="35"/>
      <c r="AJ176" s="3"/>
      <c r="AK176" s="3"/>
      <c r="AL176" s="3"/>
      <c r="BN176" s="47" t="s">
        <v>663</v>
      </c>
      <c r="BT176" s="16" t="s">
        <v>449</v>
      </c>
    </row>
    <row r="177" spans="1:72" ht="12.75">
      <c r="A177" s="35"/>
      <c r="C177" s="54"/>
      <c r="D177" s="595" t="s">
        <v>1364</v>
      </c>
      <c r="AD177" s="35"/>
      <c r="AF177" s="35"/>
      <c r="AH177" s="35"/>
      <c r="AJ177" s="3"/>
      <c r="AK177" s="3"/>
      <c r="AL177" s="3"/>
      <c r="BN177" s="47" t="s">
        <v>664</v>
      </c>
      <c r="BT177" s="16" t="s">
        <v>450</v>
      </c>
    </row>
    <row r="178" spans="1:72" ht="12.75">
      <c r="A178" s="35"/>
      <c r="C178" s="54"/>
      <c r="E178" s="780" t="s">
        <v>257</v>
      </c>
      <c r="F178" s="596"/>
      <c r="G178" s="780"/>
      <c r="H178" s="780" t="s">
        <v>258</v>
      </c>
      <c r="I178" s="596"/>
      <c r="J178" s="2012"/>
      <c r="K178" s="2012"/>
      <c r="L178" s="779" t="s">
        <v>259</v>
      </c>
      <c r="M178" s="1868"/>
      <c r="N178" s="1868"/>
      <c r="O178" s="596"/>
      <c r="P178" s="596"/>
      <c r="Q178" s="596"/>
      <c r="R178" s="596"/>
      <c r="U178" s="741" t="s">
        <v>1365</v>
      </c>
      <c r="V178" s="596"/>
      <c r="W178" s="780"/>
      <c r="X178" s="780"/>
      <c r="Y178" s="780"/>
      <c r="Z178" s="780"/>
      <c r="AA178" s="780"/>
      <c r="AB178" s="780"/>
      <c r="AD178" s="2013"/>
      <c r="AE178" s="2013"/>
      <c r="AF178" s="2013"/>
      <c r="AG178" s="2013"/>
      <c r="AH178" s="2013"/>
      <c r="AJ178" s="3"/>
      <c r="AK178" s="3"/>
      <c r="AL178" s="3"/>
      <c r="BN178" s="47" t="s">
        <v>665</v>
      </c>
      <c r="BT178" s="16" t="s">
        <v>451</v>
      </c>
    </row>
    <row r="179" spans="1:72" ht="12.75">
      <c r="A179" s="35"/>
      <c r="C179" s="54"/>
      <c r="AE179" s="35"/>
      <c r="AJ179" s="3"/>
      <c r="AK179" s="3"/>
      <c r="AL179" s="3"/>
      <c r="BN179" s="47" t="s">
        <v>666</v>
      </c>
      <c r="BT179" s="16" t="s">
        <v>452</v>
      </c>
    </row>
    <row r="180" spans="1:72" ht="12.75">
      <c r="A180" s="35"/>
      <c r="C180" s="55"/>
      <c r="D180" s="3" t="s">
        <v>605</v>
      </c>
      <c r="O180" s="596"/>
      <c r="P180" s="780"/>
      <c r="Q180" s="596"/>
      <c r="R180" s="596"/>
      <c r="Y180" s="1694" t="s">
        <v>531</v>
      </c>
      <c r="Z180" s="1847"/>
      <c r="AE180" s="35"/>
      <c r="AJ180" s="3"/>
      <c r="AK180" s="3"/>
      <c r="AL180" s="3"/>
      <c r="BN180" s="47" t="s">
        <v>668</v>
      </c>
      <c r="BT180" s="16" t="s">
        <v>453</v>
      </c>
    </row>
    <row r="181" spans="1:72" ht="12.75">
      <c r="A181" s="35"/>
      <c r="C181" s="55"/>
      <c r="D181" s="57"/>
      <c r="E181" s="595" t="s">
        <v>1363</v>
      </c>
      <c r="R181" s="596"/>
      <c r="Z181" s="35"/>
      <c r="AA181" s="35"/>
      <c r="AE181" s="35"/>
      <c r="AF181" s="35"/>
      <c r="AH181" s="35"/>
      <c r="AJ181" s="3"/>
      <c r="AK181" s="3"/>
      <c r="AL181" s="3"/>
      <c r="BN181" s="47" t="s">
        <v>669</v>
      </c>
      <c r="BT181" s="16" t="s">
        <v>454</v>
      </c>
    </row>
    <row r="182" spans="1:72" ht="12.75">
      <c r="A182" s="35"/>
      <c r="C182" s="55"/>
      <c r="D182" s="56"/>
      <c r="E182" s="35"/>
      <c r="AJ182" s="3"/>
      <c r="AK182" s="3"/>
      <c r="AL182" s="3"/>
      <c r="BN182" s="47" t="s">
        <v>670</v>
      </c>
      <c r="BT182" s="16" t="s">
        <v>455</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632</v>
      </c>
      <c r="BT183" s="16" t="s">
        <v>456</v>
      </c>
    </row>
    <row r="184" spans="1:72" ht="12.75">
      <c r="A184" s="35"/>
      <c r="C184" s="58"/>
      <c r="D184" s="35" t="s">
        <v>10</v>
      </c>
      <c r="E184" s="35"/>
      <c r="F184" s="35"/>
      <c r="G184" s="35"/>
      <c r="H184" s="35"/>
      <c r="I184" s="1850" t="str">
        <f>H17</f>
        <v xml:space="preserve">Avalon Commons - Phase I </v>
      </c>
      <c r="J184" s="1850"/>
      <c r="K184" s="1850"/>
      <c r="L184" s="1850"/>
      <c r="M184" s="1850"/>
      <c r="N184" s="1850"/>
      <c r="O184" s="1850"/>
      <c r="P184" s="1850"/>
      <c r="Q184" s="1850"/>
      <c r="R184" s="1850"/>
      <c r="S184" s="1850"/>
      <c r="T184" s="1850"/>
      <c r="U184" s="1850"/>
      <c r="V184" s="1850"/>
      <c r="W184" s="1850"/>
      <c r="X184" s="1850"/>
      <c r="Y184" s="1850"/>
      <c r="Z184" s="1850"/>
      <c r="AA184" s="1850"/>
      <c r="AB184" s="1850"/>
      <c r="AC184" s="1850"/>
      <c r="AD184" s="1850"/>
      <c r="AE184" s="1850"/>
      <c r="AF184" s="35"/>
      <c r="AH184" s="35"/>
      <c r="AJ184" s="3"/>
      <c r="AK184" s="3"/>
      <c r="AL184" s="3"/>
      <c r="BC184" s="35" t="s">
        <v>132</v>
      </c>
      <c r="BN184" s="47" t="s">
        <v>634</v>
      </c>
      <c r="BT184" s="16" t="s">
        <v>457</v>
      </c>
    </row>
    <row r="185" spans="1:72" ht="12.75">
      <c r="A185" s="35"/>
      <c r="C185" s="58"/>
      <c r="D185" s="35" t="s">
        <v>478</v>
      </c>
      <c r="E185" s="35"/>
      <c r="F185" s="35"/>
      <c r="G185" s="35"/>
      <c r="H185" s="35"/>
      <c r="I185" s="1696" t="s">
        <v>2379</v>
      </c>
      <c r="J185" s="1696"/>
      <c r="K185" s="1696"/>
      <c r="L185" s="1696"/>
      <c r="M185" s="1696"/>
      <c r="N185" s="1696"/>
      <c r="O185" s="1696"/>
      <c r="P185" s="1696"/>
      <c r="Q185" s="1696"/>
      <c r="R185" s="1696"/>
      <c r="S185" s="1696"/>
      <c r="T185" s="1696"/>
      <c r="U185" s="1696"/>
      <c r="V185" s="1696"/>
      <c r="W185" s="1696"/>
      <c r="X185" s="1696"/>
      <c r="Y185" s="1696"/>
      <c r="Z185" s="1696"/>
      <c r="AA185" s="1696"/>
      <c r="AB185" s="1696"/>
      <c r="AC185" s="1696"/>
      <c r="AD185" s="1696"/>
      <c r="AE185" s="1696"/>
      <c r="AF185" s="35"/>
      <c r="AH185" s="35"/>
      <c r="AJ185" s="3"/>
      <c r="AK185" s="3"/>
      <c r="AL185" s="3"/>
      <c r="BC185" s="326" t="s">
        <v>133</v>
      </c>
      <c r="BN185" s="47" t="s">
        <v>635</v>
      </c>
      <c r="BT185" s="16" t="s">
        <v>921</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636</v>
      </c>
      <c r="BT186" s="16" t="s">
        <v>922</v>
      </c>
    </row>
    <row r="187" spans="1:72" ht="12.75" customHeight="1">
      <c r="A187" s="35"/>
      <c r="C187" s="58"/>
      <c r="D187" s="35"/>
      <c r="E187" s="2014"/>
      <c r="F187" s="2014"/>
      <c r="G187" s="2014"/>
      <c r="H187" s="2014"/>
      <c r="I187" s="2014"/>
      <c r="J187" s="2014"/>
      <c r="K187" s="2014"/>
      <c r="L187" s="2014"/>
      <c r="M187" s="2014"/>
      <c r="N187" s="2014"/>
      <c r="O187" s="2014"/>
      <c r="P187" s="2014"/>
      <c r="Q187" s="2014"/>
      <c r="R187" s="2014"/>
      <c r="S187" s="2014"/>
      <c r="T187" s="2014"/>
      <c r="U187" s="2014"/>
      <c r="V187" s="2014"/>
      <c r="W187" s="2014"/>
      <c r="X187" s="2014"/>
      <c r="Y187" s="2014"/>
      <c r="Z187" s="2014"/>
      <c r="AA187" s="2014"/>
      <c r="AB187" s="2014"/>
      <c r="AC187" s="2014"/>
      <c r="AD187" s="2014"/>
      <c r="AE187" s="2014"/>
      <c r="AF187" s="35"/>
      <c r="AH187" s="35"/>
      <c r="AJ187" s="3"/>
      <c r="AK187" s="3"/>
      <c r="AL187" s="3"/>
      <c r="BN187" s="47" t="s">
        <v>637</v>
      </c>
      <c r="BT187" s="16" t="s">
        <v>923</v>
      </c>
    </row>
    <row r="188" spans="1:72" ht="12.75">
      <c r="A188" s="35"/>
      <c r="C188" s="58"/>
      <c r="D188" s="35"/>
      <c r="E188" s="2015"/>
      <c r="F188" s="2015"/>
      <c r="G188" s="2015"/>
      <c r="H188" s="2015"/>
      <c r="I188" s="2015"/>
      <c r="J188" s="2015"/>
      <c r="K188" s="2015"/>
      <c r="L188" s="2015"/>
      <c r="M188" s="2015"/>
      <c r="N188" s="2015"/>
      <c r="O188" s="2015"/>
      <c r="P188" s="2015"/>
      <c r="Q188" s="2015"/>
      <c r="R188" s="2015"/>
      <c r="S188" s="2015"/>
      <c r="T188" s="2015"/>
      <c r="U188" s="2015"/>
      <c r="V188" s="2015"/>
      <c r="W188" s="2015"/>
      <c r="X188" s="2015"/>
      <c r="Y188" s="2015"/>
      <c r="Z188" s="2015"/>
      <c r="AA188" s="2015"/>
      <c r="AB188" s="2015"/>
      <c r="AC188" s="2015"/>
      <c r="AD188" s="2015"/>
      <c r="AE188" s="2015"/>
      <c r="AF188" s="35"/>
      <c r="AH188" s="35"/>
      <c r="AJ188" s="3"/>
      <c r="AK188" s="3"/>
      <c r="AL188" s="3"/>
      <c r="BN188" s="47" t="s">
        <v>639</v>
      </c>
      <c r="BT188" s="16" t="s">
        <v>924</v>
      </c>
    </row>
    <row r="189" spans="1:72" ht="12.75">
      <c r="A189" s="35"/>
      <c r="C189" s="58"/>
      <c r="D189" s="35" t="s">
        <v>479</v>
      </c>
      <c r="E189" s="35"/>
      <c r="I189" s="1697" t="s">
        <v>439</v>
      </c>
      <c r="J189" s="1697"/>
      <c r="K189" s="1697"/>
      <c r="L189" s="1697"/>
      <c r="M189" s="1697"/>
      <c r="N189" s="1697"/>
      <c r="O189" s="1697"/>
      <c r="P189" s="1697"/>
      <c r="Q189" s="35" t="s">
        <v>481</v>
      </c>
      <c r="T189" s="1697" t="s">
        <v>439</v>
      </c>
      <c r="U189" s="1697"/>
      <c r="V189" s="1697"/>
      <c r="W189" s="1697"/>
      <c r="X189" s="1697"/>
      <c r="Y189" s="1697"/>
      <c r="Z189" s="1697"/>
      <c r="AA189" s="1697"/>
      <c r="AB189" s="1697"/>
      <c r="AC189" s="1697"/>
      <c r="AD189" s="1697"/>
      <c r="AE189" s="1697"/>
      <c r="AH189" s="35"/>
      <c r="AJ189" s="3"/>
      <c r="AK189" s="3"/>
      <c r="AL189" s="3"/>
      <c r="BC189" s="16" t="s">
        <v>86</v>
      </c>
      <c r="BH189" s="72" t="s">
        <v>136</v>
      </c>
      <c r="BN189" s="47" t="s">
        <v>640</v>
      </c>
      <c r="BT189" s="16" t="s">
        <v>120</v>
      </c>
    </row>
    <row r="190" spans="1:72" ht="12.75">
      <c r="A190" s="35"/>
      <c r="C190" s="59"/>
      <c r="D190" s="35" t="s">
        <v>482</v>
      </c>
      <c r="E190" s="35"/>
      <c r="F190" s="35"/>
      <c r="G190" s="35"/>
      <c r="I190" s="1696">
        <v>93720</v>
      </c>
      <c r="J190" s="1696"/>
      <c r="K190" s="1696"/>
      <c r="L190" s="1696"/>
      <c r="M190" s="1696"/>
      <c r="N190" s="1696"/>
      <c r="O190" s="35" t="s">
        <v>484</v>
      </c>
      <c r="P190" s="35"/>
      <c r="Q190" s="35"/>
      <c r="R190" s="35"/>
      <c r="S190" s="35"/>
      <c r="T190" s="1856">
        <v>55.09</v>
      </c>
      <c r="U190" s="1856"/>
      <c r="V190" s="1856"/>
      <c r="W190" s="1856"/>
      <c r="X190" s="1856"/>
      <c r="Y190" s="1856"/>
      <c r="Z190" s="1856"/>
      <c r="AA190" s="1856"/>
      <c r="AB190" s="1856"/>
      <c r="AC190" s="1856"/>
      <c r="AD190" s="1856"/>
      <c r="AE190" s="1856"/>
      <c r="AF190" s="35"/>
      <c r="AH190" s="35"/>
      <c r="AJ190" s="3"/>
      <c r="AK190" s="3"/>
      <c r="AL190" s="3"/>
      <c r="BC190" s="16" t="s">
        <v>729</v>
      </c>
      <c r="BH190" s="16" t="s">
        <v>729</v>
      </c>
      <c r="BN190" s="47" t="s">
        <v>470</v>
      </c>
      <c r="BT190" s="16" t="s">
        <v>121</v>
      </c>
    </row>
    <row r="191" spans="1:72" ht="12.75">
      <c r="A191" s="35"/>
      <c r="C191" s="59"/>
      <c r="D191" s="35" t="s">
        <v>92</v>
      </c>
      <c r="E191" s="35"/>
      <c r="F191" s="35"/>
      <c r="G191" s="35"/>
      <c r="H191" s="35"/>
      <c r="I191" s="35"/>
      <c r="J191" s="35"/>
      <c r="K191" s="35"/>
      <c r="L191" s="35"/>
      <c r="M191" s="35"/>
      <c r="N191" s="2014" t="s">
        <v>2526</v>
      </c>
      <c r="O191" s="2014"/>
      <c r="P191" s="2014"/>
      <c r="Q191" s="2014"/>
      <c r="R191" s="2014"/>
      <c r="S191" s="2014"/>
      <c r="T191" s="2014"/>
      <c r="U191" s="2014"/>
      <c r="V191" s="2014"/>
      <c r="W191" s="2014"/>
      <c r="X191" s="2014"/>
      <c r="Y191" s="2014"/>
      <c r="Z191" s="2014"/>
      <c r="AA191" s="2014"/>
      <c r="AB191" s="2014"/>
      <c r="AC191" s="2014"/>
      <c r="AD191" s="2014"/>
      <c r="AE191" s="2014"/>
      <c r="AF191" s="35"/>
      <c r="AH191" s="35"/>
      <c r="AJ191" s="3"/>
      <c r="AK191" s="3"/>
      <c r="AL191" s="3"/>
      <c r="BC191" s="16" t="s">
        <v>1584</v>
      </c>
      <c r="BH191" s="16" t="s">
        <v>1584</v>
      </c>
      <c r="BN191" s="47" t="s">
        <v>642</v>
      </c>
      <c r="BT191" s="16" t="s">
        <v>122</v>
      </c>
    </row>
    <row r="192" spans="1:72" ht="12.75">
      <c r="A192" s="35"/>
      <c r="C192" s="59"/>
      <c r="D192" s="35"/>
      <c r="E192" s="35"/>
      <c r="F192" s="35"/>
      <c r="G192" s="35"/>
      <c r="H192" s="35"/>
      <c r="I192" s="35"/>
      <c r="J192" s="35"/>
      <c r="K192" s="35"/>
      <c r="L192" s="35"/>
      <c r="M192" s="316"/>
      <c r="N192" s="2015"/>
      <c r="O192" s="2015"/>
      <c r="P192" s="2015"/>
      <c r="Q192" s="2015"/>
      <c r="R192" s="2015"/>
      <c r="S192" s="2015"/>
      <c r="T192" s="2015"/>
      <c r="U192" s="2015"/>
      <c r="V192" s="2015"/>
      <c r="W192" s="2015"/>
      <c r="X192" s="2015"/>
      <c r="Y192" s="2015"/>
      <c r="Z192" s="2015"/>
      <c r="AA192" s="2015"/>
      <c r="AB192" s="2015"/>
      <c r="AC192" s="2015"/>
      <c r="AD192" s="2015"/>
      <c r="AE192" s="2015"/>
      <c r="AF192" s="35"/>
      <c r="AH192" s="35"/>
      <c r="AJ192" s="3"/>
      <c r="AK192" s="3"/>
      <c r="AL192" s="3"/>
      <c r="BC192" s="16" t="s">
        <v>730</v>
      </c>
      <c r="BH192" s="8" t="s">
        <v>1591</v>
      </c>
      <c r="BN192" s="47" t="s">
        <v>643</v>
      </c>
      <c r="BT192" s="16" t="s">
        <v>123</v>
      </c>
    </row>
    <row r="193" spans="1:73" ht="12.75">
      <c r="A193" s="35"/>
      <c r="C193" s="59"/>
      <c r="D193" s="3" t="s">
        <v>485</v>
      </c>
      <c r="E193" s="3"/>
      <c r="F193" s="3"/>
      <c r="G193" s="3"/>
      <c r="H193" s="3"/>
      <c r="I193" s="3"/>
      <c r="J193" s="3"/>
      <c r="K193" s="3"/>
      <c r="L193" s="3"/>
      <c r="M193" s="3"/>
      <c r="N193" s="35"/>
      <c r="O193" s="35"/>
      <c r="P193" s="35"/>
      <c r="Q193" s="35"/>
      <c r="R193" s="35"/>
      <c r="T193" s="1694" t="s">
        <v>119</v>
      </c>
      <c r="U193" s="1694"/>
      <c r="W193" s="72" t="s">
        <v>2155</v>
      </c>
      <c r="AA193" s="1854">
        <v>2021</v>
      </c>
      <c r="AB193" s="1854"/>
      <c r="AC193" s="1854"/>
      <c r="AJ193" s="3"/>
      <c r="AK193" s="3"/>
      <c r="AL193" s="3"/>
      <c r="BC193" s="16" t="s">
        <v>624</v>
      </c>
      <c r="BH193" s="8" t="s">
        <v>1592</v>
      </c>
      <c r="BN193" s="47" t="s">
        <v>644</v>
      </c>
      <c r="BT193" s="16" t="s">
        <v>124</v>
      </c>
    </row>
    <row r="194" spans="1:73" ht="12.75">
      <c r="A194" s="35"/>
      <c r="C194" s="59"/>
      <c r="D194" s="3" t="s">
        <v>130</v>
      </c>
      <c r="E194" s="3"/>
      <c r="F194" s="3"/>
      <c r="G194" s="3"/>
      <c r="H194" s="3"/>
      <c r="I194" s="3"/>
      <c r="J194" s="3"/>
      <c r="K194" s="3"/>
      <c r="L194" s="3"/>
      <c r="M194" s="3"/>
      <c r="N194" s="35"/>
      <c r="O194" s="35"/>
      <c r="P194" s="35"/>
      <c r="Q194" s="35"/>
      <c r="R194" s="35"/>
      <c r="T194" s="1729" t="s">
        <v>531</v>
      </c>
      <c r="U194" s="1729"/>
      <c r="W194" s="35" t="s">
        <v>68</v>
      </c>
      <c r="X194" s="35"/>
      <c r="Y194" s="35"/>
      <c r="Z194" s="35"/>
      <c r="AA194" s="35"/>
      <c r="AB194" s="35"/>
      <c r="AC194" s="35"/>
      <c r="AD194" s="35"/>
      <c r="AE194" s="35"/>
      <c r="AF194" s="35"/>
      <c r="AG194" s="35"/>
      <c r="AH194" s="35"/>
      <c r="AI194" s="1694" t="s">
        <v>531</v>
      </c>
      <c r="AJ194" s="1694"/>
      <c r="AK194" s="3"/>
      <c r="AL194" s="3"/>
      <c r="AX194" s="8" t="s">
        <v>136</v>
      </c>
      <c r="BC194" s="16" t="s">
        <v>681</v>
      </c>
      <c r="BN194" s="47" t="s">
        <v>825</v>
      </c>
      <c r="BT194" s="16" t="s">
        <v>125</v>
      </c>
    </row>
    <row r="195" spans="1:73" ht="12.75">
      <c r="A195" s="35"/>
      <c r="C195" s="59"/>
      <c r="D195" s="1103" t="s">
        <v>1958</v>
      </c>
      <c r="E195" s="3"/>
      <c r="F195" s="3"/>
      <c r="G195" s="3"/>
      <c r="H195" s="3"/>
      <c r="I195" s="3"/>
      <c r="J195" s="3"/>
      <c r="K195" s="3"/>
      <c r="L195" s="3"/>
      <c r="M195" s="3"/>
      <c r="N195" s="35"/>
      <c r="O195" s="35"/>
      <c r="P195" s="35"/>
      <c r="Q195" s="35"/>
      <c r="R195" s="35"/>
      <c r="T195" s="1729" t="s">
        <v>531</v>
      </c>
      <c r="U195" s="1729"/>
      <c r="X195" s="1358" t="s">
        <v>2177</v>
      </c>
      <c r="AJ195" s="3"/>
      <c r="AK195" s="3"/>
      <c r="AL195" s="3"/>
      <c r="AX195" s="8" t="s">
        <v>1275</v>
      </c>
      <c r="BN195" s="47" t="s">
        <v>826</v>
      </c>
      <c r="BT195" s="16" t="s">
        <v>126</v>
      </c>
    </row>
    <row r="196" spans="1:73" ht="12.75">
      <c r="A196" s="35"/>
      <c r="C196" s="59"/>
      <c r="D196" s="74" t="s">
        <v>1281</v>
      </c>
      <c r="E196" s="35"/>
      <c r="F196" s="35"/>
      <c r="G196" s="35"/>
      <c r="H196" s="35"/>
      <c r="I196" s="35"/>
      <c r="J196" s="35"/>
      <c r="K196" s="35"/>
      <c r="L196" s="35"/>
      <c r="M196" s="35"/>
      <c r="N196" s="35"/>
      <c r="O196" s="35"/>
      <c r="P196" s="35"/>
      <c r="Q196" s="35"/>
      <c r="R196" s="35"/>
      <c r="T196" s="1729" t="s">
        <v>531</v>
      </c>
      <c r="U196" s="1729"/>
      <c r="W196" s="3"/>
      <c r="X196" s="3"/>
      <c r="Y196" s="3"/>
      <c r="Z196" s="3"/>
      <c r="AA196" s="3"/>
      <c r="AB196" s="3"/>
      <c r="AC196" s="3"/>
      <c r="AD196" s="3"/>
      <c r="AE196" s="3"/>
      <c r="AF196" s="3"/>
      <c r="AG196" s="3"/>
      <c r="AH196" s="3"/>
      <c r="AI196" s="3"/>
      <c r="AJ196" s="3"/>
      <c r="AK196" s="1853"/>
      <c r="AL196" s="1853"/>
      <c r="AX196" s="8" t="s">
        <v>1276</v>
      </c>
      <c r="BN196" s="47" t="s">
        <v>827</v>
      </c>
      <c r="BT196" s="16" t="s">
        <v>127</v>
      </c>
    </row>
    <row r="197" spans="1:73" ht="12.75">
      <c r="A197" s="35"/>
      <c r="C197" s="59"/>
      <c r="D197" s="72" t="s">
        <v>2156</v>
      </c>
      <c r="T197" s="1694" t="s">
        <v>531</v>
      </c>
      <c r="U197" s="1694"/>
      <c r="AJ197" s="3"/>
      <c r="AK197" s="3"/>
      <c r="AL197" s="3"/>
      <c r="AX197" s="8" t="s">
        <v>1277</v>
      </c>
      <c r="BC197" s="16" t="s">
        <v>86</v>
      </c>
      <c r="BN197" s="47" t="s">
        <v>828</v>
      </c>
      <c r="BT197" s="16" t="s">
        <v>128</v>
      </c>
    </row>
    <row r="198" spans="1:73" ht="12.75">
      <c r="A198" s="35"/>
      <c r="C198" s="59"/>
      <c r="D198" s="1103" t="s">
        <v>2186</v>
      </c>
      <c r="W198" s="1848" t="s">
        <v>531</v>
      </c>
      <c r="X198" s="1694"/>
      <c r="AG198" s="35"/>
      <c r="AH198" s="3"/>
      <c r="AI198" s="3"/>
      <c r="AJ198" s="3"/>
      <c r="AK198" s="3"/>
      <c r="AL198" s="3"/>
      <c r="AX198" s="8" t="s">
        <v>1278</v>
      </c>
      <c r="BC198" s="644" t="s">
        <v>1222</v>
      </c>
      <c r="BN198" s="47" t="s">
        <v>829</v>
      </c>
      <c r="BT198" s="16" t="s">
        <v>885</v>
      </c>
    </row>
    <row r="199" spans="1:73" ht="12.75">
      <c r="A199" s="35"/>
      <c r="C199" s="59"/>
      <c r="D199" s="1103" t="s">
        <v>2331</v>
      </c>
      <c r="L199" s="1507"/>
      <c r="M199" s="1507"/>
      <c r="N199" s="1507"/>
      <c r="O199" s="1507"/>
      <c r="P199" s="1507"/>
      <c r="Q199" s="1507"/>
      <c r="R199" s="1852" t="s">
        <v>2323</v>
      </c>
      <c r="S199" s="1852"/>
      <c r="T199" s="1852"/>
      <c r="U199" s="1852"/>
      <c r="V199" s="1852"/>
      <c r="W199" s="1852"/>
      <c r="X199" s="1852"/>
      <c r="Y199" s="1852"/>
      <c r="Z199" s="1852"/>
      <c r="AA199" s="1852"/>
      <c r="AB199" s="1852"/>
      <c r="AC199" s="35"/>
      <c r="AD199" s="35"/>
      <c r="AE199" s="35"/>
      <c r="AF199" s="35"/>
      <c r="AG199" s="35"/>
      <c r="AH199" s="390"/>
      <c r="AI199" s="390"/>
      <c r="AJ199" s="3"/>
      <c r="AK199" s="3"/>
      <c r="AL199" s="3"/>
      <c r="AX199" s="8" t="s">
        <v>1279</v>
      </c>
      <c r="BC199" s="288" t="s">
        <v>1223</v>
      </c>
      <c r="BN199" s="47" t="s">
        <v>830</v>
      </c>
      <c r="BO199" s="67"/>
      <c r="BP199" s="68"/>
      <c r="BQ199" s="68"/>
      <c r="BR199" s="68"/>
      <c r="BS199" s="68"/>
      <c r="BT199" s="68" t="s">
        <v>886</v>
      </c>
    </row>
    <row r="200" spans="1:73" ht="12.75">
      <c r="A200" s="35"/>
      <c r="C200" s="59"/>
      <c r="D200" s="3" t="s">
        <v>620</v>
      </c>
      <c r="AB200" s="35"/>
      <c r="AC200" s="35"/>
      <c r="AE200" s="35"/>
      <c r="AF200" s="35"/>
      <c r="AG200" s="35"/>
      <c r="AH200" s="390"/>
      <c r="AI200" s="390"/>
      <c r="AJ200" s="3"/>
      <c r="AK200" s="3"/>
      <c r="AL200" s="3"/>
      <c r="AX200" s="72" t="s">
        <v>2368</v>
      </c>
      <c r="BC200" s="1080" t="s">
        <v>2369</v>
      </c>
      <c r="BN200" s="1541" t="s">
        <v>724</v>
      </c>
      <c r="BO200" s="65"/>
      <c r="BP200" s="68"/>
      <c r="BQ200" s="68"/>
      <c r="BR200" s="68"/>
      <c r="BS200" s="68"/>
      <c r="BT200" s="68" t="s">
        <v>887</v>
      </c>
    </row>
    <row r="201" spans="1:73" ht="12.75" customHeight="1">
      <c r="A201" s="35"/>
      <c r="C201" s="59"/>
      <c r="G201" s="1506" t="s">
        <v>2329</v>
      </c>
      <c r="Q201" s="35"/>
      <c r="R201" s="35"/>
      <c r="T201" s="35"/>
      <c r="U201" s="35"/>
      <c r="V201" s="35"/>
      <c r="W201" s="35"/>
      <c r="Y201" s="35"/>
      <c r="AA201" s="3"/>
      <c r="AB201" s="35"/>
      <c r="AC201" s="35"/>
      <c r="AD201" s="35"/>
      <c r="AE201" s="35"/>
      <c r="AF201" s="35"/>
      <c r="AG201" s="35"/>
      <c r="AI201" s="35"/>
      <c r="AJ201" s="3"/>
      <c r="AK201" s="3"/>
      <c r="AL201" s="3"/>
      <c r="AX201" s="8" t="s">
        <v>1280</v>
      </c>
      <c r="BC201" s="272" t="s">
        <v>945</v>
      </c>
      <c r="BN201" s="47" t="s">
        <v>725</v>
      </c>
      <c r="BO201" s="65"/>
      <c r="BP201" s="68"/>
      <c r="BQ201" s="68"/>
      <c r="BR201" s="68"/>
      <c r="BS201" s="69"/>
      <c r="BT201" s="69" t="s">
        <v>888</v>
      </c>
    </row>
    <row r="202" spans="1:73" ht="12.75">
      <c r="A202" s="48" t="s">
        <v>131</v>
      </c>
      <c r="C202" s="48" t="s">
        <v>1274</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624</v>
      </c>
      <c r="BC202" s="272" t="s">
        <v>1604</v>
      </c>
      <c r="BN202" s="47" t="s">
        <v>726</v>
      </c>
      <c r="BT202" s="69" t="s">
        <v>889</v>
      </c>
      <c r="BU202" s="65"/>
    </row>
    <row r="203" spans="1:73" ht="12.75">
      <c r="A203" s="35"/>
      <c r="C203" s="35"/>
      <c r="D203" s="1850" t="str">
        <f>IF(AND(M25&gt;0,M27&gt;0),"Federal and State","Federal Only")</f>
        <v>Federal Only</v>
      </c>
      <c r="E203" s="1850"/>
      <c r="F203" s="1850"/>
      <c r="G203" s="1850"/>
      <c r="H203" s="1850"/>
      <c r="I203" s="1850"/>
      <c r="J203" s="1850"/>
      <c r="K203" s="1850"/>
      <c r="L203" s="1850"/>
      <c r="M203" s="1850"/>
      <c r="P203" s="2018">
        <f>M25</f>
        <v>2500000</v>
      </c>
      <c r="Q203" s="2018"/>
      <c r="R203" s="2018"/>
      <c r="S203" s="2018"/>
      <c r="T203" s="2018"/>
      <c r="U203" s="2018"/>
      <c r="V203" s="35"/>
      <c r="W203" s="2018">
        <f>M27</f>
        <v>0</v>
      </c>
      <c r="X203" s="2018"/>
      <c r="Y203" s="2018"/>
      <c r="Z203" s="2018"/>
      <c r="AA203" s="2018"/>
      <c r="AB203" s="2018"/>
      <c r="AD203" s="35"/>
      <c r="AE203" s="35"/>
      <c r="AF203" s="35"/>
      <c r="AG203" s="35"/>
      <c r="AH203" s="35"/>
      <c r="AI203" s="35"/>
      <c r="AJ203" s="3"/>
      <c r="AK203" s="3"/>
      <c r="AL203" s="3"/>
      <c r="AV203" s="16" t="s">
        <v>136</v>
      </c>
      <c r="AX203" s="8" t="s">
        <v>730</v>
      </c>
      <c r="BC203" s="3" t="s">
        <v>1602</v>
      </c>
      <c r="BN203" s="47" t="s">
        <v>727</v>
      </c>
      <c r="BT203" s="69" t="s">
        <v>890</v>
      </c>
      <c r="BU203" s="65"/>
    </row>
    <row r="204" spans="1:73" ht="12.75">
      <c r="A204" s="35"/>
      <c r="C204" s="58"/>
      <c r="E204" s="35"/>
      <c r="F204" s="35"/>
      <c r="G204" s="35"/>
      <c r="P204" s="2007" t="s">
        <v>192</v>
      </c>
      <c r="Q204" s="2007"/>
      <c r="R204" s="2007"/>
      <c r="S204" s="2007"/>
      <c r="T204" s="2007"/>
      <c r="U204" s="2007"/>
      <c r="V204" s="60"/>
      <c r="W204" s="2007" t="s">
        <v>193</v>
      </c>
      <c r="X204" s="2007"/>
      <c r="Y204" s="2007"/>
      <c r="Z204" s="2007"/>
      <c r="AA204" s="2007"/>
      <c r="AB204" s="2007"/>
      <c r="AD204" s="35"/>
      <c r="AE204" s="35"/>
      <c r="AF204" s="35"/>
      <c r="AG204" s="35"/>
      <c r="AH204" s="35"/>
      <c r="AI204" s="35"/>
      <c r="AJ204" s="3"/>
      <c r="AK204" s="3"/>
      <c r="AL204" s="3"/>
      <c r="AV204" s="16" t="s">
        <v>119</v>
      </c>
      <c r="AX204" s="8" t="s">
        <v>1530</v>
      </c>
      <c r="BC204" s="272" t="s">
        <v>944</v>
      </c>
      <c r="BN204" s="47" t="s">
        <v>728</v>
      </c>
      <c r="BT204" s="69" t="s">
        <v>891</v>
      </c>
      <c r="BU204" s="70"/>
    </row>
    <row r="205" spans="1:73" ht="13.5" thickBot="1">
      <c r="A205" s="35"/>
      <c r="C205" s="35"/>
      <c r="D205" s="733"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1001</v>
      </c>
      <c r="BT205" s="69" t="s">
        <v>927</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7"/>
      <c r="Y206" s="1368"/>
      <c r="Z206" s="1368"/>
      <c r="AA206" s="1368"/>
      <c r="AB206" s="1368"/>
      <c r="AC206" s="1368"/>
      <c r="AD206" s="1368"/>
      <c r="AE206" s="1368"/>
      <c r="AF206" s="1368"/>
      <c r="AG206" s="1368"/>
      <c r="AH206" s="1368"/>
      <c r="AI206" s="1368"/>
      <c r="AJ206" s="1368"/>
      <c r="AK206" s="1369"/>
      <c r="AL206" s="3"/>
      <c r="AX206" s="16" t="s">
        <v>86</v>
      </c>
      <c r="BC206" s="273" t="s">
        <v>1605</v>
      </c>
      <c r="BN206" s="47" t="s">
        <v>1002</v>
      </c>
      <c r="BT206" s="69" t="s">
        <v>892</v>
      </c>
    </row>
    <row r="207" spans="1:73" ht="12.75">
      <c r="A207" s="62" t="s">
        <v>134</v>
      </c>
      <c r="C207" s="62" t="s">
        <v>884</v>
      </c>
      <c r="D207" s="35"/>
      <c r="E207" s="35"/>
      <c r="F207" s="35"/>
      <c r="G207" s="35"/>
      <c r="H207" s="35"/>
      <c r="I207" s="35"/>
      <c r="J207" s="35"/>
      <c r="K207" s="35"/>
      <c r="L207" s="35"/>
      <c r="M207" s="35"/>
      <c r="N207" s="35"/>
      <c r="O207" s="35"/>
      <c r="P207" s="35"/>
      <c r="Q207" s="35"/>
      <c r="R207" s="35"/>
      <c r="S207" s="35"/>
      <c r="T207" s="35"/>
      <c r="U207" s="35"/>
      <c r="V207" s="35"/>
      <c r="W207" s="35"/>
      <c r="X207" s="1370"/>
      <c r="Y207" s="1534" t="s">
        <v>2358</v>
      </c>
      <c r="Z207" s="1371"/>
      <c r="AA207" s="1371"/>
      <c r="AB207" s="1371"/>
      <c r="AC207" s="1371"/>
      <c r="AD207" s="1371"/>
      <c r="AE207" s="1371"/>
      <c r="AF207" s="1371"/>
      <c r="AG207" s="1371"/>
      <c r="AH207" s="1371"/>
      <c r="AI207" s="1371"/>
      <c r="AJ207" s="1371"/>
      <c r="AK207" s="1372"/>
      <c r="AL207" s="3"/>
      <c r="AX207" s="16" t="s">
        <v>2323</v>
      </c>
      <c r="BC207" s="272" t="s">
        <v>1986</v>
      </c>
      <c r="BN207" s="47" t="s">
        <v>1</v>
      </c>
      <c r="BT207" s="69" t="s">
        <v>893</v>
      </c>
    </row>
    <row r="208" spans="1:73" ht="12.75">
      <c r="A208" s="35"/>
      <c r="C208" s="58"/>
      <c r="D208" s="1692" t="s">
        <v>2380</v>
      </c>
      <c r="E208" s="1692"/>
      <c r="F208" s="1692"/>
      <c r="G208" s="1692"/>
      <c r="H208" s="1692"/>
      <c r="I208" s="1692"/>
      <c r="J208" s="1692"/>
      <c r="K208" s="1692"/>
      <c r="L208" s="1692"/>
      <c r="M208" s="1692"/>
      <c r="N208" s="35"/>
      <c r="O208" s="35"/>
      <c r="P208" s="35"/>
      <c r="Q208" s="35"/>
      <c r="R208" s="35"/>
      <c r="S208" s="35"/>
      <c r="T208" s="35"/>
      <c r="U208" s="35"/>
      <c r="V208" s="35"/>
      <c r="W208" s="35"/>
      <c r="X208" s="1370"/>
      <c r="Y208" s="1535" t="s">
        <v>2360</v>
      </c>
      <c r="Z208" s="1371"/>
      <c r="AA208" s="1371"/>
      <c r="AB208" s="1371"/>
      <c r="AC208" s="1371"/>
      <c r="AD208" s="1371"/>
      <c r="AE208" s="1371"/>
      <c r="AF208" s="1371"/>
      <c r="AG208" s="1371"/>
      <c r="AH208" s="1371"/>
      <c r="AI208" s="1371"/>
      <c r="AJ208" s="1371"/>
      <c r="AK208" s="1372"/>
      <c r="AL208" s="3"/>
      <c r="AX208" s="16" t="s">
        <v>2324</v>
      </c>
      <c r="BC208" s="3" t="s">
        <v>1603</v>
      </c>
      <c r="BN208" s="47" t="s">
        <v>2</v>
      </c>
      <c r="BT208" s="69" t="s">
        <v>894</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70"/>
      <c r="Y209" s="1536" t="s">
        <v>2361</v>
      </c>
      <c r="Z209" s="1371"/>
      <c r="AA209" s="1371"/>
      <c r="AB209" s="1371"/>
      <c r="AC209" s="1371"/>
      <c r="AD209" s="1371"/>
      <c r="AE209" s="1371"/>
      <c r="AF209" s="1371"/>
      <c r="AG209" s="1371"/>
      <c r="AH209" s="1371"/>
      <c r="AI209" s="1371"/>
      <c r="AJ209" s="1371"/>
      <c r="AK209" s="1372"/>
      <c r="AL209" s="3"/>
      <c r="AX209" s="16" t="s">
        <v>2325</v>
      </c>
      <c r="BC209" s="272" t="s">
        <v>81</v>
      </c>
      <c r="BN209" s="47" t="s">
        <v>3</v>
      </c>
      <c r="BT209" s="69" t="s">
        <v>895</v>
      </c>
    </row>
    <row r="210" spans="1:72" ht="12.75">
      <c r="A210" s="63" t="s">
        <v>135</v>
      </c>
      <c r="C210" s="63" t="s">
        <v>1273</v>
      </c>
      <c r="X210" s="1370"/>
      <c r="Y210" s="1537" t="s">
        <v>2359</v>
      </c>
      <c r="Z210" s="1371"/>
      <c r="AA210" s="1371"/>
      <c r="AB210" s="1371"/>
      <c r="AC210" s="1371"/>
      <c r="AD210" s="1371"/>
      <c r="AE210" s="1371"/>
      <c r="AF210" s="1371"/>
      <c r="AG210" s="1371"/>
      <c r="AH210" s="1371"/>
      <c r="AI210" s="1371"/>
      <c r="AJ210" s="1371"/>
      <c r="AK210" s="1372"/>
      <c r="AL210" s="3"/>
      <c r="AX210" s="16" t="s">
        <v>2326</v>
      </c>
      <c r="BN210" s="47" t="s">
        <v>4</v>
      </c>
      <c r="BT210" s="69" t="s">
        <v>896</v>
      </c>
    </row>
    <row r="211" spans="1:72" ht="12.75">
      <c r="C211" s="58"/>
      <c r="D211" s="1692" t="s">
        <v>136</v>
      </c>
      <c r="E211" s="1692"/>
      <c r="F211" s="1692"/>
      <c r="G211" s="1692"/>
      <c r="H211" s="1692"/>
      <c r="I211" s="1692"/>
      <c r="J211" s="1692"/>
      <c r="K211" s="1692"/>
      <c r="L211" s="1692"/>
      <c r="M211" s="1692"/>
      <c r="N211" s="1692"/>
      <c r="O211" s="1692"/>
      <c r="P211" s="1692"/>
      <c r="X211" s="1370"/>
      <c r="Y211" s="1694" t="s">
        <v>119</v>
      </c>
      <c r="Z211" s="1694"/>
      <c r="AA211" s="1371"/>
      <c r="AB211" s="1371"/>
      <c r="AC211" s="1371"/>
      <c r="AD211" s="1371"/>
      <c r="AE211" s="1371"/>
      <c r="AF211" s="1371"/>
      <c r="AG211" s="1371"/>
      <c r="AH211" s="1371"/>
      <c r="AI211" s="1371"/>
      <c r="AJ211" s="1371"/>
      <c r="AK211" s="1372"/>
      <c r="AL211" s="3"/>
      <c r="AX211" s="16" t="s">
        <v>2327</v>
      </c>
      <c r="BN211" s="47" t="s">
        <v>21</v>
      </c>
      <c r="BT211" s="69" t="s">
        <v>22</v>
      </c>
    </row>
    <row r="212" spans="1:72" ht="13.5" thickBot="1">
      <c r="X212" s="1375"/>
      <c r="Y212" s="1373"/>
      <c r="Z212" s="1373"/>
      <c r="AA212" s="1373"/>
      <c r="AB212" s="1373"/>
      <c r="AC212" s="1373"/>
      <c r="AD212" s="1373"/>
      <c r="AE212" s="1373"/>
      <c r="AF212" s="1373"/>
      <c r="AG212" s="1373"/>
      <c r="AH212" s="1373"/>
      <c r="AI212" s="1373"/>
      <c r="AJ212" s="1373"/>
      <c r="AK212" s="1374"/>
      <c r="AL212" s="3"/>
      <c r="AX212" s="16" t="s">
        <v>2328</v>
      </c>
      <c r="BC212" s="748" t="s">
        <v>86</v>
      </c>
      <c r="BN212" s="47" t="s">
        <v>5</v>
      </c>
      <c r="BT212" s="69" t="s">
        <v>897</v>
      </c>
    </row>
    <row r="213" spans="1:72" ht="12.75">
      <c r="A213" s="63" t="s">
        <v>137</v>
      </c>
      <c r="C213" s="63" t="s">
        <v>1585</v>
      </c>
      <c r="AG213" s="3"/>
      <c r="AJ213" s="3"/>
      <c r="AK213" s="3"/>
      <c r="AL213" s="3"/>
      <c r="AX213" s="72" t="s">
        <v>2330</v>
      </c>
      <c r="BC213" s="16" t="s">
        <v>692</v>
      </c>
      <c r="BN213" s="47" t="s">
        <v>6</v>
      </c>
      <c r="BT213" s="69" t="s">
        <v>898</v>
      </c>
    </row>
    <row r="214" spans="1:72" ht="12.75">
      <c r="C214" s="58"/>
      <c r="D214" s="1692" t="s">
        <v>729</v>
      </c>
      <c r="E214" s="1692"/>
      <c r="F214" s="1692"/>
      <c r="G214" s="1692"/>
      <c r="H214" s="1692"/>
      <c r="I214" s="1692"/>
      <c r="J214" s="1692"/>
      <c r="K214" s="1692"/>
      <c r="L214" s="1692"/>
      <c r="M214" s="1692"/>
      <c r="N214" s="1692"/>
      <c r="O214" s="1692"/>
      <c r="P214" s="1692"/>
      <c r="Q214" s="1692"/>
      <c r="R214" s="1692"/>
      <c r="S214" s="1692"/>
      <c r="T214" s="1692"/>
      <c r="U214" s="1692"/>
      <c r="V214" s="1692"/>
      <c r="W214" s="1692"/>
      <c r="X214" s="1692"/>
      <c r="Y214" s="1692"/>
      <c r="Z214" s="1692"/>
      <c r="AG214" s="3"/>
      <c r="AJ214" s="3"/>
      <c r="AK214" s="3"/>
      <c r="AL214" s="3"/>
      <c r="BC214" s="16" t="s">
        <v>696</v>
      </c>
      <c r="BN214" s="47" t="s">
        <v>492</v>
      </c>
      <c r="BT214" s="69" t="s">
        <v>899</v>
      </c>
    </row>
    <row r="215" spans="1:72" ht="12.75">
      <c r="D215" s="64"/>
      <c r="E215" s="8" t="s">
        <v>1601</v>
      </c>
      <c r="AE215" s="2016"/>
      <c r="AF215" s="2016"/>
      <c r="AG215" s="3"/>
      <c r="AJ215" s="3"/>
      <c r="AK215" s="3"/>
      <c r="AL215" s="3"/>
      <c r="BC215" s="16" t="s">
        <v>693</v>
      </c>
    </row>
    <row r="216" spans="1:72" ht="12.75" customHeight="1">
      <c r="D216" s="64"/>
      <c r="E216" s="8" t="s">
        <v>1598</v>
      </c>
      <c r="AG216" s="3"/>
      <c r="AJ216" s="3"/>
      <c r="AK216" s="3"/>
      <c r="AL216" s="3"/>
      <c r="BC216" s="16" t="s">
        <v>812</v>
      </c>
    </row>
    <row r="217" spans="1:72" ht="12.75">
      <c r="E217" s="2023" t="s">
        <v>136</v>
      </c>
      <c r="F217" s="2015"/>
      <c r="G217" s="2015"/>
      <c r="H217" s="2015"/>
      <c r="I217" s="2015"/>
      <c r="J217" s="2015"/>
      <c r="K217" s="2015"/>
      <c r="L217" s="2015"/>
      <c r="M217" s="2015"/>
      <c r="N217" s="2015"/>
      <c r="O217" s="2015"/>
      <c r="P217" s="2015"/>
      <c r="Q217" s="2015"/>
      <c r="R217" s="2015"/>
      <c r="S217" s="2015"/>
      <c r="T217" s="2015"/>
      <c r="U217" s="2015"/>
      <c r="V217" s="2015"/>
      <c r="W217" s="2015"/>
      <c r="X217" s="2015"/>
      <c r="Y217" s="2015"/>
      <c r="Z217" s="2015"/>
      <c r="AA217" s="83"/>
      <c r="AB217" s="83"/>
      <c r="AC217" s="83"/>
      <c r="AD217" s="83"/>
      <c r="AE217" s="83"/>
      <c r="AF217" s="83"/>
      <c r="AG217" s="3"/>
      <c r="AJ217" s="3"/>
      <c r="AK217" s="3"/>
      <c r="AL217" s="3"/>
      <c r="BC217" s="16" t="s">
        <v>694</v>
      </c>
    </row>
    <row r="218" spans="1:72" ht="12.75">
      <c r="E218" s="72" t="s">
        <v>2249</v>
      </c>
      <c r="AA218" s="83"/>
      <c r="AC218" s="1849" t="s">
        <v>136</v>
      </c>
      <c r="AD218" s="1849"/>
      <c r="AE218" s="1849"/>
      <c r="AF218" s="1849"/>
      <c r="AG218" s="1849"/>
      <c r="AH218" s="1849"/>
      <c r="AI218" s="1849"/>
      <c r="AJ218" s="1849"/>
      <c r="AK218" s="1849"/>
      <c r="AL218" s="1849"/>
      <c r="AM218" s="1849"/>
      <c r="BC218" s="16" t="s">
        <v>695</v>
      </c>
      <c r="BI218" s="67"/>
    </row>
    <row r="219" spans="1:72" ht="12.75" customHeight="1">
      <c r="E219" s="72" t="s">
        <v>2250</v>
      </c>
      <c r="AA219" s="83"/>
      <c r="AC219" s="1849" t="s">
        <v>136</v>
      </c>
      <c r="AD219" s="1849"/>
      <c r="AE219" s="1849"/>
      <c r="AF219" s="1849"/>
      <c r="AG219" s="1849"/>
      <c r="AH219" s="1849"/>
      <c r="AI219" s="1849"/>
      <c r="AJ219" s="1849"/>
      <c r="AK219" s="1849"/>
      <c r="AL219" s="1849"/>
      <c r="AM219" s="1849"/>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1987</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700" t="s">
        <v>2369</v>
      </c>
      <c r="E223" s="1700"/>
      <c r="F223" s="1700"/>
      <c r="G223" s="1700"/>
      <c r="H223" s="1700"/>
      <c r="I223" s="1700"/>
      <c r="J223" s="1700"/>
      <c r="K223" s="1700"/>
      <c r="L223" s="1700"/>
      <c r="M223" s="1700"/>
      <c r="N223" s="1700"/>
      <c r="O223" s="1700"/>
      <c r="P223" s="1700"/>
      <c r="Q223" s="1700"/>
      <c r="R223" s="1700"/>
      <c r="S223" s="1700"/>
      <c r="T223" s="1700"/>
      <c r="U223" s="1700"/>
      <c r="V223" s="1700"/>
      <c r="W223" s="1700"/>
      <c r="X223" s="1700"/>
      <c r="Y223" s="1700"/>
      <c r="Z223" s="1700"/>
      <c r="AA223" s="1700"/>
      <c r="AB223" s="1700"/>
      <c r="AC223" s="1700"/>
      <c r="AD223" s="1700"/>
      <c r="AE223" s="1700"/>
      <c r="AF223" s="1700"/>
      <c r="AG223" s="1700"/>
      <c r="AH223" s="1700"/>
      <c r="AI223" s="1700"/>
      <c r="AJ223" s="65"/>
      <c r="AK223" s="65"/>
      <c r="AL223" s="30"/>
    </row>
    <row r="224" spans="1:72" ht="12.75" customHeight="1">
      <c r="AJ224" s="8"/>
    </row>
    <row r="225" spans="1:59" ht="12.75" customHeight="1">
      <c r="D225" s="35" t="s">
        <v>617</v>
      </c>
      <c r="E225" s="35"/>
      <c r="F225" s="35"/>
      <c r="G225" s="35"/>
      <c r="H225" s="35"/>
      <c r="I225" s="35"/>
      <c r="J225" s="35"/>
      <c r="K225" s="35"/>
      <c r="L225" s="35"/>
      <c r="M225" s="35"/>
      <c r="N225" s="35"/>
      <c r="O225" s="1694">
        <v>22</v>
      </c>
      <c r="P225" s="1694"/>
    </row>
    <row r="226" spans="1:59" ht="12.75" customHeight="1">
      <c r="D226" s="35" t="s">
        <v>618</v>
      </c>
      <c r="E226" s="35"/>
      <c r="F226" s="35"/>
      <c r="G226" s="35"/>
      <c r="H226" s="35"/>
      <c r="I226" s="35"/>
      <c r="J226" s="35"/>
      <c r="K226" s="35"/>
      <c r="L226" s="35"/>
      <c r="M226" s="35"/>
      <c r="N226" s="35"/>
      <c r="O226" s="1694">
        <v>23</v>
      </c>
      <c r="P226" s="1694"/>
      <c r="BB226" s="8" t="s">
        <v>704</v>
      </c>
      <c r="BG226" s="645">
        <f>IF(AND(AND($M$251="for profit",$M$259="for profit",$M$267="nonprofit")),2,0)</f>
        <v>0</v>
      </c>
    </row>
    <row r="227" spans="1:59" ht="12" customHeight="1">
      <c r="D227" s="35" t="s">
        <v>619</v>
      </c>
      <c r="E227" s="35"/>
      <c r="F227" s="35"/>
      <c r="G227" s="35"/>
      <c r="H227" s="35"/>
      <c r="I227" s="35"/>
      <c r="J227" s="35"/>
      <c r="K227" s="35"/>
      <c r="L227" s="35"/>
      <c r="M227" s="35"/>
      <c r="N227" s="35"/>
      <c r="O227" s="1694">
        <v>8</v>
      </c>
      <c r="P227" s="1694"/>
      <c r="BB227" s="8" t="s">
        <v>704</v>
      </c>
      <c r="BG227" s="645">
        <f>IF(AND(AND($M$251="for profit",$M$259="nonprofit",$M$267="for profit")),2,0)</f>
        <v>0</v>
      </c>
    </row>
    <row r="228" spans="1:59" ht="12.75">
      <c r="D228" s="3" t="s">
        <v>620</v>
      </c>
      <c r="BB228" s="16" t="s">
        <v>704</v>
      </c>
      <c r="BG228" s="645">
        <f>IF(AND(AND($M$251="nonprofit",$M$259="for profit",$M$267="for profit")),2,0)</f>
        <v>0</v>
      </c>
    </row>
    <row r="229" spans="1:59" ht="12.75">
      <c r="D229" s="579" t="s">
        <v>1308</v>
      </c>
      <c r="U229" s="579" t="s">
        <v>1309</v>
      </c>
      <c r="BB229" s="16" t="s">
        <v>704</v>
      </c>
      <c r="BG229" s="645">
        <f>IF(AND(AND($M$251="for profit",$M$259="nonprofit",$M$267="(select one)")),2,0)</f>
        <v>0</v>
      </c>
    </row>
    <row r="230" spans="1:59" ht="12.75">
      <c r="BB230" s="16" t="s">
        <v>704</v>
      </c>
      <c r="BG230" s="646">
        <f>IF(AND(AND($M$251="nonprofit",$M$259="for profit",$M$267="(select one)")),2,0)</f>
        <v>0</v>
      </c>
    </row>
    <row r="231" spans="1:59" ht="12.75">
      <c r="A231" s="1686" t="s">
        <v>544</v>
      </c>
      <c r="B231" s="1686"/>
      <c r="C231" s="1686"/>
      <c r="D231" s="1686"/>
      <c r="E231" s="1686"/>
      <c r="F231" s="1686"/>
      <c r="G231" s="1686"/>
      <c r="H231" s="1686"/>
      <c r="I231" s="1686"/>
      <c r="J231" s="1686"/>
      <c r="K231" s="1686"/>
      <c r="L231" s="1686"/>
      <c r="M231" s="1686"/>
      <c r="N231" s="1686"/>
      <c r="O231" s="1686"/>
      <c r="P231" s="1686"/>
      <c r="Q231" s="1686"/>
      <c r="R231" s="1686"/>
      <c r="S231" s="1686"/>
      <c r="T231" s="1686"/>
      <c r="U231" s="1686"/>
      <c r="V231" s="1686"/>
      <c r="W231" s="1686"/>
      <c r="X231" s="1686"/>
      <c r="Y231" s="1686"/>
      <c r="Z231" s="1686"/>
      <c r="AA231" s="1686"/>
      <c r="AB231" s="1686"/>
      <c r="AC231" s="1686"/>
      <c r="AD231" s="1686"/>
      <c r="AE231" s="1686"/>
      <c r="AF231" s="1686"/>
      <c r="AG231" s="1686"/>
      <c r="AH231" s="1686"/>
      <c r="AI231" s="1686"/>
      <c r="AJ231" s="1686"/>
      <c r="AK231" s="1686"/>
      <c r="AL231" s="1686"/>
    </row>
    <row r="232" spans="1:59" ht="13.5" thickBot="1">
      <c r="A232" s="1687"/>
      <c r="B232" s="1687"/>
      <c r="C232" s="1687"/>
      <c r="D232" s="1687"/>
      <c r="E232" s="1687"/>
      <c r="F232" s="1687"/>
      <c r="G232" s="1687"/>
      <c r="H232" s="1687"/>
      <c r="I232" s="1687"/>
      <c r="J232" s="1687"/>
      <c r="K232" s="1687"/>
      <c r="L232" s="1687"/>
      <c r="M232" s="1687"/>
      <c r="N232" s="1687"/>
      <c r="O232" s="1687"/>
      <c r="P232" s="1687"/>
      <c r="Q232" s="1687"/>
      <c r="R232" s="1687"/>
      <c r="S232" s="1687"/>
      <c r="T232" s="1687"/>
      <c r="U232" s="1687"/>
      <c r="V232" s="1687"/>
      <c r="W232" s="1687"/>
      <c r="X232" s="1687"/>
      <c r="Y232" s="1687"/>
      <c r="Z232" s="1687"/>
      <c r="AA232" s="1687"/>
      <c r="AB232" s="1687"/>
      <c r="AC232" s="1687"/>
      <c r="AD232" s="1687"/>
      <c r="AE232" s="1687"/>
      <c r="AF232" s="1687"/>
      <c r="AG232" s="1687"/>
      <c r="AH232" s="1687"/>
      <c r="AI232" s="1687"/>
      <c r="AJ232" s="1687"/>
      <c r="AK232" s="1687"/>
      <c r="AL232" s="1687"/>
      <c r="BB232" s="63" t="s">
        <v>704</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704</v>
      </c>
      <c r="BC233" s="63"/>
      <c r="BD233" s="63"/>
      <c r="BE233" s="63"/>
      <c r="BF233" s="63"/>
      <c r="BG233" s="305">
        <f>IF(AND(AND($M$251="nonprofit",$M$259="for profit",$M$267="nonprofit")),2,0)</f>
        <v>0</v>
      </c>
    </row>
    <row r="234" spans="1:59" ht="12.75">
      <c r="A234" s="63" t="s">
        <v>719</v>
      </c>
      <c r="B234" s="40"/>
      <c r="C234" s="63" t="s">
        <v>690</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704</v>
      </c>
      <c r="BC234" s="63"/>
      <c r="BD234" s="63"/>
      <c r="BE234" s="63"/>
      <c r="BF234" s="63"/>
      <c r="BG234" s="260">
        <f>IF(AND(AND($M$251="for profit",$M$259="nonprofit",$M$267="nonprofit")),2,0)</f>
        <v>0</v>
      </c>
    </row>
    <row r="235" spans="1:59" ht="12.75">
      <c r="D235" s="71" t="s">
        <v>415</v>
      </c>
      <c r="E235" s="71"/>
      <c r="F235" s="71"/>
      <c r="G235" s="71"/>
      <c r="H235" s="71"/>
      <c r="I235" s="71"/>
      <c r="J235" s="71"/>
      <c r="K235" s="8"/>
      <c r="M235" s="2006" t="str">
        <f>H15</f>
        <v>Silvercrest, Inc.</v>
      </c>
      <c r="N235" s="2006"/>
      <c r="O235" s="2006"/>
      <c r="P235" s="2006"/>
      <c r="Q235" s="2006"/>
      <c r="R235" s="2006"/>
      <c r="S235" s="2006"/>
      <c r="T235" s="2006"/>
      <c r="U235" s="2006"/>
      <c r="V235" s="2006"/>
      <c r="W235" s="2006"/>
      <c r="X235" s="2006"/>
      <c r="Y235" s="2006"/>
      <c r="Z235" s="2006"/>
      <c r="AA235" s="2006"/>
      <c r="AB235" s="2006"/>
      <c r="AC235" s="2006"/>
      <c r="AD235" s="2006"/>
      <c r="AE235" s="2006"/>
      <c r="AF235" s="2006"/>
      <c r="AG235" s="2006"/>
      <c r="AH235" s="2006"/>
      <c r="AI235" s="2006"/>
      <c r="AJ235" s="2006"/>
      <c r="AK235" s="2006"/>
      <c r="BB235" s="62"/>
      <c r="BC235" s="35"/>
      <c r="BD235" s="35"/>
      <c r="BE235" s="35"/>
      <c r="BF235" s="35"/>
      <c r="BG235" s="71"/>
    </row>
    <row r="236" spans="1:59" ht="12.75" customHeight="1">
      <c r="D236" s="71" t="s">
        <v>416</v>
      </c>
      <c r="E236" s="71"/>
      <c r="F236" s="71"/>
      <c r="G236" s="71"/>
      <c r="H236" s="71"/>
      <c r="I236" s="71"/>
      <c r="J236" s="71"/>
      <c r="K236" s="8"/>
      <c r="M236" s="1700" t="s">
        <v>2381</v>
      </c>
      <c r="N236" s="1692"/>
      <c r="O236" s="1692"/>
      <c r="P236" s="1692"/>
      <c r="Q236" s="1692"/>
      <c r="R236" s="1692"/>
      <c r="S236" s="1692"/>
      <c r="T236" s="1692"/>
      <c r="U236" s="1692"/>
      <c r="V236" s="1692"/>
      <c r="W236" s="1692"/>
      <c r="X236" s="1692"/>
      <c r="Y236" s="1692"/>
      <c r="Z236" s="1692"/>
      <c r="AA236" s="1692"/>
      <c r="AB236" s="1692"/>
      <c r="AC236" s="1692"/>
      <c r="AD236" s="1692"/>
      <c r="AE236" s="1692"/>
      <c r="AM236" s="72"/>
      <c r="AN236" s="72"/>
      <c r="BB236" s="16" t="s">
        <v>703</v>
      </c>
      <c r="BG236" s="645">
        <f>IF(AND(AND($M$251="nonprofit",$M$259="nonprofit",$M$267="nonprofit")),1,0)</f>
        <v>0</v>
      </c>
    </row>
    <row r="237" spans="1:59" ht="12.75">
      <c r="D237" s="71" t="s">
        <v>479</v>
      </c>
      <c r="E237" s="71"/>
      <c r="M237" s="1700" t="s">
        <v>439</v>
      </c>
      <c r="N237" s="1692"/>
      <c r="O237" s="1692"/>
      <c r="P237" s="1692"/>
      <c r="Q237" s="1692"/>
      <c r="R237" s="1692"/>
      <c r="S237" s="1692"/>
      <c r="T237" s="1692"/>
      <c r="V237" s="73" t="s">
        <v>417</v>
      </c>
      <c r="W237" s="1701" t="s">
        <v>2382</v>
      </c>
      <c r="X237" s="1702"/>
      <c r="Y237" s="71" t="s">
        <v>482</v>
      </c>
      <c r="AC237" s="1692">
        <v>93721</v>
      </c>
      <c r="AD237" s="1692"/>
      <c r="AE237" s="1692"/>
      <c r="AN237" s="72"/>
      <c r="BB237" s="16" t="s">
        <v>703</v>
      </c>
      <c r="BG237" s="645">
        <f>IF(AND(AND($M$251="nonprofit",$M$259="nonprofit",$M$267="(select one)")),1,0)</f>
        <v>1</v>
      </c>
    </row>
    <row r="238" spans="1:59" ht="12.75">
      <c r="D238" s="74" t="s">
        <v>418</v>
      </c>
      <c r="E238" s="8"/>
      <c r="F238" s="8"/>
      <c r="G238" s="8"/>
      <c r="H238" s="8"/>
      <c r="I238" s="8"/>
      <c r="J238" s="8"/>
      <c r="K238" s="39"/>
      <c r="M238" s="1700" t="s">
        <v>2434</v>
      </c>
      <c r="N238" s="1692"/>
      <c r="O238" s="1692"/>
      <c r="P238" s="1692"/>
      <c r="Q238" s="1692"/>
      <c r="R238" s="1692"/>
      <c r="S238" s="1692"/>
      <c r="T238" s="1692"/>
      <c r="U238" s="1692"/>
      <c r="V238" s="1692"/>
      <c r="W238" s="1692"/>
      <c r="X238" s="1692"/>
      <c r="Y238" s="1692"/>
      <c r="Z238" s="1692"/>
      <c r="AA238" s="1692"/>
      <c r="AB238" s="1692"/>
      <c r="AC238" s="1692"/>
      <c r="AD238" s="1692"/>
      <c r="AE238" s="1692"/>
      <c r="AI238" s="8"/>
      <c r="AJ238" s="8"/>
      <c r="AK238" s="8"/>
      <c r="AL238" s="8"/>
      <c r="AN238" s="72"/>
      <c r="BB238" s="16" t="s">
        <v>703</v>
      </c>
      <c r="BG238" s="645">
        <f>IF(AND(AND($M$251="nonprofit",$M$259="(select one)",$M$267="(select one)")),1,0)</f>
        <v>0</v>
      </c>
    </row>
    <row r="239" spans="1:59" ht="12.75">
      <c r="D239" s="74" t="s">
        <v>419</v>
      </c>
      <c r="E239" s="8"/>
      <c r="F239" s="8"/>
      <c r="M239" s="1688" t="s">
        <v>2500</v>
      </c>
      <c r="N239" s="1688"/>
      <c r="O239" s="1688"/>
      <c r="P239" s="1688"/>
      <c r="Q239" s="1688"/>
      <c r="R239" s="1688"/>
      <c r="S239" s="8" t="s">
        <v>900</v>
      </c>
      <c r="T239" s="8"/>
      <c r="U239" s="1702"/>
      <c r="V239" s="1702"/>
      <c r="W239" s="1702"/>
      <c r="X239" s="8" t="s">
        <v>420</v>
      </c>
      <c r="Z239" s="1688" t="s">
        <v>2384</v>
      </c>
      <c r="AA239" s="1689"/>
      <c r="AB239" s="1689"/>
      <c r="AC239" s="1689"/>
      <c r="AD239" s="1689"/>
      <c r="AE239" s="1689"/>
      <c r="AM239" s="72"/>
      <c r="AN239" s="72"/>
      <c r="BB239" s="16" t="s">
        <v>1114</v>
      </c>
      <c r="BG239" s="645">
        <f>IF(AND(AND($M$251="for profit",$M$259="for profit",$M$267="for profit")),3,0)</f>
        <v>0</v>
      </c>
    </row>
    <row r="240" spans="1:59" ht="12.75">
      <c r="D240" s="74" t="s">
        <v>421</v>
      </c>
      <c r="E240" s="8"/>
      <c r="F240" s="8"/>
      <c r="M240" s="1693" t="s">
        <v>2499</v>
      </c>
      <c r="N240" s="1693"/>
      <c r="O240" s="1693"/>
      <c r="P240" s="1693"/>
      <c r="Q240" s="1693"/>
      <c r="R240" s="1693"/>
      <c r="S240" s="1693"/>
      <c r="T240" s="1693"/>
      <c r="U240" s="1693"/>
      <c r="V240" s="1693"/>
      <c r="W240" s="1693"/>
      <c r="X240" s="1693"/>
      <c r="Y240" s="1693"/>
      <c r="Z240" s="1693"/>
      <c r="AA240" s="1693"/>
      <c r="AB240" s="1693"/>
      <c r="AC240" s="1693"/>
      <c r="AD240" s="1693"/>
      <c r="AE240" s="1693"/>
      <c r="AF240" s="8"/>
      <c r="AG240" s="8"/>
      <c r="AH240" s="8"/>
      <c r="AI240" s="8"/>
      <c r="AJ240" s="8"/>
      <c r="AK240" s="8"/>
      <c r="AL240" s="8"/>
      <c r="AN240" s="72"/>
      <c r="AO240" s="72"/>
      <c r="BB240" s="16" t="s">
        <v>1114</v>
      </c>
      <c r="BG240" s="646">
        <f>IF(AND(AND($M$251="for profit",$M$259="for profit",$M$267="(select one)")),3,0)</f>
        <v>0</v>
      </c>
    </row>
    <row r="241" spans="1:67" ht="12.75">
      <c r="A241" s="63" t="s">
        <v>8</v>
      </c>
      <c r="C241" s="48" t="s">
        <v>691</v>
      </c>
      <c r="M241" s="1696" t="s">
        <v>543</v>
      </c>
      <c r="N241" s="1696"/>
      <c r="O241" s="1696"/>
      <c r="P241" s="1696"/>
      <c r="Q241" s="1696"/>
      <c r="R241" s="1696"/>
      <c r="S241" s="1696"/>
      <c r="T241" s="1696"/>
      <c r="U241" s="8" t="s">
        <v>1267</v>
      </c>
      <c r="AA241" s="1698"/>
      <c r="AB241" s="1698"/>
      <c r="AC241" s="1698"/>
      <c r="AD241" s="1698"/>
      <c r="AE241" s="1698"/>
      <c r="AF241" s="1698"/>
      <c r="AG241" s="1698"/>
      <c r="AH241" s="1698"/>
      <c r="AI241" s="1698"/>
      <c r="AJ241" s="1698"/>
      <c r="AK241" s="1698"/>
      <c r="AL241" s="72"/>
      <c r="AM241" s="8"/>
      <c r="AN241" s="72"/>
      <c r="AO241" s="72"/>
      <c r="BB241" s="16" t="s">
        <v>1114</v>
      </c>
      <c r="BC241" s="35"/>
      <c r="BD241" s="35"/>
      <c r="BE241" s="35"/>
      <c r="BF241" s="35"/>
      <c r="BG241" s="646">
        <f>IF(AND(AND($M$251="for profit",$M$259="(select one)",$M$267="(select one)")),3,0)</f>
        <v>0</v>
      </c>
    </row>
    <row r="242" spans="1:67" ht="12.75">
      <c r="D242" s="16" t="s">
        <v>697</v>
      </c>
      <c r="M242" s="1697"/>
      <c r="N242" s="1697"/>
      <c r="O242" s="1697"/>
      <c r="P242" s="1697"/>
      <c r="Q242" s="1697"/>
      <c r="R242" s="1697"/>
      <c r="S242" s="1697"/>
      <c r="T242" s="1697"/>
      <c r="U242" s="1697"/>
      <c r="V242" s="1697"/>
      <c r="W242" s="1697"/>
      <c r="X242" s="1697"/>
      <c r="Y242" s="1697"/>
      <c r="Z242" s="1697"/>
      <c r="AA242" s="1697"/>
      <c r="AB242" s="1697"/>
      <c r="AC242" s="1697"/>
      <c r="AD242" s="1697"/>
      <c r="AE242" s="1697"/>
      <c r="AF242" s="8"/>
      <c r="AG242" s="8"/>
      <c r="AH242" s="8"/>
      <c r="AI242" s="8"/>
      <c r="AJ242" s="8"/>
      <c r="AK242" s="72"/>
      <c r="AL242" s="72"/>
    </row>
    <row r="243" spans="1:67" ht="12.75">
      <c r="D243" s="74"/>
      <c r="K243" s="3"/>
      <c r="AM243" s="8"/>
    </row>
    <row r="244" spans="1:67" ht="12.75" customHeight="1">
      <c r="A244" s="63" t="s">
        <v>131</v>
      </c>
      <c r="C244" s="63" t="s">
        <v>699</v>
      </c>
      <c r="D244" s="74"/>
      <c r="K244" s="3"/>
      <c r="L244" s="18"/>
      <c r="M244" s="18"/>
      <c r="N244" s="18"/>
      <c r="AN244" s="72"/>
      <c r="BB244" s="16" t="s">
        <v>86</v>
      </c>
      <c r="BH244" s="16">
        <v>1</v>
      </c>
      <c r="BI244" s="16" t="s">
        <v>700</v>
      </c>
    </row>
    <row r="245" spans="1:67" ht="12.75">
      <c r="A245" s="39"/>
      <c r="C245" s="147" t="s">
        <v>1642</v>
      </c>
      <c r="D245" s="71" t="s">
        <v>698</v>
      </c>
      <c r="E245" s="71"/>
      <c r="F245" s="71"/>
      <c r="G245" s="71"/>
      <c r="H245" s="71"/>
      <c r="I245" s="71"/>
      <c r="J245" s="71"/>
      <c r="K245" s="71"/>
      <c r="L245" s="8"/>
      <c r="M245" s="1851" t="s">
        <v>2371</v>
      </c>
      <c r="N245" s="1851"/>
      <c r="O245" s="1851"/>
      <c r="P245" s="1851"/>
      <c r="Q245" s="1851"/>
      <c r="R245" s="1851"/>
      <c r="S245" s="1851"/>
      <c r="T245" s="1851"/>
      <c r="U245" s="1851"/>
      <c r="V245" s="1851"/>
      <c r="W245" s="1851"/>
      <c r="X245" s="1851"/>
      <c r="Y245" s="1851"/>
      <c r="Z245" s="1851"/>
      <c r="AA245" s="1851"/>
      <c r="AB245" s="1851"/>
      <c r="AC245" s="1851"/>
      <c r="AD245" s="1851"/>
      <c r="AE245" s="1851"/>
      <c r="AF245" s="1690" t="s">
        <v>2386</v>
      </c>
      <c r="AG245" s="1690"/>
      <c r="AH245" s="1690"/>
      <c r="AI245" s="1690"/>
      <c r="AJ245" s="1690"/>
      <c r="AK245" s="1690"/>
      <c r="AM245" s="8"/>
      <c r="AN245" s="72"/>
      <c r="BB245" s="8" t="s">
        <v>994</v>
      </c>
      <c r="BH245" s="16">
        <v>2</v>
      </c>
      <c r="BI245" s="16" t="s">
        <v>812</v>
      </c>
      <c r="BO245" s="647" t="str">
        <f>VLOOKUP(AT260,BH244:BI246,2,FALSE)</f>
        <v>Nonprofit</v>
      </c>
    </row>
    <row r="246" spans="1:67" ht="12.75">
      <c r="A246" s="39"/>
      <c r="B246" s="8"/>
      <c r="C246" s="8"/>
      <c r="D246" s="71" t="s">
        <v>416</v>
      </c>
      <c r="E246" s="71"/>
      <c r="F246" s="71"/>
      <c r="G246" s="71"/>
      <c r="H246" s="71"/>
      <c r="I246" s="71"/>
      <c r="J246" s="71"/>
      <c r="K246" s="71"/>
      <c r="L246" s="8"/>
      <c r="M246" s="1700" t="s">
        <v>2381</v>
      </c>
      <c r="N246" s="1692"/>
      <c r="O246" s="1692"/>
      <c r="P246" s="1692"/>
      <c r="Q246" s="1692"/>
      <c r="R246" s="1692"/>
      <c r="S246" s="1692"/>
      <c r="T246" s="1692"/>
      <c r="U246" s="1692"/>
      <c r="V246" s="1692"/>
      <c r="W246" s="1692"/>
      <c r="X246" s="1692"/>
      <c r="Y246" s="1692"/>
      <c r="Z246" s="1692"/>
      <c r="AA246" s="1692"/>
      <c r="AB246" s="1692"/>
      <c r="AC246" s="1692"/>
      <c r="AD246" s="1692"/>
      <c r="AE246" s="1692"/>
      <c r="AL246" s="8"/>
      <c r="AN246" s="72"/>
      <c r="BB246" s="8" t="s">
        <v>503</v>
      </c>
      <c r="BH246" s="16">
        <v>3</v>
      </c>
      <c r="BI246" s="16" t="s">
        <v>702</v>
      </c>
    </row>
    <row r="247" spans="1:67" ht="12.75">
      <c r="A247" s="39"/>
      <c r="B247" s="8"/>
      <c r="C247" s="8"/>
      <c r="D247" s="71" t="s">
        <v>479</v>
      </c>
      <c r="E247" s="71"/>
      <c r="M247" s="1700" t="s">
        <v>439</v>
      </c>
      <c r="N247" s="1692"/>
      <c r="O247" s="1692"/>
      <c r="P247" s="1692"/>
      <c r="Q247" s="1692"/>
      <c r="R247" s="1692"/>
      <c r="S247" s="1692"/>
      <c r="T247" s="1692"/>
      <c r="V247" s="73" t="s">
        <v>417</v>
      </c>
      <c r="W247" s="1701" t="s">
        <v>2382</v>
      </c>
      <c r="X247" s="1702"/>
      <c r="Y247" s="71" t="s">
        <v>482</v>
      </c>
      <c r="AC247" s="1692">
        <v>93721</v>
      </c>
      <c r="AD247" s="1692"/>
      <c r="AE247" s="1692"/>
      <c r="AN247" s="72"/>
    </row>
    <row r="248" spans="1:67" ht="12.75">
      <c r="A248" s="39"/>
      <c r="B248" s="8"/>
      <c r="C248" s="8"/>
      <c r="D248" s="74" t="s">
        <v>418</v>
      </c>
      <c r="E248" s="8"/>
      <c r="F248" s="8"/>
      <c r="G248" s="8"/>
      <c r="H248" s="8"/>
      <c r="I248" s="8"/>
      <c r="J248" s="8"/>
      <c r="K248" s="8"/>
      <c r="L248" s="39"/>
      <c r="M248" s="1700" t="s">
        <v>2542</v>
      </c>
      <c r="N248" s="1692"/>
      <c r="O248" s="1692"/>
      <c r="P248" s="1692"/>
      <c r="Q248" s="1692"/>
      <c r="R248" s="1692"/>
      <c r="S248" s="1692"/>
      <c r="T248" s="1692"/>
      <c r="U248" s="1692"/>
      <c r="V248" s="1692"/>
      <c r="W248" s="1692"/>
      <c r="X248" s="1692"/>
      <c r="Y248" s="1692"/>
      <c r="Z248" s="1692"/>
      <c r="AA248" s="1692"/>
      <c r="AB248" s="1692"/>
      <c r="AC248" s="1692"/>
      <c r="AD248" s="1692"/>
      <c r="AE248" s="1692"/>
      <c r="AJ248" s="8"/>
      <c r="AK248" s="8"/>
      <c r="AL248" s="8"/>
      <c r="AN248" s="72"/>
    </row>
    <row r="249" spans="1:67" ht="12.75">
      <c r="A249" s="39"/>
      <c r="B249" s="8"/>
      <c r="C249" s="8"/>
      <c r="D249" s="74" t="s">
        <v>419</v>
      </c>
      <c r="E249" s="8"/>
      <c r="F249" s="8"/>
      <c r="M249" s="1688" t="s">
        <v>2436</v>
      </c>
      <c r="N249" s="1688"/>
      <c r="O249" s="1688"/>
      <c r="P249" s="1688"/>
      <c r="Q249" s="1688"/>
      <c r="R249" s="1688"/>
      <c r="S249" s="8" t="s">
        <v>900</v>
      </c>
      <c r="T249" s="8"/>
      <c r="U249" s="1702"/>
      <c r="V249" s="1702"/>
      <c r="W249" s="1702"/>
      <c r="X249" s="8" t="s">
        <v>420</v>
      </c>
      <c r="Z249" s="1688" t="s">
        <v>2384</v>
      </c>
      <c r="AA249" s="1689"/>
      <c r="AB249" s="1689"/>
      <c r="AC249" s="1689"/>
      <c r="AD249" s="1689"/>
      <c r="AE249" s="1689"/>
      <c r="AM249" s="8"/>
      <c r="AN249" s="72"/>
    </row>
    <row r="250" spans="1:67" ht="12.75">
      <c r="A250" s="39"/>
      <c r="B250" s="8"/>
      <c r="C250" s="8"/>
      <c r="D250" s="74" t="s">
        <v>421</v>
      </c>
      <c r="E250" s="8"/>
      <c r="F250" s="8"/>
      <c r="M250" s="1693" t="s">
        <v>2385</v>
      </c>
      <c r="N250" s="1693"/>
      <c r="O250" s="1693"/>
      <c r="P250" s="1693"/>
      <c r="Q250" s="1693"/>
      <c r="R250" s="1693"/>
      <c r="S250" s="1693"/>
      <c r="T250" s="1693"/>
      <c r="U250" s="1693"/>
      <c r="V250" s="1693"/>
      <c r="W250" s="1693"/>
      <c r="X250" s="1693"/>
      <c r="Y250" s="1693"/>
      <c r="Z250" s="1693"/>
      <c r="AA250" s="1693"/>
      <c r="AB250" s="1693"/>
      <c r="AC250" s="1693"/>
      <c r="AD250" s="1693"/>
      <c r="AE250" s="1693"/>
      <c r="AG250" s="8"/>
      <c r="AH250" s="8"/>
      <c r="AI250" s="8"/>
      <c r="AJ250" s="8"/>
      <c r="AK250" s="8"/>
      <c r="AL250" s="8"/>
    </row>
    <row r="251" spans="1:67" ht="12.75">
      <c r="A251" s="33"/>
      <c r="B251" s="8"/>
      <c r="C251" s="147"/>
      <c r="D251" s="74" t="s">
        <v>701</v>
      </c>
      <c r="E251" s="8"/>
      <c r="F251" s="8"/>
      <c r="G251" s="8"/>
      <c r="H251" s="8"/>
      <c r="I251" s="8"/>
      <c r="J251" s="8"/>
      <c r="K251" s="8"/>
      <c r="L251" s="8"/>
      <c r="M251" s="1696" t="s">
        <v>700</v>
      </c>
      <c r="N251" s="1696"/>
      <c r="O251" s="1696"/>
      <c r="P251" s="1696"/>
      <c r="Q251" s="1696"/>
      <c r="R251" s="1696"/>
      <c r="S251" s="1696"/>
      <c r="T251" s="1696"/>
      <c r="U251" s="8" t="s">
        <v>1267</v>
      </c>
      <c r="AA251" s="1698"/>
      <c r="AB251" s="1698"/>
      <c r="AC251" s="1698"/>
      <c r="AD251" s="1698"/>
      <c r="AE251" s="1698"/>
      <c r="AF251" s="1698"/>
      <c r="AG251" s="1698"/>
      <c r="AH251" s="1698"/>
      <c r="AI251" s="1698"/>
      <c r="AJ251" s="1698"/>
      <c r="AK251" s="1698"/>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1643</v>
      </c>
      <c r="D253" s="71" t="s">
        <v>1343</v>
      </c>
      <c r="E253" s="71"/>
      <c r="F253" s="71"/>
      <c r="G253" s="71"/>
      <c r="H253" s="71"/>
      <c r="I253" s="71"/>
      <c r="J253" s="71"/>
      <c r="K253" s="71"/>
      <c r="L253" s="8"/>
      <c r="M253" s="1851" t="s">
        <v>2387</v>
      </c>
      <c r="N253" s="1851"/>
      <c r="O253" s="1851"/>
      <c r="P253" s="1851"/>
      <c r="Q253" s="1851"/>
      <c r="R253" s="1851"/>
      <c r="S253" s="1851"/>
      <c r="T253" s="1851"/>
      <c r="U253" s="1851"/>
      <c r="V253" s="1851"/>
      <c r="W253" s="1851"/>
      <c r="X253" s="1851"/>
      <c r="Y253" s="1851"/>
      <c r="Z253" s="1851"/>
      <c r="AA253" s="1851"/>
      <c r="AB253" s="1851"/>
      <c r="AC253" s="1851"/>
      <c r="AD253" s="1851"/>
      <c r="AE253" s="1851"/>
      <c r="AF253" s="1690" t="s">
        <v>2388</v>
      </c>
      <c r="AG253" s="1690"/>
      <c r="AH253" s="1690"/>
      <c r="AI253" s="1690"/>
      <c r="AJ253" s="1690"/>
      <c r="AK253" s="1690"/>
      <c r="AM253" s="8"/>
    </row>
    <row r="254" spans="1:67" ht="12.75">
      <c r="A254" s="39"/>
      <c r="B254" s="8"/>
      <c r="C254" s="8"/>
      <c r="D254" s="71" t="s">
        <v>416</v>
      </c>
      <c r="E254" s="71"/>
      <c r="F254" s="71"/>
      <c r="G254" s="71"/>
      <c r="H254" s="71"/>
      <c r="I254" s="71"/>
      <c r="J254" s="71"/>
      <c r="K254" s="71"/>
      <c r="L254" s="8"/>
      <c r="M254" s="1700" t="s">
        <v>2381</v>
      </c>
      <c r="N254" s="1692"/>
      <c r="O254" s="1692"/>
      <c r="P254" s="1692"/>
      <c r="Q254" s="1692"/>
      <c r="R254" s="1692"/>
      <c r="S254" s="1692"/>
      <c r="T254" s="1692"/>
      <c r="U254" s="1692"/>
      <c r="V254" s="1692"/>
      <c r="W254" s="1692"/>
      <c r="X254" s="1692"/>
      <c r="Y254" s="1692"/>
      <c r="Z254" s="1692"/>
      <c r="AA254" s="1692"/>
      <c r="AB254" s="1692"/>
      <c r="AC254" s="1692"/>
      <c r="AD254" s="1692"/>
      <c r="AE254" s="1692"/>
      <c r="AL254" s="8"/>
    </row>
    <row r="255" spans="1:67" ht="12.75">
      <c r="A255" s="39"/>
      <c r="B255" s="8"/>
      <c r="C255" s="8"/>
      <c r="D255" s="71" t="s">
        <v>479</v>
      </c>
      <c r="E255" s="71"/>
      <c r="M255" s="1700" t="s">
        <v>439</v>
      </c>
      <c r="N255" s="1692"/>
      <c r="O255" s="1692"/>
      <c r="P255" s="1692"/>
      <c r="Q255" s="1692"/>
      <c r="R255" s="1692"/>
      <c r="S255" s="1692"/>
      <c r="T255" s="1692"/>
      <c r="V255" s="73" t="s">
        <v>417</v>
      </c>
      <c r="W255" s="1701" t="s">
        <v>2382</v>
      </c>
      <c r="X255" s="1702"/>
      <c r="Y255" s="71" t="s">
        <v>482</v>
      </c>
      <c r="AC255" s="1692">
        <v>93721</v>
      </c>
      <c r="AD255" s="1692"/>
      <c r="AE255" s="1692"/>
    </row>
    <row r="256" spans="1:67" ht="12.75">
      <c r="A256" s="39"/>
      <c r="B256" s="8"/>
      <c r="C256" s="8"/>
      <c r="D256" s="74" t="s">
        <v>418</v>
      </c>
      <c r="E256" s="8"/>
      <c r="F256" s="8"/>
      <c r="G256" s="8"/>
      <c r="H256" s="8"/>
      <c r="I256" s="8"/>
      <c r="J256" s="8"/>
      <c r="K256" s="8"/>
      <c r="L256" s="39"/>
      <c r="M256" s="1700" t="s">
        <v>2434</v>
      </c>
      <c r="N256" s="1692"/>
      <c r="O256" s="1692"/>
      <c r="P256" s="1692"/>
      <c r="Q256" s="1692"/>
      <c r="R256" s="1692"/>
      <c r="S256" s="1692"/>
      <c r="T256" s="1692"/>
      <c r="U256" s="1692"/>
      <c r="V256" s="1692"/>
      <c r="W256" s="1692"/>
      <c r="X256" s="1692"/>
      <c r="Y256" s="1692"/>
      <c r="Z256" s="1692"/>
      <c r="AA256" s="1692"/>
      <c r="AB256" s="1692"/>
      <c r="AC256" s="1692"/>
      <c r="AD256" s="1692"/>
      <c r="AE256" s="1692"/>
      <c r="AJ256" s="8"/>
      <c r="AK256" s="8"/>
      <c r="AL256" s="8"/>
    </row>
    <row r="257" spans="1:53" ht="12.75">
      <c r="A257" s="39"/>
      <c r="B257" s="8"/>
      <c r="C257" s="8"/>
      <c r="D257" s="74" t="s">
        <v>419</v>
      </c>
      <c r="E257" s="8"/>
      <c r="F257" s="8"/>
      <c r="M257" s="1688" t="s">
        <v>2500</v>
      </c>
      <c r="N257" s="1688"/>
      <c r="O257" s="1688"/>
      <c r="P257" s="1688"/>
      <c r="Q257" s="1688"/>
      <c r="R257" s="1688"/>
      <c r="S257" s="8" t="s">
        <v>900</v>
      </c>
      <c r="T257" s="8"/>
      <c r="U257" s="1702"/>
      <c r="V257" s="1702"/>
      <c r="W257" s="1702"/>
      <c r="X257" s="8" t="s">
        <v>420</v>
      </c>
      <c r="Z257" s="1688" t="s">
        <v>2384</v>
      </c>
      <c r="AA257" s="1689"/>
      <c r="AB257" s="1689"/>
      <c r="AC257" s="1689"/>
      <c r="AD257" s="1689"/>
      <c r="AE257" s="1689"/>
      <c r="BA257" s="75"/>
    </row>
    <row r="258" spans="1:53" ht="12.75">
      <c r="A258" s="39"/>
      <c r="B258" s="8"/>
      <c r="C258" s="8"/>
      <c r="D258" s="74" t="s">
        <v>421</v>
      </c>
      <c r="E258" s="8"/>
      <c r="F258" s="8"/>
      <c r="M258" s="1693" t="s">
        <v>2499</v>
      </c>
      <c r="N258" s="1693"/>
      <c r="O258" s="1693"/>
      <c r="P258" s="1693"/>
      <c r="Q258" s="1693"/>
      <c r="R258" s="1693"/>
      <c r="S258" s="1693"/>
      <c r="T258" s="1693"/>
      <c r="U258" s="1693"/>
      <c r="V258" s="1693"/>
      <c r="W258" s="1693"/>
      <c r="X258" s="1693"/>
      <c r="Y258" s="1693"/>
      <c r="Z258" s="1693"/>
      <c r="AA258" s="1693"/>
      <c r="AB258" s="1693"/>
      <c r="AC258" s="1693"/>
      <c r="AD258" s="1693"/>
      <c r="AE258" s="1693"/>
      <c r="AG258" s="8"/>
      <c r="AH258" s="8"/>
      <c r="AI258" s="8"/>
      <c r="AJ258" s="8"/>
      <c r="AK258" s="8"/>
      <c r="AL258" s="8"/>
      <c r="BA258" s="35"/>
    </row>
    <row r="259" spans="1:53" ht="12.75">
      <c r="A259" s="33"/>
      <c r="B259" s="8"/>
      <c r="C259" s="147"/>
      <c r="D259" s="74" t="s">
        <v>701</v>
      </c>
      <c r="E259" s="8"/>
      <c r="F259" s="8"/>
      <c r="G259" s="8"/>
      <c r="H259" s="8"/>
      <c r="I259" s="8"/>
      <c r="J259" s="8"/>
      <c r="K259" s="8"/>
      <c r="L259" s="8"/>
      <c r="M259" s="1696" t="s">
        <v>700</v>
      </c>
      <c r="N259" s="1696"/>
      <c r="O259" s="1696"/>
      <c r="P259" s="1696"/>
      <c r="Q259" s="1696"/>
      <c r="R259" s="1696"/>
      <c r="S259" s="1696"/>
      <c r="T259" s="1696"/>
      <c r="U259" s="8" t="s">
        <v>1267</v>
      </c>
      <c r="AA259" s="1698"/>
      <c r="AB259" s="1698"/>
      <c r="AC259" s="1698"/>
      <c r="AD259" s="1698"/>
      <c r="AE259" s="1698"/>
      <c r="AF259" s="1698"/>
      <c r="AG259" s="1698"/>
      <c r="AH259" s="1698"/>
      <c r="AI259" s="1698"/>
      <c r="AJ259" s="1698"/>
      <c r="AK259" s="1698"/>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1</v>
      </c>
      <c r="BA260" s="3"/>
    </row>
    <row r="261" spans="1:53" ht="12.75">
      <c r="A261" s="33"/>
      <c r="B261" s="8"/>
      <c r="C261" s="147" t="s">
        <v>2154</v>
      </c>
      <c r="D261" s="71" t="s">
        <v>698</v>
      </c>
      <c r="E261" s="71"/>
      <c r="F261" s="71"/>
      <c r="G261" s="71"/>
      <c r="H261" s="71"/>
      <c r="I261" s="71"/>
      <c r="J261" s="71"/>
      <c r="K261" s="71"/>
      <c r="L261" s="8"/>
      <c r="M261" s="1690"/>
      <c r="N261" s="1690"/>
      <c r="O261" s="1690"/>
      <c r="P261" s="1690"/>
      <c r="Q261" s="1690"/>
      <c r="R261" s="1690"/>
      <c r="S261" s="1690"/>
      <c r="T261" s="1690"/>
      <c r="U261" s="1690"/>
      <c r="V261" s="1690"/>
      <c r="W261" s="1690"/>
      <c r="X261" s="1690"/>
      <c r="Y261" s="1690"/>
      <c r="Z261" s="1690"/>
      <c r="AA261" s="1690"/>
      <c r="AB261" s="1690"/>
      <c r="AC261" s="1690"/>
      <c r="AD261" s="1690"/>
      <c r="AE261" s="1690"/>
      <c r="AF261" s="1690" t="s">
        <v>86</v>
      </c>
      <c r="AG261" s="1690"/>
      <c r="AH261" s="1690"/>
      <c r="AI261" s="1690"/>
      <c r="AJ261" s="1690"/>
      <c r="AK261" s="1690"/>
      <c r="AL261" s="72"/>
      <c r="BA261" s="3"/>
    </row>
    <row r="262" spans="1:53" ht="12.75">
      <c r="A262" s="33"/>
      <c r="B262" s="8"/>
      <c r="C262" s="8"/>
      <c r="D262" s="71" t="s">
        <v>416</v>
      </c>
      <c r="E262" s="71"/>
      <c r="F262" s="71"/>
      <c r="G262" s="71"/>
      <c r="H262" s="71"/>
      <c r="I262" s="71"/>
      <c r="J262" s="71"/>
      <c r="K262" s="71"/>
      <c r="L262" s="8"/>
      <c r="M262" s="1692"/>
      <c r="N262" s="1692"/>
      <c r="O262" s="1692"/>
      <c r="P262" s="1692"/>
      <c r="Q262" s="1692"/>
      <c r="R262" s="1692"/>
      <c r="S262" s="1692"/>
      <c r="T262" s="1692"/>
      <c r="U262" s="1692"/>
      <c r="V262" s="1692"/>
      <c r="W262" s="1692"/>
      <c r="X262" s="1692"/>
      <c r="Y262" s="1692"/>
      <c r="Z262" s="1692"/>
      <c r="AA262" s="1692"/>
      <c r="AB262" s="1692"/>
      <c r="AC262" s="1692"/>
      <c r="AD262" s="1692"/>
      <c r="AE262" s="1692"/>
      <c r="AL262" s="72"/>
      <c r="BA262" s="650"/>
    </row>
    <row r="263" spans="1:53" ht="12.75">
      <c r="A263" s="33"/>
      <c r="B263" s="8"/>
      <c r="C263" s="8"/>
      <c r="D263" s="71" t="s">
        <v>479</v>
      </c>
      <c r="E263" s="71"/>
      <c r="M263" s="1692"/>
      <c r="N263" s="1692"/>
      <c r="O263" s="1692"/>
      <c r="P263" s="1692"/>
      <c r="Q263" s="1692"/>
      <c r="R263" s="1692"/>
      <c r="S263" s="1692"/>
      <c r="T263" s="1692"/>
      <c r="V263" s="73" t="s">
        <v>417</v>
      </c>
      <c r="W263" s="1702"/>
      <c r="X263" s="1702"/>
      <c r="Y263" s="71" t="s">
        <v>482</v>
      </c>
      <c r="AC263" s="1692"/>
      <c r="AD263" s="1692"/>
      <c r="AE263" s="1692"/>
      <c r="AL263" s="72"/>
      <c r="BA263" s="75"/>
    </row>
    <row r="264" spans="1:53" ht="12.75">
      <c r="A264" s="33"/>
      <c r="B264" s="8"/>
      <c r="C264" s="8"/>
      <c r="D264" s="74" t="s">
        <v>418</v>
      </c>
      <c r="E264" s="8"/>
      <c r="F264" s="8"/>
      <c r="G264" s="8"/>
      <c r="H264" s="8"/>
      <c r="I264" s="8"/>
      <c r="J264" s="8"/>
      <c r="K264" s="8"/>
      <c r="L264" s="39"/>
      <c r="M264" s="1692"/>
      <c r="N264" s="1692"/>
      <c r="O264" s="1692"/>
      <c r="P264" s="1692"/>
      <c r="Q264" s="1692"/>
      <c r="R264" s="1692"/>
      <c r="S264" s="1692"/>
      <c r="T264" s="1692"/>
      <c r="U264" s="1692"/>
      <c r="V264" s="1692"/>
      <c r="W264" s="1692"/>
      <c r="X264" s="1692"/>
      <c r="Y264" s="1692"/>
      <c r="Z264" s="1692"/>
      <c r="AA264" s="1692"/>
      <c r="AB264" s="1692"/>
      <c r="AC264" s="1692"/>
      <c r="AD264" s="1692"/>
      <c r="AE264" s="1692"/>
      <c r="AJ264" s="8"/>
      <c r="AK264" s="8"/>
      <c r="AL264" s="72"/>
      <c r="BA264" s="75"/>
    </row>
    <row r="265" spans="1:53" ht="12.75">
      <c r="A265" s="33"/>
      <c r="B265" s="8"/>
      <c r="C265" s="8"/>
      <c r="D265" s="74" t="s">
        <v>419</v>
      </c>
      <c r="E265" s="8"/>
      <c r="F265" s="8"/>
      <c r="M265" s="1689"/>
      <c r="N265" s="1689"/>
      <c r="O265" s="1689"/>
      <c r="P265" s="1689"/>
      <c r="Q265" s="1689"/>
      <c r="R265" s="1689"/>
      <c r="S265" s="8" t="s">
        <v>900</v>
      </c>
      <c r="T265" s="8"/>
      <c r="U265" s="1702"/>
      <c r="V265" s="1702"/>
      <c r="W265" s="1702"/>
      <c r="X265" s="8" t="s">
        <v>420</v>
      </c>
      <c r="Z265" s="1689"/>
      <c r="AA265" s="1689"/>
      <c r="AB265" s="1689"/>
      <c r="AC265" s="1689"/>
      <c r="AD265" s="1689"/>
      <c r="AE265" s="1689"/>
      <c r="AL265" s="72"/>
      <c r="BA265" s="75"/>
    </row>
    <row r="266" spans="1:53" ht="12.75">
      <c r="A266" s="33"/>
      <c r="B266" s="8"/>
      <c r="C266" s="8"/>
      <c r="D266" s="74" t="s">
        <v>421</v>
      </c>
      <c r="E266" s="8"/>
      <c r="F266" s="8"/>
      <c r="M266" s="1693"/>
      <c r="N266" s="1693"/>
      <c r="O266" s="1693"/>
      <c r="P266" s="1693"/>
      <c r="Q266" s="1693"/>
      <c r="R266" s="1693"/>
      <c r="S266" s="1693"/>
      <c r="T266" s="1693"/>
      <c r="U266" s="1693"/>
      <c r="V266" s="1693"/>
      <c r="W266" s="1693"/>
      <c r="X266" s="1693"/>
      <c r="Y266" s="1693"/>
      <c r="Z266" s="1693"/>
      <c r="AA266" s="1693"/>
      <c r="AB266" s="1693"/>
      <c r="AC266" s="1693"/>
      <c r="AD266" s="1693"/>
      <c r="AE266" s="1693"/>
      <c r="AG266" s="8"/>
      <c r="AH266" s="8"/>
      <c r="AI266" s="8"/>
      <c r="AJ266" s="8"/>
      <c r="AK266" s="8"/>
      <c r="AL266" s="72"/>
      <c r="BA266" s="75"/>
    </row>
    <row r="267" spans="1:53" ht="12.75">
      <c r="A267" s="33"/>
      <c r="B267" s="8"/>
      <c r="C267" s="147"/>
      <c r="D267" s="74" t="s">
        <v>701</v>
      </c>
      <c r="E267" s="8"/>
      <c r="F267" s="8"/>
      <c r="G267" s="8"/>
      <c r="H267" s="8"/>
      <c r="I267" s="8"/>
      <c r="J267" s="8"/>
      <c r="K267" s="8"/>
      <c r="L267" s="8"/>
      <c r="M267" s="1696" t="s">
        <v>86</v>
      </c>
      <c r="N267" s="1696"/>
      <c r="O267" s="1696"/>
      <c r="P267" s="1696"/>
      <c r="Q267" s="1696"/>
      <c r="R267" s="1696"/>
      <c r="S267" s="1696"/>
      <c r="T267" s="1696"/>
      <c r="U267" s="8" t="s">
        <v>1267</v>
      </c>
      <c r="AA267" s="1698"/>
      <c r="AB267" s="1698"/>
      <c r="AC267" s="1698"/>
      <c r="AD267" s="1698"/>
      <c r="AE267" s="1698"/>
      <c r="AF267" s="1698"/>
      <c r="AG267" s="1698"/>
      <c r="AH267" s="1698"/>
      <c r="AI267" s="1698"/>
      <c r="AJ267" s="1698"/>
      <c r="AK267" s="1698"/>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134</v>
      </c>
      <c r="B269" s="8"/>
      <c r="C269" s="63" t="s">
        <v>295</v>
      </c>
      <c r="D269" s="8"/>
      <c r="E269" s="8"/>
      <c r="F269" s="8"/>
      <c r="G269" s="8"/>
      <c r="H269" s="8"/>
      <c r="I269" s="8"/>
      <c r="J269" s="8"/>
      <c r="K269" s="8"/>
      <c r="L269" s="8"/>
      <c r="M269" s="274"/>
      <c r="N269" s="274"/>
      <c r="O269" s="274"/>
      <c r="P269" s="274"/>
      <c r="Q269" s="274"/>
      <c r="T269" s="1691" t="str">
        <f>BO245</f>
        <v>Nonprofit</v>
      </c>
      <c r="U269" s="1691"/>
      <c r="V269" s="1691"/>
      <c r="W269" s="1691"/>
      <c r="X269" s="1691"/>
      <c r="Z269" s="755" t="s">
        <v>1344</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6" t="s">
        <v>1341</v>
      </c>
      <c r="AA270" s="35"/>
      <c r="AB270" s="35"/>
      <c r="AC270" s="35"/>
      <c r="AD270" s="35"/>
      <c r="AE270" s="35"/>
      <c r="AF270" s="71"/>
      <c r="AG270" s="71"/>
      <c r="AH270" s="71"/>
      <c r="AI270" s="71"/>
      <c r="AJ270" s="71"/>
      <c r="AK270" s="35"/>
      <c r="AL270" s="115"/>
      <c r="BA270" s="75"/>
    </row>
    <row r="271" spans="1:53" ht="12.75">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7" t="s">
        <v>1342</v>
      </c>
      <c r="AA271" s="94"/>
      <c r="AB271" s="94"/>
      <c r="AC271" s="94"/>
      <c r="AD271" s="305"/>
      <c r="AE271" s="305"/>
      <c r="AF271" s="305"/>
      <c r="AG271" s="305"/>
      <c r="AH271" s="305"/>
      <c r="AI271" s="305"/>
      <c r="AJ271" s="305"/>
      <c r="AK271" s="645"/>
      <c r="AL271" s="758"/>
    </row>
    <row r="272" spans="1:53" ht="12.75">
      <c r="A272" s="71"/>
      <c r="B272" s="77">
        <v>0</v>
      </c>
      <c r="D272" s="1692" t="s">
        <v>503</v>
      </c>
      <c r="E272" s="1692"/>
      <c r="F272" s="1692"/>
      <c r="G272" s="1692"/>
      <c r="H272" s="1692"/>
      <c r="J272" s="16" t="s">
        <v>993</v>
      </c>
      <c r="X272" s="1865">
        <v>44409</v>
      </c>
      <c r="Y272" s="1865"/>
      <c r="Z272" s="1865"/>
      <c r="AA272" s="1865"/>
      <c r="AB272" s="1865"/>
      <c r="AC272" s="1865"/>
      <c r="BA272" s="75"/>
    </row>
    <row r="273" spans="1:53" ht="12.75">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4.1" customHeight="1">
      <c r="D276" s="71" t="s">
        <v>296</v>
      </c>
      <c r="E276" s="71"/>
      <c r="F276" s="71"/>
      <c r="G276" s="71"/>
      <c r="H276" s="71"/>
      <c r="I276" s="71"/>
      <c r="J276" s="71"/>
      <c r="K276" s="8"/>
      <c r="L276" s="1851" t="s">
        <v>2371</v>
      </c>
      <c r="M276" s="1690"/>
      <c r="N276" s="1690"/>
      <c r="O276" s="1690"/>
      <c r="P276" s="1690"/>
      <c r="Q276" s="1690"/>
      <c r="R276" s="1690"/>
      <c r="S276" s="1690"/>
      <c r="T276" s="1690"/>
      <c r="U276" s="1690"/>
      <c r="V276" s="1690"/>
      <c r="W276" s="1690"/>
      <c r="X276" s="1690"/>
      <c r="Y276" s="1690"/>
      <c r="Z276" s="1690"/>
      <c r="AA276" s="1690"/>
      <c r="AB276" s="1690"/>
      <c r="AC276" s="1690"/>
      <c r="AD276" s="1690"/>
      <c r="AE276" s="1690"/>
      <c r="AF276" s="1690"/>
      <c r="AG276" s="1690"/>
      <c r="AH276" s="1690"/>
      <c r="AI276" s="1690"/>
      <c r="AJ276" s="1690"/>
      <c r="AK276" s="72"/>
      <c r="AL276" s="72"/>
      <c r="BA276" s="75"/>
    </row>
    <row r="277" spans="1:53" ht="12.75" customHeight="1">
      <c r="D277" s="71" t="s">
        <v>416</v>
      </c>
      <c r="E277" s="71"/>
      <c r="F277" s="71"/>
      <c r="G277" s="71"/>
      <c r="H277" s="71"/>
      <c r="I277" s="71"/>
      <c r="J277" s="71"/>
      <c r="K277" s="8"/>
      <c r="L277" s="1700" t="s">
        <v>2381</v>
      </c>
      <c r="M277" s="1692"/>
      <c r="N277" s="1692"/>
      <c r="O277" s="1692"/>
      <c r="P277" s="1692"/>
      <c r="Q277" s="1692"/>
      <c r="R277" s="1692"/>
      <c r="S277" s="1692"/>
      <c r="T277" s="1692"/>
      <c r="U277" s="1692"/>
      <c r="V277" s="1692"/>
      <c r="W277" s="1692"/>
      <c r="X277" s="1692"/>
      <c r="Y277" s="1692"/>
      <c r="Z277" s="1692"/>
      <c r="AA277" s="1692"/>
      <c r="AB277" s="1692"/>
      <c r="AC277" s="1692"/>
      <c r="AD277" s="1692"/>
      <c r="AK277" s="72"/>
      <c r="AL277" s="72"/>
      <c r="BA277" s="75"/>
    </row>
    <row r="278" spans="1:53" ht="12.75">
      <c r="D278" s="71" t="s">
        <v>479</v>
      </c>
      <c r="E278" s="71"/>
      <c r="L278" s="1700" t="s">
        <v>2376</v>
      </c>
      <c r="M278" s="1692"/>
      <c r="N278" s="1692"/>
      <c r="O278" s="1692"/>
      <c r="P278" s="1692"/>
      <c r="Q278" s="1692"/>
      <c r="R278" s="1692"/>
      <c r="S278" s="1692"/>
      <c r="U278" s="73" t="s">
        <v>417</v>
      </c>
      <c r="V278" s="1701" t="s">
        <v>2382</v>
      </c>
      <c r="W278" s="1702"/>
      <c r="X278" s="71" t="s">
        <v>482</v>
      </c>
      <c r="AB278" s="1692">
        <v>93721</v>
      </c>
      <c r="AC278" s="1692"/>
      <c r="AD278" s="1692"/>
      <c r="AK278" s="72"/>
      <c r="AL278" s="72"/>
      <c r="BA278" s="75"/>
    </row>
    <row r="279" spans="1:53" ht="12.75">
      <c r="D279" s="74" t="s">
        <v>418</v>
      </c>
      <c r="E279" s="8"/>
      <c r="F279" s="8"/>
      <c r="G279" s="8"/>
      <c r="H279" s="8"/>
      <c r="I279" s="8"/>
      <c r="J279" s="8"/>
      <c r="K279" s="39"/>
      <c r="L279" s="1700" t="s">
        <v>2389</v>
      </c>
      <c r="M279" s="1692"/>
      <c r="N279" s="1692"/>
      <c r="O279" s="1692"/>
      <c r="P279" s="1692"/>
      <c r="Q279" s="1692"/>
      <c r="R279" s="1692"/>
      <c r="S279" s="1692"/>
      <c r="T279" s="1692"/>
      <c r="U279" s="1692"/>
      <c r="V279" s="1692"/>
      <c r="W279" s="1692"/>
      <c r="X279" s="1692"/>
      <c r="Y279" s="1692"/>
      <c r="Z279" s="1692"/>
      <c r="AA279" s="1692"/>
      <c r="AB279" s="1692"/>
      <c r="AC279" s="1692"/>
      <c r="AD279" s="1692"/>
      <c r="AI279" s="8"/>
      <c r="AJ279" s="8"/>
      <c r="AK279" s="72"/>
      <c r="AL279" s="72"/>
      <c r="BA279" s="75"/>
    </row>
    <row r="280" spans="1:53" ht="12.75">
      <c r="D280" s="74" t="s">
        <v>419</v>
      </c>
      <c r="E280" s="8"/>
      <c r="F280" s="8"/>
      <c r="L280" s="1688" t="s">
        <v>2383</v>
      </c>
      <c r="M280" s="1689"/>
      <c r="N280" s="1689"/>
      <c r="O280" s="1689"/>
      <c r="P280" s="1689"/>
      <c r="Q280" s="1689"/>
      <c r="R280" s="8" t="s">
        <v>900</v>
      </c>
      <c r="S280" s="8"/>
      <c r="T280" s="1702"/>
      <c r="U280" s="1702"/>
      <c r="V280" s="1702"/>
      <c r="W280" s="8" t="s">
        <v>420</v>
      </c>
      <c r="Y280" s="1688" t="s">
        <v>2384</v>
      </c>
      <c r="Z280" s="1689"/>
      <c r="AA280" s="1689"/>
      <c r="AB280" s="1689"/>
      <c r="AC280" s="1689"/>
      <c r="AD280" s="1689"/>
      <c r="BA280" s="75"/>
    </row>
    <row r="281" spans="1:53" ht="12.75">
      <c r="D281" s="74" t="s">
        <v>421</v>
      </c>
      <c r="E281" s="8"/>
      <c r="F281" s="8"/>
      <c r="L281" s="1693" t="s">
        <v>2385</v>
      </c>
      <c r="M281" s="1693"/>
      <c r="N281" s="1693"/>
      <c r="O281" s="1693"/>
      <c r="P281" s="1693"/>
      <c r="Q281" s="1693"/>
      <c r="R281" s="1693"/>
      <c r="S281" s="1693"/>
      <c r="T281" s="1693"/>
      <c r="U281" s="1693"/>
      <c r="V281" s="1693"/>
      <c r="W281" s="1693"/>
      <c r="X281" s="1693"/>
      <c r="Y281" s="1693"/>
      <c r="Z281" s="1693"/>
      <c r="AA281" s="1693"/>
      <c r="AB281" s="1693"/>
      <c r="AC281" s="1693"/>
      <c r="AD281" s="1693"/>
      <c r="AF281" s="8"/>
      <c r="AG281" s="8"/>
      <c r="AH281" s="8"/>
      <c r="AI281" s="8"/>
      <c r="AJ281" s="8"/>
      <c r="BA281" s="75"/>
    </row>
    <row r="282" spans="1:53" ht="12.75">
      <c r="D282" s="72" t="s">
        <v>203</v>
      </c>
      <c r="E282" s="72"/>
      <c r="F282" s="72"/>
      <c r="G282" s="72"/>
      <c r="H282" s="72"/>
      <c r="I282" s="72"/>
      <c r="L282" s="1701" t="s">
        <v>2390</v>
      </c>
      <c r="M282" s="1701"/>
      <c r="N282" s="1701"/>
      <c r="O282" s="1701"/>
      <c r="P282" s="1701"/>
      <c r="Q282" s="1701"/>
      <c r="R282" s="1701"/>
      <c r="S282" s="1701"/>
      <c r="T282" s="1701"/>
      <c r="U282" s="1701"/>
      <c r="V282" s="1701"/>
      <c r="W282" s="1701"/>
      <c r="X282" s="1701"/>
      <c r="Y282" s="1701"/>
      <c r="Z282" s="1701"/>
      <c r="AA282" s="1701"/>
      <c r="AB282" s="1701"/>
      <c r="AC282" s="1701"/>
      <c r="AD282" s="1701"/>
      <c r="AK282" s="72"/>
      <c r="AL282" s="72"/>
      <c r="BA282" s="75"/>
    </row>
    <row r="283" spans="1:53" ht="12.75">
      <c r="L283" s="46" t="s">
        <v>204</v>
      </c>
      <c r="BA283" s="75"/>
    </row>
    <row r="284" spans="1:53" ht="12.75">
      <c r="A284" s="1686" t="s">
        <v>545</v>
      </c>
      <c r="B284" s="1686"/>
      <c r="C284" s="1686"/>
      <c r="D284" s="1686"/>
      <c r="E284" s="1686"/>
      <c r="F284" s="1686"/>
      <c r="G284" s="1686"/>
      <c r="H284" s="1686"/>
      <c r="I284" s="1686"/>
      <c r="J284" s="1686"/>
      <c r="K284" s="1686"/>
      <c r="L284" s="1686"/>
      <c r="M284" s="1686"/>
      <c r="N284" s="1686"/>
      <c r="O284" s="1686"/>
      <c r="P284" s="1686"/>
      <c r="Q284" s="1686"/>
      <c r="R284" s="1686"/>
      <c r="S284" s="1686"/>
      <c r="T284" s="1686"/>
      <c r="U284" s="1686"/>
      <c r="V284" s="1686"/>
      <c r="W284" s="1686"/>
      <c r="X284" s="1686"/>
      <c r="Y284" s="1686"/>
      <c r="Z284" s="1686"/>
      <c r="AA284" s="1686"/>
      <c r="AB284" s="1686"/>
      <c r="AC284" s="1686"/>
      <c r="AD284" s="1686"/>
      <c r="AE284" s="1686"/>
      <c r="AF284" s="1686"/>
      <c r="AG284" s="1686"/>
      <c r="AH284" s="1686"/>
      <c r="AI284" s="1686"/>
      <c r="AJ284" s="1686"/>
      <c r="AK284" s="1686"/>
      <c r="AL284" s="1686"/>
      <c r="BA284" s="75"/>
    </row>
    <row r="285" spans="1:53" ht="13.5" thickBot="1">
      <c r="A285" s="1687"/>
      <c r="B285" s="1687"/>
      <c r="C285" s="1687"/>
      <c r="D285" s="1687"/>
      <c r="E285" s="1687"/>
      <c r="F285" s="1687"/>
      <c r="G285" s="1687"/>
      <c r="H285" s="1687"/>
      <c r="I285" s="1687"/>
      <c r="J285" s="1687"/>
      <c r="K285" s="1687"/>
      <c r="L285" s="1687"/>
      <c r="M285" s="1687"/>
      <c r="N285" s="1687"/>
      <c r="O285" s="1687"/>
      <c r="P285" s="1687"/>
      <c r="Q285" s="1687"/>
      <c r="R285" s="1687"/>
      <c r="S285" s="1687"/>
      <c r="T285" s="1687"/>
      <c r="U285" s="1687"/>
      <c r="V285" s="1687"/>
      <c r="W285" s="1687"/>
      <c r="X285" s="1687"/>
      <c r="Y285" s="1687"/>
      <c r="Z285" s="1687"/>
      <c r="AA285" s="1687"/>
      <c r="AB285" s="1687"/>
      <c r="AC285" s="1687"/>
      <c r="AD285" s="1687"/>
      <c r="AE285" s="1687"/>
      <c r="AF285" s="1687"/>
      <c r="AG285" s="1687"/>
      <c r="AH285" s="1687"/>
      <c r="AI285" s="1687"/>
      <c r="AJ285" s="1687"/>
      <c r="AK285" s="1687"/>
      <c r="AL285" s="1687"/>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719</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697" t="s">
        <v>2373</v>
      </c>
      <c r="I289" s="1697"/>
      <c r="J289" s="1697"/>
      <c r="K289" s="1697"/>
      <c r="L289" s="1697"/>
      <c r="M289" s="1697"/>
      <c r="N289" s="1697"/>
      <c r="O289" s="1697"/>
      <c r="P289" s="1697"/>
      <c r="Q289" s="1697"/>
      <c r="R289" s="1697"/>
      <c r="T289" s="72" t="s">
        <v>813</v>
      </c>
      <c r="V289" s="72"/>
      <c r="W289" s="72"/>
      <c r="X289" s="72"/>
      <c r="Y289" s="72"/>
      <c r="AA289" s="1697" t="s">
        <v>2414</v>
      </c>
      <c r="AB289" s="1697"/>
      <c r="AC289" s="1697"/>
      <c r="AD289" s="1697"/>
      <c r="AE289" s="1697"/>
      <c r="AF289" s="1697"/>
      <c r="AG289" s="1697"/>
      <c r="AH289" s="1697"/>
      <c r="AI289" s="1697"/>
      <c r="AJ289" s="1697"/>
      <c r="AK289" s="1697"/>
      <c r="BA289" s="75"/>
    </row>
    <row r="290" spans="2:53" ht="12.75">
      <c r="B290" s="72" t="s">
        <v>765</v>
      </c>
      <c r="C290" s="72"/>
      <c r="D290" s="72"/>
      <c r="E290" s="72"/>
      <c r="F290" s="72"/>
      <c r="H290" s="1696" t="s">
        <v>2391</v>
      </c>
      <c r="I290" s="1696"/>
      <c r="J290" s="1696"/>
      <c r="K290" s="1696"/>
      <c r="L290" s="1696"/>
      <c r="M290" s="1696"/>
      <c r="N290" s="1696"/>
      <c r="O290" s="1696"/>
      <c r="P290" s="1696"/>
      <c r="Q290" s="1696"/>
      <c r="R290" s="1696"/>
      <c r="T290" s="72" t="s">
        <v>765</v>
      </c>
      <c r="V290" s="72"/>
      <c r="W290" s="72"/>
      <c r="X290" s="72"/>
      <c r="Y290" s="72"/>
      <c r="AA290" s="1696" t="s">
        <v>2415</v>
      </c>
      <c r="AB290" s="1696"/>
      <c r="AC290" s="1696"/>
      <c r="AD290" s="1696"/>
      <c r="AE290" s="1696"/>
      <c r="AF290" s="1696"/>
      <c r="AG290" s="1696"/>
      <c r="AH290" s="1696"/>
      <c r="AI290" s="1696"/>
      <c r="AJ290" s="1696"/>
      <c r="AK290" s="1696"/>
      <c r="BA290" s="75"/>
    </row>
    <row r="291" spans="2:53" ht="12.75">
      <c r="B291" s="72" t="s">
        <v>767</v>
      </c>
      <c r="C291" s="72"/>
      <c r="D291" s="72"/>
      <c r="E291" s="72"/>
      <c r="F291" s="72"/>
      <c r="H291" s="1696" t="s">
        <v>2392</v>
      </c>
      <c r="I291" s="1696"/>
      <c r="J291" s="1696"/>
      <c r="K291" s="1696"/>
      <c r="L291" s="1696"/>
      <c r="M291" s="1696"/>
      <c r="N291" s="1696"/>
      <c r="O291" s="1696"/>
      <c r="P291" s="1696"/>
      <c r="Q291" s="1696"/>
      <c r="R291" s="1696"/>
      <c r="T291" s="72" t="s">
        <v>766</v>
      </c>
      <c r="V291" s="72"/>
      <c r="W291" s="72"/>
      <c r="X291" s="72"/>
      <c r="Y291" s="72"/>
      <c r="AA291" s="1696" t="s">
        <v>2416</v>
      </c>
      <c r="AB291" s="1696"/>
      <c r="AC291" s="1696"/>
      <c r="AD291" s="1696"/>
      <c r="AE291" s="1696"/>
      <c r="AF291" s="1696"/>
      <c r="AG291" s="1696"/>
      <c r="AH291" s="1696"/>
      <c r="AI291" s="1696"/>
      <c r="AJ291" s="1696"/>
      <c r="AK291" s="1696"/>
      <c r="BA291" s="75"/>
    </row>
    <row r="292" spans="2:53" ht="12.75">
      <c r="B292" s="72" t="s">
        <v>418</v>
      </c>
      <c r="C292" s="72"/>
      <c r="D292" s="72"/>
      <c r="E292" s="72"/>
      <c r="F292" s="72"/>
      <c r="H292" s="1696" t="s">
        <v>2389</v>
      </c>
      <c r="I292" s="1696"/>
      <c r="J292" s="1696"/>
      <c r="K292" s="1696"/>
      <c r="L292" s="1696"/>
      <c r="M292" s="1696"/>
      <c r="N292" s="1696"/>
      <c r="O292" s="1696"/>
      <c r="P292" s="1696"/>
      <c r="Q292" s="1696"/>
      <c r="R292" s="1696"/>
      <c r="T292" s="72" t="s">
        <v>418</v>
      </c>
      <c r="V292" s="72"/>
      <c r="W292" s="72"/>
      <c r="X292" s="72"/>
      <c r="Y292" s="72"/>
      <c r="AA292" s="1696" t="s">
        <v>2417</v>
      </c>
      <c r="AB292" s="1696"/>
      <c r="AC292" s="1696"/>
      <c r="AD292" s="1696"/>
      <c r="AE292" s="1696"/>
      <c r="AF292" s="1696"/>
      <c r="AG292" s="1696"/>
      <c r="AH292" s="1696"/>
      <c r="AI292" s="1696"/>
      <c r="AJ292" s="1696"/>
      <c r="AK292" s="1696"/>
      <c r="BA292" s="75"/>
    </row>
    <row r="293" spans="2:53" ht="12.75" customHeight="1">
      <c r="B293" s="72" t="s">
        <v>419</v>
      </c>
      <c r="C293" s="72"/>
      <c r="D293" s="72"/>
      <c r="E293" s="72"/>
      <c r="F293" s="72"/>
      <c r="G293" s="72"/>
      <c r="H293" s="1699" t="s">
        <v>2383</v>
      </c>
      <c r="I293" s="1698"/>
      <c r="J293" s="1698"/>
      <c r="K293" s="1698"/>
      <c r="L293" s="1698"/>
      <c r="M293" s="1698"/>
      <c r="N293" s="8" t="s">
        <v>900</v>
      </c>
      <c r="O293" s="8"/>
      <c r="P293" s="1692"/>
      <c r="Q293" s="1692"/>
      <c r="R293" s="1692"/>
      <c r="S293" s="72"/>
      <c r="T293" s="72" t="s">
        <v>419</v>
      </c>
      <c r="V293" s="72"/>
      <c r="W293" s="72"/>
      <c r="X293" s="72"/>
      <c r="Y293" s="72"/>
      <c r="AA293" s="1699" t="s">
        <v>2418</v>
      </c>
      <c r="AB293" s="1698"/>
      <c r="AC293" s="1698"/>
      <c r="AD293" s="1698"/>
      <c r="AE293" s="1698"/>
      <c r="AF293" s="1698"/>
      <c r="AG293" s="8" t="s">
        <v>900</v>
      </c>
      <c r="AH293" s="8"/>
      <c r="AI293" s="1692">
        <v>101</v>
      </c>
      <c r="AJ293" s="1692"/>
      <c r="AK293" s="1692"/>
      <c r="BA293" s="75"/>
    </row>
    <row r="294" spans="2:53" ht="12.75">
      <c r="B294" s="72" t="s">
        <v>420</v>
      </c>
      <c r="C294" s="72"/>
      <c r="D294" s="72"/>
      <c r="E294" s="72"/>
      <c r="F294" s="72"/>
      <c r="G294" s="72"/>
      <c r="H294" s="1688" t="s">
        <v>2384</v>
      </c>
      <c r="I294" s="1689"/>
      <c r="J294" s="1689"/>
      <c r="K294" s="1689"/>
      <c r="L294" s="1689"/>
      <c r="M294" s="1689"/>
      <c r="N294" s="74"/>
      <c r="O294" s="74"/>
      <c r="P294" s="76"/>
      <c r="Q294" s="76"/>
      <c r="R294" s="76"/>
      <c r="S294" s="72"/>
      <c r="T294" s="72" t="s">
        <v>420</v>
      </c>
      <c r="V294" s="72"/>
      <c r="W294" s="72"/>
      <c r="X294" s="72"/>
      <c r="Y294" s="72"/>
      <c r="AA294" s="1689"/>
      <c r="AB294" s="1689"/>
      <c r="AC294" s="1689"/>
      <c r="AD294" s="1689"/>
      <c r="AE294" s="1689"/>
      <c r="AF294" s="1689"/>
      <c r="AG294" s="74"/>
      <c r="AH294" s="74"/>
      <c r="AI294" s="76"/>
      <c r="AJ294" s="76"/>
      <c r="AK294" s="76"/>
      <c r="BA294" s="75"/>
    </row>
    <row r="295" spans="2:53" ht="12.75">
      <c r="B295" s="72" t="s">
        <v>768</v>
      </c>
      <c r="C295" s="72"/>
      <c r="D295" s="72"/>
      <c r="E295" s="72"/>
      <c r="F295" s="72"/>
      <c r="G295" s="72"/>
      <c r="H295" s="1696" t="s">
        <v>2393</v>
      </c>
      <c r="I295" s="1696"/>
      <c r="J295" s="1696"/>
      <c r="K295" s="1696"/>
      <c r="L295" s="1696"/>
      <c r="M295" s="1696"/>
      <c r="N295" s="1697"/>
      <c r="O295" s="1697"/>
      <c r="P295" s="1697"/>
      <c r="Q295" s="1697"/>
      <c r="R295" s="1697"/>
      <c r="S295" s="72"/>
      <c r="T295" s="72" t="s">
        <v>768</v>
      </c>
      <c r="V295" s="72"/>
      <c r="W295" s="72"/>
      <c r="X295" s="72"/>
      <c r="Y295" s="72"/>
      <c r="AA295" s="1696" t="s">
        <v>2419</v>
      </c>
      <c r="AB295" s="1696"/>
      <c r="AC295" s="1696"/>
      <c r="AD295" s="1696"/>
      <c r="AE295" s="1696"/>
      <c r="AF295" s="1696"/>
      <c r="AG295" s="1697"/>
      <c r="AH295" s="1697"/>
      <c r="AI295" s="1697"/>
      <c r="AJ295" s="1697"/>
      <c r="AK295" s="1697"/>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488</v>
      </c>
      <c r="C297" s="72"/>
      <c r="D297" s="72"/>
      <c r="E297" s="72"/>
      <c r="F297" s="72"/>
      <c r="H297" s="1697" t="s">
        <v>2394</v>
      </c>
      <c r="I297" s="1697"/>
      <c r="J297" s="1697"/>
      <c r="K297" s="1697"/>
      <c r="L297" s="1697"/>
      <c r="M297" s="1697"/>
      <c r="N297" s="1697"/>
      <c r="O297" s="1697"/>
      <c r="P297" s="1697"/>
      <c r="Q297" s="1697"/>
      <c r="R297" s="1697"/>
      <c r="T297" s="72" t="s">
        <v>40</v>
      </c>
      <c r="V297" s="72"/>
      <c r="W297" s="72"/>
      <c r="X297" s="72"/>
      <c r="Y297" s="72"/>
      <c r="AA297" s="1697" t="s">
        <v>2420</v>
      </c>
      <c r="AB297" s="1697"/>
      <c r="AC297" s="1697"/>
      <c r="AD297" s="1697"/>
      <c r="AE297" s="1697"/>
      <c r="AF297" s="1697"/>
      <c r="AG297" s="1697"/>
      <c r="AH297" s="1697"/>
      <c r="AI297" s="1697"/>
      <c r="AJ297" s="1697"/>
      <c r="AK297" s="1697"/>
      <c r="BA297" s="75"/>
    </row>
    <row r="298" spans="2:53" ht="12.75">
      <c r="B298" s="72" t="s">
        <v>765</v>
      </c>
      <c r="C298" s="72"/>
      <c r="D298" s="72"/>
      <c r="E298" s="72"/>
      <c r="F298" s="72"/>
      <c r="H298" s="1696" t="s">
        <v>2395</v>
      </c>
      <c r="I298" s="1696"/>
      <c r="J298" s="1696"/>
      <c r="K298" s="1696"/>
      <c r="L298" s="1696"/>
      <c r="M298" s="1696"/>
      <c r="N298" s="1696"/>
      <c r="O298" s="1696"/>
      <c r="P298" s="1696"/>
      <c r="Q298" s="1696"/>
      <c r="R298" s="1696"/>
      <c r="T298" s="72" t="s">
        <v>765</v>
      </c>
      <c r="V298" s="72"/>
      <c r="W298" s="72"/>
      <c r="X298" s="72"/>
      <c r="Y298" s="72"/>
      <c r="AA298" s="1696"/>
      <c r="AB298" s="1696"/>
      <c r="AC298" s="1696"/>
      <c r="AD298" s="1696"/>
      <c r="AE298" s="1696"/>
      <c r="AF298" s="1696"/>
      <c r="AG298" s="1696"/>
      <c r="AH298" s="1696"/>
      <c r="AI298" s="1696"/>
      <c r="AJ298" s="1696"/>
      <c r="AK298" s="1696"/>
      <c r="BA298" s="75"/>
    </row>
    <row r="299" spans="2:53" ht="12.75">
      <c r="B299" s="72" t="s">
        <v>767</v>
      </c>
      <c r="C299" s="72"/>
      <c r="D299" s="72"/>
      <c r="E299" s="72"/>
      <c r="F299" s="72"/>
      <c r="H299" s="1696" t="s">
        <v>2396</v>
      </c>
      <c r="I299" s="1696"/>
      <c r="J299" s="1696"/>
      <c r="K299" s="1696"/>
      <c r="L299" s="1696"/>
      <c r="M299" s="1696"/>
      <c r="N299" s="1696"/>
      <c r="O299" s="1696"/>
      <c r="P299" s="1696"/>
      <c r="Q299" s="1696"/>
      <c r="R299" s="1696"/>
      <c r="T299" s="72" t="s">
        <v>766</v>
      </c>
      <c r="V299" s="72"/>
      <c r="W299" s="72"/>
      <c r="X299" s="72"/>
      <c r="Y299" s="72"/>
      <c r="AA299" s="1696"/>
      <c r="AB299" s="1696"/>
      <c r="AC299" s="1696"/>
      <c r="AD299" s="1696"/>
      <c r="AE299" s="1696"/>
      <c r="AF299" s="1696"/>
      <c r="AG299" s="1696"/>
      <c r="AH299" s="1696"/>
      <c r="AI299" s="1696"/>
      <c r="AJ299" s="1696"/>
      <c r="AK299" s="1696"/>
      <c r="BA299" s="75"/>
    </row>
    <row r="300" spans="2:53" ht="12.75">
      <c r="B300" s="72" t="s">
        <v>418</v>
      </c>
      <c r="C300" s="72"/>
      <c r="D300" s="72"/>
      <c r="E300" s="72"/>
      <c r="F300" s="72"/>
      <c r="H300" s="1696" t="s">
        <v>2397</v>
      </c>
      <c r="I300" s="1696"/>
      <c r="J300" s="1696"/>
      <c r="K300" s="1696"/>
      <c r="L300" s="1696"/>
      <c r="M300" s="1696"/>
      <c r="N300" s="1696"/>
      <c r="O300" s="1696"/>
      <c r="P300" s="1696"/>
      <c r="Q300" s="1696"/>
      <c r="R300" s="1696"/>
      <c r="T300" s="72" t="s">
        <v>418</v>
      </c>
      <c r="V300" s="72"/>
      <c r="W300" s="72"/>
      <c r="X300" s="72"/>
      <c r="Y300" s="72"/>
      <c r="AA300" s="1696"/>
      <c r="AB300" s="1696"/>
      <c r="AC300" s="1696"/>
      <c r="AD300" s="1696"/>
      <c r="AE300" s="1696"/>
      <c r="AF300" s="1696"/>
      <c r="AG300" s="1696"/>
      <c r="AH300" s="1696"/>
      <c r="AI300" s="1696"/>
      <c r="AJ300" s="1696"/>
      <c r="AK300" s="1696"/>
      <c r="BA300" s="75"/>
    </row>
    <row r="301" spans="2:53" ht="12.75" customHeight="1">
      <c r="B301" s="72" t="s">
        <v>419</v>
      </c>
      <c r="C301" s="72"/>
      <c r="D301" s="72"/>
      <c r="E301" s="72"/>
      <c r="F301" s="72"/>
      <c r="G301" s="72"/>
      <c r="H301" s="1699" t="s">
        <v>2398</v>
      </c>
      <c r="I301" s="1698"/>
      <c r="J301" s="1698"/>
      <c r="K301" s="1698"/>
      <c r="L301" s="1698"/>
      <c r="M301" s="1698"/>
      <c r="N301" s="8" t="s">
        <v>900</v>
      </c>
      <c r="O301" s="8"/>
      <c r="P301" s="1692"/>
      <c r="Q301" s="1692"/>
      <c r="R301" s="1692"/>
      <c r="S301" s="72"/>
      <c r="T301" s="72" t="s">
        <v>419</v>
      </c>
      <c r="V301" s="72"/>
      <c r="W301" s="72"/>
      <c r="X301" s="72"/>
      <c r="Y301" s="72"/>
      <c r="AA301" s="1698"/>
      <c r="AB301" s="1698"/>
      <c r="AC301" s="1698"/>
      <c r="AD301" s="1698"/>
      <c r="AE301" s="1698"/>
      <c r="AF301" s="1698"/>
      <c r="AG301" s="8" t="s">
        <v>900</v>
      </c>
      <c r="AH301" s="8"/>
      <c r="AI301" s="1692"/>
      <c r="AJ301" s="1692"/>
      <c r="AK301" s="1692"/>
      <c r="BA301" s="75"/>
    </row>
    <row r="302" spans="2:53" ht="12.75">
      <c r="B302" s="72" t="s">
        <v>420</v>
      </c>
      <c r="C302" s="72"/>
      <c r="D302" s="72"/>
      <c r="E302" s="72"/>
      <c r="F302" s="72"/>
      <c r="G302" s="72"/>
      <c r="H302" s="1688" t="s">
        <v>2399</v>
      </c>
      <c r="I302" s="1689"/>
      <c r="J302" s="1689"/>
      <c r="K302" s="1689"/>
      <c r="L302" s="1689"/>
      <c r="M302" s="1689"/>
      <c r="N302" s="74"/>
      <c r="O302" s="74"/>
      <c r="P302" s="76"/>
      <c r="Q302" s="76"/>
      <c r="R302" s="76"/>
      <c r="S302" s="72"/>
      <c r="T302" s="72" t="s">
        <v>420</v>
      </c>
      <c r="V302" s="72"/>
      <c r="W302" s="72"/>
      <c r="X302" s="72"/>
      <c r="Y302" s="72"/>
      <c r="AA302" s="1689"/>
      <c r="AB302" s="1689"/>
      <c r="AC302" s="1689"/>
      <c r="AD302" s="1689"/>
      <c r="AE302" s="1689"/>
      <c r="AF302" s="1689"/>
      <c r="AG302" s="74"/>
      <c r="AH302" s="74"/>
      <c r="AI302" s="76"/>
      <c r="AJ302" s="76"/>
      <c r="AK302" s="76"/>
      <c r="BA302" s="75"/>
    </row>
    <row r="303" spans="2:53" ht="12.75">
      <c r="B303" s="72" t="s">
        <v>768</v>
      </c>
      <c r="C303" s="72"/>
      <c r="D303" s="72"/>
      <c r="E303" s="72"/>
      <c r="F303" s="72"/>
      <c r="G303" s="72"/>
      <c r="H303" s="1696" t="s">
        <v>2400</v>
      </c>
      <c r="I303" s="1696"/>
      <c r="J303" s="1696"/>
      <c r="K303" s="1696"/>
      <c r="L303" s="1696"/>
      <c r="M303" s="1696"/>
      <c r="N303" s="1697"/>
      <c r="O303" s="1697"/>
      <c r="P303" s="1697"/>
      <c r="Q303" s="1697"/>
      <c r="R303" s="1697"/>
      <c r="S303" s="72"/>
      <c r="T303" s="72" t="s">
        <v>768</v>
      </c>
      <c r="V303" s="72"/>
      <c r="W303" s="72"/>
      <c r="X303" s="72"/>
      <c r="Y303" s="72"/>
      <c r="AA303" s="1696"/>
      <c r="AB303" s="1696"/>
      <c r="AC303" s="1696"/>
      <c r="AD303" s="1696"/>
      <c r="AE303" s="1696"/>
      <c r="AF303" s="1696"/>
      <c r="AG303" s="1697"/>
      <c r="AH303" s="1697"/>
      <c r="AI303" s="1697"/>
      <c r="AJ303" s="1697"/>
      <c r="AK303" s="1697"/>
      <c r="BA303" s="75"/>
    </row>
    <row r="304" spans="2:53" ht="12.75">
      <c r="BA304" s="75"/>
    </row>
    <row r="305" spans="1:53" ht="12.75" customHeight="1">
      <c r="B305" s="72" t="s">
        <v>769</v>
      </c>
      <c r="C305" s="72"/>
      <c r="D305" s="72"/>
      <c r="E305" s="72"/>
      <c r="F305" s="72"/>
      <c r="H305" s="1697" t="s">
        <v>2401</v>
      </c>
      <c r="I305" s="1697"/>
      <c r="J305" s="1697"/>
      <c r="K305" s="1697"/>
      <c r="L305" s="1697"/>
      <c r="M305" s="1697"/>
      <c r="N305" s="1697"/>
      <c r="O305" s="1697"/>
      <c r="P305" s="1697"/>
      <c r="Q305" s="1697"/>
      <c r="R305" s="1697"/>
      <c r="T305" s="8" t="s">
        <v>1224</v>
      </c>
      <c r="V305" s="72"/>
      <c r="W305" s="72"/>
      <c r="X305" s="72"/>
      <c r="Y305" s="72"/>
      <c r="AA305" s="1697" t="s">
        <v>2421</v>
      </c>
      <c r="AB305" s="1697"/>
      <c r="AC305" s="1697"/>
      <c r="AD305" s="1697"/>
      <c r="AE305" s="1697"/>
      <c r="AF305" s="1697"/>
      <c r="AG305" s="1697"/>
      <c r="AH305" s="1697"/>
      <c r="AI305" s="1697"/>
      <c r="AJ305" s="1697"/>
      <c r="AK305" s="1697"/>
      <c r="BA305" s="75"/>
    </row>
    <row r="306" spans="1:53" ht="12.75" customHeight="1">
      <c r="B306" s="72" t="s">
        <v>765</v>
      </c>
      <c r="C306" s="72"/>
      <c r="D306" s="72"/>
      <c r="E306" s="72"/>
      <c r="F306" s="72"/>
      <c r="H306" s="1696" t="s">
        <v>2402</v>
      </c>
      <c r="I306" s="1696"/>
      <c r="J306" s="1696"/>
      <c r="K306" s="1696"/>
      <c r="L306" s="1696"/>
      <c r="M306" s="1696"/>
      <c r="N306" s="1696"/>
      <c r="O306" s="1696"/>
      <c r="P306" s="1696"/>
      <c r="Q306" s="1696"/>
      <c r="R306" s="1696"/>
      <c r="T306" s="72" t="s">
        <v>765</v>
      </c>
      <c r="V306" s="72"/>
      <c r="W306" s="72"/>
      <c r="X306" s="72"/>
      <c r="Y306" s="72"/>
      <c r="AA306" s="1696" t="s">
        <v>2422</v>
      </c>
      <c r="AB306" s="1696"/>
      <c r="AC306" s="1696"/>
      <c r="AD306" s="1696"/>
      <c r="AE306" s="1696"/>
      <c r="AF306" s="1696"/>
      <c r="AG306" s="1696"/>
      <c r="AH306" s="1696"/>
      <c r="AI306" s="1696"/>
      <c r="AJ306" s="1696"/>
      <c r="AK306" s="1696"/>
      <c r="BA306" s="75"/>
    </row>
    <row r="307" spans="1:53" ht="12.75" customHeight="1">
      <c r="B307" s="72" t="s">
        <v>767</v>
      </c>
      <c r="C307" s="72"/>
      <c r="D307" s="72"/>
      <c r="E307" s="72"/>
      <c r="F307" s="72"/>
      <c r="H307" s="1696" t="s">
        <v>2403</v>
      </c>
      <c r="I307" s="1696"/>
      <c r="J307" s="1696"/>
      <c r="K307" s="1696"/>
      <c r="L307" s="1696"/>
      <c r="M307" s="1696"/>
      <c r="N307" s="1696"/>
      <c r="O307" s="1696"/>
      <c r="P307" s="1696"/>
      <c r="Q307" s="1696"/>
      <c r="R307" s="1696"/>
      <c r="T307" s="72" t="s">
        <v>766</v>
      </c>
      <c r="V307" s="72"/>
      <c r="W307" s="72"/>
      <c r="X307" s="72"/>
      <c r="Y307" s="72"/>
      <c r="AA307" s="1696" t="s">
        <v>2423</v>
      </c>
      <c r="AB307" s="1696"/>
      <c r="AC307" s="1696"/>
      <c r="AD307" s="1696"/>
      <c r="AE307" s="1696"/>
      <c r="AF307" s="1696"/>
      <c r="AG307" s="1696"/>
      <c r="AH307" s="1696"/>
      <c r="AI307" s="1696"/>
      <c r="AJ307" s="1696"/>
      <c r="AK307" s="1696"/>
      <c r="BA307" s="75"/>
    </row>
    <row r="308" spans="1:53" ht="12.75" customHeight="1">
      <c r="B308" s="72" t="s">
        <v>418</v>
      </c>
      <c r="C308" s="72"/>
      <c r="D308" s="72"/>
      <c r="E308" s="72"/>
      <c r="F308" s="72"/>
      <c r="H308" s="1696" t="s">
        <v>2501</v>
      </c>
      <c r="I308" s="1696"/>
      <c r="J308" s="1696"/>
      <c r="K308" s="1696"/>
      <c r="L308" s="1696"/>
      <c r="M308" s="1696"/>
      <c r="N308" s="1696"/>
      <c r="O308" s="1696"/>
      <c r="P308" s="1696"/>
      <c r="Q308" s="1696"/>
      <c r="R308" s="1696"/>
      <c r="T308" s="72" t="s">
        <v>418</v>
      </c>
      <c r="V308" s="72"/>
      <c r="W308" s="72"/>
      <c r="X308" s="72"/>
      <c r="Y308" s="72"/>
      <c r="AA308" s="1696" t="s">
        <v>2424</v>
      </c>
      <c r="AB308" s="1696"/>
      <c r="AC308" s="1696"/>
      <c r="AD308" s="1696"/>
      <c r="AE308" s="1696"/>
      <c r="AF308" s="1696"/>
      <c r="AG308" s="1696"/>
      <c r="AH308" s="1696"/>
      <c r="AI308" s="1696"/>
      <c r="AJ308" s="1696"/>
      <c r="AK308" s="1696"/>
      <c r="BA308" s="75"/>
    </row>
    <row r="309" spans="1:53" ht="12.75">
      <c r="B309" s="72" t="s">
        <v>419</v>
      </c>
      <c r="C309" s="72"/>
      <c r="D309" s="72"/>
      <c r="E309" s="72"/>
      <c r="F309" s="72"/>
      <c r="G309" s="72"/>
      <c r="H309" s="1699" t="s">
        <v>2502</v>
      </c>
      <c r="I309" s="1699"/>
      <c r="J309" s="1699"/>
      <c r="K309" s="1699"/>
      <c r="L309" s="1699"/>
      <c r="M309" s="1699"/>
      <c r="N309" s="8" t="s">
        <v>900</v>
      </c>
      <c r="O309" s="8"/>
      <c r="P309" s="1692"/>
      <c r="Q309" s="1692"/>
      <c r="R309" s="1692"/>
      <c r="S309" s="72"/>
      <c r="T309" s="72" t="s">
        <v>419</v>
      </c>
      <c r="V309" s="72"/>
      <c r="W309" s="72"/>
      <c r="X309" s="72"/>
      <c r="Y309" s="72"/>
      <c r="AA309" s="1699" t="s">
        <v>2425</v>
      </c>
      <c r="AB309" s="1698"/>
      <c r="AC309" s="1698"/>
      <c r="AD309" s="1698"/>
      <c r="AE309" s="1698"/>
      <c r="AF309" s="1698"/>
      <c r="AG309" s="8" t="s">
        <v>900</v>
      </c>
      <c r="AH309" s="8"/>
      <c r="AI309" s="1692"/>
      <c r="AJ309" s="1692"/>
      <c r="AK309" s="1692"/>
      <c r="BA309" s="75"/>
    </row>
    <row r="310" spans="1:53" ht="12.75">
      <c r="B310" s="72" t="s">
        <v>420</v>
      </c>
      <c r="C310" s="72"/>
      <c r="D310" s="72"/>
      <c r="E310" s="72"/>
      <c r="F310" s="72"/>
      <c r="G310" s="72"/>
      <c r="H310" s="1688" t="s">
        <v>2404</v>
      </c>
      <c r="I310" s="1688"/>
      <c r="J310" s="1688"/>
      <c r="K310" s="1688"/>
      <c r="L310" s="1688"/>
      <c r="M310" s="1688"/>
      <c r="N310" s="74"/>
      <c r="O310" s="74"/>
      <c r="P310" s="76"/>
      <c r="Q310" s="76"/>
      <c r="R310" s="76"/>
      <c r="S310" s="72"/>
      <c r="T310" s="72" t="s">
        <v>420</v>
      </c>
      <c r="V310" s="72"/>
      <c r="W310" s="72"/>
      <c r="X310" s="72"/>
      <c r="Y310" s="72"/>
      <c r="AA310" s="1688" t="s">
        <v>2426</v>
      </c>
      <c r="AB310" s="1689"/>
      <c r="AC310" s="1689"/>
      <c r="AD310" s="1689"/>
      <c r="AE310" s="1689"/>
      <c r="AF310" s="1689"/>
      <c r="AG310" s="74"/>
      <c r="AH310" s="74"/>
      <c r="AI310" s="76"/>
      <c r="AJ310" s="76"/>
      <c r="AK310" s="76"/>
      <c r="BA310" s="75"/>
    </row>
    <row r="311" spans="1:53" ht="12.75">
      <c r="B311" s="72" t="s">
        <v>768</v>
      </c>
      <c r="C311" s="72"/>
      <c r="D311" s="72"/>
      <c r="E311" s="72"/>
      <c r="F311" s="72"/>
      <c r="G311" s="72"/>
      <c r="H311" s="1696" t="s">
        <v>2405</v>
      </c>
      <c r="I311" s="1696"/>
      <c r="J311" s="1696"/>
      <c r="K311" s="1696"/>
      <c r="L311" s="1696"/>
      <c r="M311" s="1696"/>
      <c r="N311" s="1697"/>
      <c r="O311" s="1697"/>
      <c r="P311" s="1697"/>
      <c r="Q311" s="1697"/>
      <c r="R311" s="1697"/>
      <c r="S311" s="72"/>
      <c r="T311" s="72" t="s">
        <v>768</v>
      </c>
      <c r="V311" s="72"/>
      <c r="W311" s="72"/>
      <c r="X311" s="72"/>
      <c r="Y311" s="72"/>
      <c r="AA311" s="1696" t="s">
        <v>2427</v>
      </c>
      <c r="AB311" s="1696"/>
      <c r="AC311" s="1696"/>
      <c r="AD311" s="1696"/>
      <c r="AE311" s="1696"/>
      <c r="AF311" s="1696"/>
      <c r="AG311" s="1697"/>
      <c r="AH311" s="1697"/>
      <c r="AI311" s="1697"/>
      <c r="AJ311" s="1697"/>
      <c r="AK311" s="1697"/>
      <c r="BA311" s="75"/>
    </row>
    <row r="312" spans="1:53" ht="12.75">
      <c r="BA312" s="75"/>
    </row>
    <row r="313" spans="1:53" ht="12.75">
      <c r="B313" s="8" t="s">
        <v>1269</v>
      </c>
      <c r="C313" s="72"/>
      <c r="D313" s="72"/>
      <c r="E313" s="72"/>
      <c r="F313" s="72"/>
      <c r="H313" s="1697" t="s">
        <v>2406</v>
      </c>
      <c r="I313" s="1697"/>
      <c r="J313" s="1697"/>
      <c r="K313" s="1697"/>
      <c r="L313" s="1697"/>
      <c r="M313" s="1697"/>
      <c r="N313" s="1697"/>
      <c r="O313" s="1697"/>
      <c r="P313" s="1697"/>
      <c r="Q313" s="1697"/>
      <c r="R313" s="1697"/>
      <c r="T313" s="72" t="s">
        <v>41</v>
      </c>
      <c r="V313" s="72"/>
      <c r="W313" s="72"/>
      <c r="X313" s="72"/>
      <c r="Y313" s="72"/>
      <c r="AA313" s="1697" t="s">
        <v>2503</v>
      </c>
      <c r="AB313" s="1697"/>
      <c r="AC313" s="1697"/>
      <c r="AD313" s="1697"/>
      <c r="AE313" s="1697"/>
      <c r="AF313" s="1697"/>
      <c r="AG313" s="1697"/>
      <c r="AH313" s="1697"/>
      <c r="AI313" s="1697"/>
      <c r="AJ313" s="1697"/>
      <c r="AK313" s="1697"/>
      <c r="BA313" s="75"/>
    </row>
    <row r="314" spans="1:53" ht="12.75">
      <c r="B314" s="72" t="s">
        <v>765</v>
      </c>
      <c r="C314" s="72"/>
      <c r="D314" s="72"/>
      <c r="E314" s="72"/>
      <c r="F314" s="72"/>
      <c r="H314" s="1696" t="s">
        <v>2402</v>
      </c>
      <c r="I314" s="1696"/>
      <c r="J314" s="1696"/>
      <c r="K314" s="1696"/>
      <c r="L314" s="1696"/>
      <c r="M314" s="1696"/>
      <c r="N314" s="1696"/>
      <c r="O314" s="1696"/>
      <c r="P314" s="1696"/>
      <c r="Q314" s="1696"/>
      <c r="R314" s="1696"/>
      <c r="T314" s="72" t="s">
        <v>765</v>
      </c>
      <c r="V314" s="72"/>
      <c r="W314" s="72"/>
      <c r="X314" s="72"/>
      <c r="Y314" s="72"/>
      <c r="AA314" s="1696"/>
      <c r="AB314" s="1696"/>
      <c r="AC314" s="1696"/>
      <c r="AD314" s="1696"/>
      <c r="AE314" s="1696"/>
      <c r="AF314" s="1696"/>
      <c r="AG314" s="1696"/>
      <c r="AH314" s="1696"/>
      <c r="AI314" s="1696"/>
      <c r="AJ314" s="1696"/>
      <c r="AK314" s="1696"/>
      <c r="BA314" s="75"/>
    </row>
    <row r="315" spans="1:53" ht="12.75" customHeight="1">
      <c r="B315" s="72" t="s">
        <v>767</v>
      </c>
      <c r="C315" s="72"/>
      <c r="D315" s="72"/>
      <c r="E315" s="72"/>
      <c r="F315" s="72"/>
      <c r="H315" s="1696" t="s">
        <v>2403</v>
      </c>
      <c r="I315" s="1696"/>
      <c r="J315" s="1696"/>
      <c r="K315" s="1696"/>
      <c r="L315" s="1696"/>
      <c r="M315" s="1696"/>
      <c r="N315" s="1696"/>
      <c r="O315" s="1696"/>
      <c r="P315" s="1696"/>
      <c r="Q315" s="1696"/>
      <c r="R315" s="1696"/>
      <c r="T315" s="72" t="s">
        <v>766</v>
      </c>
      <c r="V315" s="72"/>
      <c r="W315" s="72"/>
      <c r="X315" s="72"/>
      <c r="Y315" s="72"/>
      <c r="AA315" s="1696"/>
      <c r="AB315" s="1696"/>
      <c r="AC315" s="1696"/>
      <c r="AD315" s="1696"/>
      <c r="AE315" s="1696"/>
      <c r="AF315" s="1696"/>
      <c r="AG315" s="1696"/>
      <c r="AH315" s="1696"/>
      <c r="AI315" s="1696"/>
      <c r="AJ315" s="1696"/>
      <c r="AK315" s="1696"/>
      <c r="BA315" s="75"/>
    </row>
    <row r="316" spans="1:53" ht="12.75" customHeight="1">
      <c r="A316" s="50"/>
      <c r="B316" s="72" t="s">
        <v>418</v>
      </c>
      <c r="C316" s="72"/>
      <c r="D316" s="72"/>
      <c r="E316" s="72"/>
      <c r="F316" s="72"/>
      <c r="H316" s="1696" t="s">
        <v>2501</v>
      </c>
      <c r="I316" s="1696"/>
      <c r="J316" s="1696"/>
      <c r="K316" s="1696"/>
      <c r="L316" s="1696"/>
      <c r="M316" s="1696"/>
      <c r="N316" s="1696"/>
      <c r="O316" s="1696"/>
      <c r="P316" s="1696"/>
      <c r="Q316" s="1696"/>
      <c r="R316" s="1696"/>
      <c r="T316" s="72" t="s">
        <v>418</v>
      </c>
      <c r="V316" s="72"/>
      <c r="W316" s="72"/>
      <c r="X316" s="72"/>
      <c r="Y316" s="72"/>
      <c r="AA316" s="1696"/>
      <c r="AB316" s="1696"/>
      <c r="AC316" s="1696"/>
      <c r="AD316" s="1696"/>
      <c r="AE316" s="1696"/>
      <c r="AF316" s="1696"/>
      <c r="AG316" s="1696"/>
      <c r="AH316" s="1696"/>
      <c r="AI316" s="1696"/>
      <c r="AJ316" s="1696"/>
      <c r="AK316" s="1696"/>
      <c r="AL316" s="50"/>
      <c r="BA316" s="75"/>
    </row>
    <row r="317" spans="1:53" ht="12.75" customHeight="1">
      <c r="A317" s="50"/>
      <c r="B317" s="72" t="s">
        <v>419</v>
      </c>
      <c r="C317" s="72"/>
      <c r="D317" s="72"/>
      <c r="E317" s="72"/>
      <c r="F317" s="72"/>
      <c r="G317" s="72"/>
      <c r="H317" s="1699" t="s">
        <v>2502</v>
      </c>
      <c r="I317" s="1699"/>
      <c r="J317" s="1699"/>
      <c r="K317" s="1699"/>
      <c r="L317" s="1699"/>
      <c r="M317" s="1699"/>
      <c r="N317" s="8" t="s">
        <v>900</v>
      </c>
      <c r="O317" s="8"/>
      <c r="P317" s="1692"/>
      <c r="Q317" s="1692"/>
      <c r="R317" s="1692"/>
      <c r="S317" s="72"/>
      <c r="T317" s="72" t="s">
        <v>419</v>
      </c>
      <c r="V317" s="72"/>
      <c r="W317" s="72"/>
      <c r="X317" s="72"/>
      <c r="Y317" s="72"/>
      <c r="AA317" s="1698"/>
      <c r="AB317" s="1698"/>
      <c r="AC317" s="1698"/>
      <c r="AD317" s="1698"/>
      <c r="AE317" s="1698"/>
      <c r="AF317" s="1698"/>
      <c r="AG317" s="8" t="s">
        <v>900</v>
      </c>
      <c r="AH317" s="8"/>
      <c r="AI317" s="1692"/>
      <c r="AJ317" s="1692"/>
      <c r="AK317" s="1692"/>
      <c r="AL317" s="50"/>
      <c r="BA317" s="75"/>
    </row>
    <row r="318" spans="1:53" ht="12.75" customHeight="1">
      <c r="A318" s="50"/>
      <c r="B318" s="72" t="s">
        <v>420</v>
      </c>
      <c r="C318" s="72"/>
      <c r="D318" s="72"/>
      <c r="E318" s="72"/>
      <c r="F318" s="72"/>
      <c r="G318" s="72"/>
      <c r="H318" s="1688" t="s">
        <v>2404</v>
      </c>
      <c r="I318" s="1688"/>
      <c r="J318" s="1688"/>
      <c r="K318" s="1688"/>
      <c r="L318" s="1688"/>
      <c r="M318" s="1688"/>
      <c r="N318" s="74"/>
      <c r="O318" s="74"/>
      <c r="P318" s="76"/>
      <c r="Q318" s="76"/>
      <c r="R318" s="76"/>
      <c r="S318" s="72"/>
      <c r="T318" s="72" t="s">
        <v>420</v>
      </c>
      <c r="V318" s="72"/>
      <c r="W318" s="72"/>
      <c r="X318" s="72"/>
      <c r="Y318" s="72"/>
      <c r="AA318" s="1689"/>
      <c r="AB318" s="1689"/>
      <c r="AC318" s="1689"/>
      <c r="AD318" s="1689"/>
      <c r="AE318" s="1689"/>
      <c r="AF318" s="1689"/>
      <c r="AG318" s="74"/>
      <c r="AH318" s="74"/>
      <c r="AI318" s="76"/>
      <c r="AJ318" s="76"/>
      <c r="AK318" s="76"/>
      <c r="AL318" s="50"/>
      <c r="BA318" s="75"/>
    </row>
    <row r="319" spans="1:53" ht="12.75">
      <c r="A319" s="50"/>
      <c r="B319" s="72" t="s">
        <v>768</v>
      </c>
      <c r="C319" s="72"/>
      <c r="D319" s="72"/>
      <c r="E319" s="72"/>
      <c r="F319" s="72"/>
      <c r="G319" s="72"/>
      <c r="H319" s="1696" t="s">
        <v>2407</v>
      </c>
      <c r="I319" s="1696"/>
      <c r="J319" s="1696"/>
      <c r="K319" s="1696"/>
      <c r="L319" s="1696"/>
      <c r="M319" s="1696"/>
      <c r="N319" s="1697"/>
      <c r="O319" s="1697"/>
      <c r="P319" s="1697"/>
      <c r="Q319" s="1697"/>
      <c r="R319" s="1697"/>
      <c r="S319" s="72"/>
      <c r="T319" s="72" t="s">
        <v>768</v>
      </c>
      <c r="V319" s="72"/>
      <c r="W319" s="72"/>
      <c r="X319" s="72"/>
      <c r="Y319" s="72"/>
      <c r="AA319" s="1696"/>
      <c r="AB319" s="1696"/>
      <c r="AC319" s="1696"/>
      <c r="AD319" s="1696"/>
      <c r="AE319" s="1696"/>
      <c r="AF319" s="1696"/>
      <c r="AG319" s="1697"/>
      <c r="AH319" s="1697"/>
      <c r="AI319" s="1697"/>
      <c r="AJ319" s="1697"/>
      <c r="AK319" s="1697"/>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1270</v>
      </c>
      <c r="C321" s="72"/>
      <c r="D321" s="72"/>
      <c r="E321" s="72"/>
      <c r="F321" s="72"/>
      <c r="H321" s="1697" t="s">
        <v>2408</v>
      </c>
      <c r="I321" s="1697"/>
      <c r="J321" s="1697"/>
      <c r="K321" s="1697"/>
      <c r="L321" s="1697"/>
      <c r="M321" s="1697"/>
      <c r="N321" s="1697"/>
      <c r="O321" s="1697"/>
      <c r="P321" s="1697"/>
      <c r="Q321" s="1697"/>
      <c r="R321" s="1697"/>
      <c r="T321" s="72" t="s">
        <v>42</v>
      </c>
      <c r="V321" s="72"/>
      <c r="W321" s="72"/>
      <c r="X321" s="72"/>
      <c r="Y321" s="72"/>
      <c r="AA321" s="1697" t="s">
        <v>2470</v>
      </c>
      <c r="AB321" s="1697"/>
      <c r="AC321" s="1697"/>
      <c r="AD321" s="1697"/>
      <c r="AE321" s="1697"/>
      <c r="AF321" s="1697"/>
      <c r="AG321" s="1697"/>
      <c r="AH321" s="1697"/>
      <c r="AI321" s="1697"/>
      <c r="AJ321" s="1697"/>
      <c r="AK321" s="1697"/>
      <c r="AL321" s="50"/>
      <c r="BA321" s="75"/>
    </row>
    <row r="322" spans="1:53" ht="12.75">
      <c r="A322" s="50"/>
      <c r="B322" s="72" t="s">
        <v>765</v>
      </c>
      <c r="C322" s="72"/>
      <c r="D322" s="72"/>
      <c r="E322" s="72"/>
      <c r="F322" s="72"/>
      <c r="H322" s="1696" t="s">
        <v>2409</v>
      </c>
      <c r="I322" s="1696"/>
      <c r="J322" s="1696"/>
      <c r="K322" s="1696"/>
      <c r="L322" s="1696"/>
      <c r="M322" s="1696"/>
      <c r="N322" s="1696"/>
      <c r="O322" s="1696"/>
      <c r="P322" s="1696"/>
      <c r="Q322" s="1696"/>
      <c r="R322" s="1696"/>
      <c r="T322" s="72" t="s">
        <v>765</v>
      </c>
      <c r="V322" s="72"/>
      <c r="W322" s="72"/>
      <c r="X322" s="72"/>
      <c r="Y322" s="72"/>
      <c r="AA322" s="1696" t="s">
        <v>2428</v>
      </c>
      <c r="AB322" s="1696"/>
      <c r="AC322" s="1696"/>
      <c r="AD322" s="1696"/>
      <c r="AE322" s="1696"/>
      <c r="AF322" s="1696"/>
      <c r="AG322" s="1696"/>
      <c r="AH322" s="1696"/>
      <c r="AI322" s="1696"/>
      <c r="AJ322" s="1696"/>
      <c r="AK322" s="1696"/>
      <c r="AL322" s="50"/>
      <c r="BA322" s="75"/>
    </row>
    <row r="323" spans="1:53" ht="12.75">
      <c r="A323" s="50"/>
      <c r="B323" s="72" t="s">
        <v>767</v>
      </c>
      <c r="C323" s="72"/>
      <c r="D323" s="72"/>
      <c r="E323" s="72"/>
      <c r="F323" s="72"/>
      <c r="H323" s="1696" t="s">
        <v>2410</v>
      </c>
      <c r="I323" s="1696"/>
      <c r="J323" s="1696"/>
      <c r="K323" s="1696"/>
      <c r="L323" s="1696"/>
      <c r="M323" s="1696"/>
      <c r="N323" s="1696"/>
      <c r="O323" s="1696"/>
      <c r="P323" s="1696"/>
      <c r="Q323" s="1696"/>
      <c r="R323" s="1696"/>
      <c r="T323" s="72" t="s">
        <v>766</v>
      </c>
      <c r="V323" s="72"/>
      <c r="W323" s="72"/>
      <c r="X323" s="72"/>
      <c r="Y323" s="72"/>
      <c r="AA323" s="1696" t="s">
        <v>2429</v>
      </c>
      <c r="AB323" s="1696"/>
      <c r="AC323" s="1696"/>
      <c r="AD323" s="1696"/>
      <c r="AE323" s="1696"/>
      <c r="AF323" s="1696"/>
      <c r="AG323" s="1696"/>
      <c r="AH323" s="1696"/>
      <c r="AI323" s="1696"/>
      <c r="AJ323" s="1696"/>
      <c r="AK323" s="1696"/>
      <c r="AL323" s="50"/>
      <c r="BA323" s="75"/>
    </row>
    <row r="324" spans="1:53" ht="12.75">
      <c r="A324" s="50"/>
      <c r="B324" s="72" t="s">
        <v>418</v>
      </c>
      <c r="C324" s="72"/>
      <c r="D324" s="72"/>
      <c r="E324" s="72"/>
      <c r="F324" s="72"/>
      <c r="H324" s="1701" t="s">
        <v>2523</v>
      </c>
      <c r="I324" s="1696"/>
      <c r="J324" s="1696"/>
      <c r="K324" s="1696"/>
      <c r="L324" s="1696"/>
      <c r="M324" s="1696"/>
      <c r="N324" s="1696"/>
      <c r="O324" s="1696"/>
      <c r="P324" s="1696"/>
      <c r="Q324" s="1696"/>
      <c r="R324" s="1696"/>
      <c r="T324" s="72" t="s">
        <v>418</v>
      </c>
      <c r="V324" s="72"/>
      <c r="W324" s="72"/>
      <c r="X324" s="72"/>
      <c r="Y324" s="72"/>
      <c r="AA324" s="1696" t="s">
        <v>2534</v>
      </c>
      <c r="AB324" s="1696"/>
      <c r="AC324" s="1696"/>
      <c r="AD324" s="1696"/>
      <c r="AE324" s="1696"/>
      <c r="AF324" s="1696"/>
      <c r="AG324" s="1696"/>
      <c r="AH324" s="1696"/>
      <c r="AI324" s="1696"/>
      <c r="AJ324" s="1696"/>
      <c r="AK324" s="1696"/>
      <c r="AL324" s="50"/>
      <c r="BA324" s="75"/>
    </row>
    <row r="325" spans="1:53" ht="12.75">
      <c r="A325" s="50"/>
      <c r="B325" s="72" t="s">
        <v>419</v>
      </c>
      <c r="C325" s="72"/>
      <c r="D325" s="72"/>
      <c r="E325" s="72"/>
      <c r="F325" s="72"/>
      <c r="G325" s="72"/>
      <c r="H325" s="1699" t="s">
        <v>2411</v>
      </c>
      <c r="I325" s="1698"/>
      <c r="J325" s="1698"/>
      <c r="K325" s="1698"/>
      <c r="L325" s="1698"/>
      <c r="M325" s="1698"/>
      <c r="N325" s="8" t="s">
        <v>900</v>
      </c>
      <c r="O325" s="8"/>
      <c r="P325" s="1692"/>
      <c r="Q325" s="1692"/>
      <c r="R325" s="1692"/>
      <c r="S325" s="72"/>
      <c r="T325" s="72" t="s">
        <v>419</v>
      </c>
      <c r="V325" s="72"/>
      <c r="W325" s="72"/>
      <c r="X325" s="72"/>
      <c r="Y325" s="72"/>
      <c r="AA325" s="1699" t="s">
        <v>2430</v>
      </c>
      <c r="AB325" s="1698"/>
      <c r="AC325" s="1698"/>
      <c r="AD325" s="1698"/>
      <c r="AE325" s="1698"/>
      <c r="AF325" s="1698"/>
      <c r="AG325" s="8" t="s">
        <v>900</v>
      </c>
      <c r="AH325" s="8"/>
      <c r="AI325" s="1692"/>
      <c r="AJ325" s="1692"/>
      <c r="AK325" s="1692"/>
      <c r="AL325" s="50"/>
      <c r="BA325" s="75"/>
    </row>
    <row r="326" spans="1:53" ht="12.75">
      <c r="A326" s="50"/>
      <c r="B326" s="72" t="s">
        <v>420</v>
      </c>
      <c r="C326" s="72"/>
      <c r="D326" s="72"/>
      <c r="E326" s="72"/>
      <c r="F326" s="72"/>
      <c r="G326" s="72"/>
      <c r="H326" s="1688" t="s">
        <v>136</v>
      </c>
      <c r="I326" s="1689"/>
      <c r="J326" s="1689"/>
      <c r="K326" s="1689"/>
      <c r="L326" s="1689"/>
      <c r="M326" s="1689"/>
      <c r="N326" s="74"/>
      <c r="O326" s="74"/>
      <c r="P326" s="76"/>
      <c r="Q326" s="76"/>
      <c r="R326" s="76"/>
      <c r="S326" s="72"/>
      <c r="T326" s="72" t="s">
        <v>420</v>
      </c>
      <c r="V326" s="72"/>
      <c r="W326" s="72"/>
      <c r="X326" s="72"/>
      <c r="Y326" s="72"/>
      <c r="AA326" s="1688" t="s">
        <v>2431</v>
      </c>
      <c r="AB326" s="1689"/>
      <c r="AC326" s="1689"/>
      <c r="AD326" s="1689"/>
      <c r="AE326" s="1689"/>
      <c r="AF326" s="1689"/>
      <c r="AG326" s="74"/>
      <c r="AH326" s="74"/>
      <c r="AI326" s="76"/>
      <c r="AJ326" s="76"/>
      <c r="AK326" s="76"/>
      <c r="AL326" s="50"/>
      <c r="BA326" s="75"/>
    </row>
    <row r="327" spans="1:53" ht="12.75">
      <c r="A327" s="50"/>
      <c r="B327" s="72" t="s">
        <v>768</v>
      </c>
      <c r="C327" s="72"/>
      <c r="D327" s="72"/>
      <c r="E327" s="72"/>
      <c r="F327" s="72"/>
      <c r="G327" s="72"/>
      <c r="H327" s="1696" t="s">
        <v>2412</v>
      </c>
      <c r="I327" s="1696"/>
      <c r="J327" s="1696"/>
      <c r="K327" s="1696"/>
      <c r="L327" s="1696"/>
      <c r="M327" s="1696"/>
      <c r="N327" s="1697"/>
      <c r="O327" s="1697"/>
      <c r="P327" s="1697"/>
      <c r="Q327" s="1697"/>
      <c r="R327" s="1697"/>
      <c r="S327" s="72"/>
      <c r="T327" s="72" t="s">
        <v>768</v>
      </c>
      <c r="V327" s="72"/>
      <c r="W327" s="72"/>
      <c r="X327" s="72"/>
      <c r="Y327" s="72"/>
      <c r="AA327" s="1696" t="s">
        <v>2432</v>
      </c>
      <c r="AB327" s="1696"/>
      <c r="AC327" s="1696"/>
      <c r="AD327" s="1696"/>
      <c r="AE327" s="1696"/>
      <c r="AF327" s="1696"/>
      <c r="AG327" s="1697"/>
      <c r="AH327" s="1697"/>
      <c r="AI327" s="1697"/>
      <c r="AJ327" s="1697"/>
      <c r="AK327" s="1697"/>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697" t="s">
        <v>136</v>
      </c>
      <c r="I329" s="1697"/>
      <c r="J329" s="1697"/>
      <c r="K329" s="1697"/>
      <c r="L329" s="1697"/>
      <c r="M329" s="1697"/>
      <c r="N329" s="1697"/>
      <c r="O329" s="1697"/>
      <c r="P329" s="1697"/>
      <c r="Q329" s="1697"/>
      <c r="R329" s="1697"/>
      <c r="S329" s="722"/>
      <c r="T329" s="651" t="s">
        <v>1225</v>
      </c>
      <c r="V329" s="72"/>
      <c r="W329" s="72"/>
      <c r="X329" s="72"/>
      <c r="Y329" s="72"/>
      <c r="AA329" s="1697" t="s">
        <v>2504</v>
      </c>
      <c r="AB329" s="1697"/>
      <c r="AC329" s="1697"/>
      <c r="AD329" s="1697"/>
      <c r="AE329" s="1697"/>
      <c r="AF329" s="1697"/>
      <c r="AG329" s="1697"/>
      <c r="AH329" s="1697"/>
      <c r="AI329" s="1697"/>
      <c r="AJ329" s="1697"/>
      <c r="AK329" s="1697"/>
      <c r="AL329" s="50"/>
      <c r="BA329" s="75"/>
    </row>
    <row r="330" spans="1:53" ht="12.75">
      <c r="B330" s="72" t="s">
        <v>765</v>
      </c>
      <c r="C330" s="72"/>
      <c r="D330" s="72"/>
      <c r="E330" s="72"/>
      <c r="F330" s="72"/>
      <c r="H330" s="1696"/>
      <c r="I330" s="1696"/>
      <c r="J330" s="1696"/>
      <c r="K330" s="1696"/>
      <c r="L330" s="1696"/>
      <c r="M330" s="1696"/>
      <c r="N330" s="1696"/>
      <c r="O330" s="1696"/>
      <c r="P330" s="1696"/>
      <c r="Q330" s="1696"/>
      <c r="R330" s="1696"/>
      <c r="S330" s="722"/>
      <c r="T330" s="72" t="s">
        <v>765</v>
      </c>
      <c r="V330" s="72"/>
      <c r="W330" s="72"/>
      <c r="X330" s="72"/>
      <c r="Y330" s="72"/>
      <c r="AA330" s="1696" t="s">
        <v>2527</v>
      </c>
      <c r="AB330" s="1696"/>
      <c r="AC330" s="1696"/>
      <c r="AD330" s="1696"/>
      <c r="AE330" s="1696"/>
      <c r="AF330" s="1696"/>
      <c r="AG330" s="1696"/>
      <c r="AH330" s="1696"/>
      <c r="AI330" s="1696"/>
      <c r="AJ330" s="1696"/>
      <c r="AK330" s="1696"/>
      <c r="AL330" s="50"/>
      <c r="BA330" s="75"/>
    </row>
    <row r="331" spans="1:53" ht="12.75">
      <c r="B331" s="72" t="s">
        <v>767</v>
      </c>
      <c r="C331" s="72"/>
      <c r="D331" s="72"/>
      <c r="E331" s="72"/>
      <c r="F331" s="72"/>
      <c r="G331" s="72"/>
      <c r="H331" s="1696"/>
      <c r="I331" s="1696"/>
      <c r="J331" s="1696"/>
      <c r="K331" s="1696"/>
      <c r="L331" s="1696"/>
      <c r="M331" s="1696"/>
      <c r="N331" s="1696"/>
      <c r="O331" s="1696"/>
      <c r="P331" s="1696"/>
      <c r="Q331" s="1696"/>
      <c r="R331" s="1696"/>
      <c r="S331" s="722"/>
      <c r="T331" s="72" t="s">
        <v>766</v>
      </c>
      <c r="V331" s="72"/>
      <c r="W331" s="72"/>
      <c r="X331" s="72"/>
      <c r="Y331" s="72"/>
      <c r="AA331" s="1696" t="s">
        <v>2528</v>
      </c>
      <c r="AB331" s="1696"/>
      <c r="AC331" s="1696"/>
      <c r="AD331" s="1696"/>
      <c r="AE331" s="1696"/>
      <c r="AF331" s="1696"/>
      <c r="AG331" s="1696"/>
      <c r="AH331" s="1696"/>
      <c r="AI331" s="1696"/>
      <c r="AJ331" s="1696"/>
      <c r="AK331" s="1696"/>
      <c r="AL331" s="50"/>
      <c r="BA331" s="75"/>
    </row>
    <row r="332" spans="1:53" ht="12.75">
      <c r="A332" s="50"/>
      <c r="B332" s="72" t="s">
        <v>418</v>
      </c>
      <c r="C332" s="72"/>
      <c r="D332" s="72"/>
      <c r="E332" s="72"/>
      <c r="F332" s="72"/>
      <c r="H332" s="1696"/>
      <c r="I332" s="1696"/>
      <c r="J332" s="1696"/>
      <c r="K332" s="1696"/>
      <c r="L332" s="1696"/>
      <c r="M332" s="1696"/>
      <c r="N332" s="1696"/>
      <c r="O332" s="1696"/>
      <c r="P332" s="1696"/>
      <c r="Q332" s="1696"/>
      <c r="R332" s="1696"/>
      <c r="S332" s="722"/>
      <c r="T332" s="72" t="s">
        <v>418</v>
      </c>
      <c r="V332" s="72"/>
      <c r="W332" s="72"/>
      <c r="X332" s="72"/>
      <c r="Y332" s="72"/>
      <c r="AA332" s="1696" t="s">
        <v>2529</v>
      </c>
      <c r="AB332" s="1696"/>
      <c r="AC332" s="1696"/>
      <c r="AD332" s="1696"/>
      <c r="AE332" s="1696"/>
      <c r="AF332" s="1696"/>
      <c r="AG332" s="1696"/>
      <c r="AH332" s="1696"/>
      <c r="AI332" s="1696"/>
      <c r="AJ332" s="1696"/>
      <c r="AK332" s="1696"/>
      <c r="AL332" s="50"/>
      <c r="BA332" s="75"/>
    </row>
    <row r="333" spans="1:53" ht="12.75">
      <c r="A333" s="50"/>
      <c r="B333" s="72" t="s">
        <v>419</v>
      </c>
      <c r="C333" s="72"/>
      <c r="D333" s="72"/>
      <c r="E333" s="72"/>
      <c r="F333" s="72"/>
      <c r="G333" s="72"/>
      <c r="H333" s="1699"/>
      <c r="I333" s="1698"/>
      <c r="J333" s="1698"/>
      <c r="K333" s="1698"/>
      <c r="L333" s="1698"/>
      <c r="M333" s="1698"/>
      <c r="N333" s="8" t="s">
        <v>900</v>
      </c>
      <c r="O333" s="8"/>
      <c r="P333" s="1692"/>
      <c r="Q333" s="1692"/>
      <c r="R333" s="1692"/>
      <c r="S333" s="3"/>
      <c r="T333" s="72" t="s">
        <v>419</v>
      </c>
      <c r="V333" s="72"/>
      <c r="W333" s="72"/>
      <c r="X333" s="72"/>
      <c r="Y333" s="72"/>
      <c r="AA333" s="1699" t="s">
        <v>2530</v>
      </c>
      <c r="AB333" s="1698"/>
      <c r="AC333" s="1698"/>
      <c r="AD333" s="1698"/>
      <c r="AE333" s="1698"/>
      <c r="AF333" s="1698"/>
      <c r="AG333" s="8" t="s">
        <v>900</v>
      </c>
      <c r="AH333" s="8"/>
      <c r="AI333" s="1692"/>
      <c r="AJ333" s="1692"/>
      <c r="AK333" s="1692"/>
      <c r="AL333" s="50"/>
      <c r="BA333" s="75"/>
    </row>
    <row r="334" spans="1:53" ht="12.75">
      <c r="A334" s="50"/>
      <c r="B334" s="72" t="s">
        <v>420</v>
      </c>
      <c r="C334" s="72"/>
      <c r="D334" s="72"/>
      <c r="E334" s="72"/>
      <c r="F334" s="72"/>
      <c r="G334" s="72"/>
      <c r="H334" s="1688"/>
      <c r="I334" s="1689"/>
      <c r="J334" s="1689"/>
      <c r="K334" s="1689"/>
      <c r="L334" s="1689"/>
      <c r="M334" s="1689"/>
      <c r="N334" s="74"/>
      <c r="O334" s="74"/>
      <c r="P334" s="76"/>
      <c r="Q334" s="76"/>
      <c r="R334" s="76"/>
      <c r="S334" s="3"/>
      <c r="T334" s="72" t="s">
        <v>420</v>
      </c>
      <c r="V334" s="72"/>
      <c r="W334" s="72"/>
      <c r="X334" s="72"/>
      <c r="Y334" s="72"/>
      <c r="AA334" s="1688"/>
      <c r="AB334" s="1689"/>
      <c r="AC334" s="1689"/>
      <c r="AD334" s="1689"/>
      <c r="AE334" s="1689"/>
      <c r="AF334" s="1689"/>
      <c r="AG334" s="74"/>
      <c r="AH334" s="74"/>
      <c r="AI334" s="76"/>
      <c r="AJ334" s="76"/>
      <c r="AK334" s="76"/>
      <c r="AL334" s="50"/>
      <c r="BA334" s="75"/>
    </row>
    <row r="335" spans="1:53" ht="12.75">
      <c r="A335" s="50"/>
      <c r="B335" s="72" t="s">
        <v>768</v>
      </c>
      <c r="C335" s="72"/>
      <c r="D335" s="72"/>
      <c r="E335" s="72"/>
      <c r="F335" s="72"/>
      <c r="G335" s="72"/>
      <c r="H335" s="1696"/>
      <c r="I335" s="1696"/>
      <c r="J335" s="1696"/>
      <c r="K335" s="1696"/>
      <c r="L335" s="1696"/>
      <c r="M335" s="1696"/>
      <c r="N335" s="1697"/>
      <c r="O335" s="1697"/>
      <c r="P335" s="1697"/>
      <c r="Q335" s="1697"/>
      <c r="R335" s="1697"/>
      <c r="S335" s="722"/>
      <c r="T335" s="72" t="s">
        <v>768</v>
      </c>
      <c r="V335" s="72"/>
      <c r="W335" s="72"/>
      <c r="X335" s="72"/>
      <c r="Y335" s="72"/>
      <c r="AA335" s="1696" t="s">
        <v>2531</v>
      </c>
      <c r="AB335" s="1696"/>
      <c r="AC335" s="1696"/>
      <c r="AD335" s="1696"/>
      <c r="AE335" s="1696"/>
      <c r="AF335" s="1696"/>
      <c r="AG335" s="1697"/>
      <c r="AH335" s="1697"/>
      <c r="AI335" s="1697"/>
      <c r="AJ335" s="1697"/>
      <c r="AK335" s="1697"/>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1" t="s">
        <v>44</v>
      </c>
      <c r="C337" s="595"/>
      <c r="D337" s="595"/>
      <c r="E337" s="595"/>
      <c r="F337" s="595"/>
      <c r="G337" s="596"/>
      <c r="H337" s="1697" t="s">
        <v>2413</v>
      </c>
      <c r="I337" s="1697"/>
      <c r="J337" s="1697"/>
      <c r="K337" s="1697"/>
      <c r="L337" s="1697"/>
      <c r="M337" s="1697"/>
      <c r="N337" s="1697"/>
      <c r="O337" s="1697"/>
      <c r="P337" s="1697"/>
      <c r="Q337" s="1697"/>
      <c r="R337" s="1697"/>
      <c r="T337" s="595" t="s">
        <v>1268</v>
      </c>
      <c r="AA337" s="1697"/>
      <c r="AB337" s="1697"/>
      <c r="AC337" s="1697"/>
      <c r="AD337" s="1697"/>
      <c r="AE337" s="1697"/>
      <c r="AF337" s="1697"/>
      <c r="AG337" s="1697"/>
      <c r="AH337" s="1697"/>
      <c r="AI337" s="1697"/>
      <c r="AJ337" s="1697"/>
      <c r="AK337" s="1697"/>
      <c r="AL337" s="50"/>
      <c r="BA337" s="75"/>
    </row>
    <row r="338" spans="1:53" ht="12.75">
      <c r="A338" s="50"/>
      <c r="B338" s="595" t="s">
        <v>765</v>
      </c>
      <c r="C338" s="595"/>
      <c r="D338" s="595"/>
      <c r="E338" s="595"/>
      <c r="F338" s="595"/>
      <c r="G338" s="596"/>
      <c r="H338" s="1696"/>
      <c r="I338" s="1696"/>
      <c r="J338" s="1696"/>
      <c r="K338" s="1696"/>
      <c r="L338" s="1696"/>
      <c r="M338" s="1696"/>
      <c r="N338" s="1696"/>
      <c r="O338" s="1696"/>
      <c r="P338" s="1696"/>
      <c r="Q338" s="1696"/>
      <c r="R338" s="1696"/>
      <c r="T338" s="72" t="s">
        <v>765</v>
      </c>
      <c r="AA338" s="1696"/>
      <c r="AB338" s="1696"/>
      <c r="AC338" s="1696"/>
      <c r="AD338" s="1696"/>
      <c r="AE338" s="1696"/>
      <c r="AF338" s="1696"/>
      <c r="AG338" s="1696"/>
      <c r="AH338" s="1696"/>
      <c r="AI338" s="1696"/>
      <c r="AJ338" s="1696"/>
      <c r="AK338" s="1696"/>
      <c r="AL338" s="50"/>
      <c r="BA338" s="75"/>
    </row>
    <row r="339" spans="1:53" ht="12.75">
      <c r="A339" s="50"/>
      <c r="B339" s="595" t="s">
        <v>767</v>
      </c>
      <c r="C339" s="595"/>
      <c r="D339" s="595"/>
      <c r="E339" s="595"/>
      <c r="F339" s="595"/>
      <c r="G339" s="595"/>
      <c r="H339" s="1696"/>
      <c r="I339" s="1696"/>
      <c r="J339" s="1696"/>
      <c r="K339" s="1696"/>
      <c r="L339" s="1696"/>
      <c r="M339" s="1696"/>
      <c r="N339" s="1696"/>
      <c r="O339" s="1696"/>
      <c r="P339" s="1696"/>
      <c r="Q339" s="1696"/>
      <c r="R339" s="1696"/>
      <c r="T339" s="72" t="s">
        <v>766</v>
      </c>
      <c r="AA339" s="1696"/>
      <c r="AB339" s="1696"/>
      <c r="AC339" s="1696"/>
      <c r="AD339" s="1696"/>
      <c r="AE339" s="1696"/>
      <c r="AF339" s="1696"/>
      <c r="AG339" s="1696"/>
      <c r="AH339" s="1696"/>
      <c r="AI339" s="1696"/>
      <c r="AJ339" s="1696"/>
      <c r="AK339" s="1696"/>
      <c r="AL339" s="50"/>
    </row>
    <row r="340" spans="1:53" ht="12.75">
      <c r="A340" s="50"/>
      <c r="B340" s="595" t="s">
        <v>418</v>
      </c>
      <c r="C340" s="595"/>
      <c r="D340" s="595"/>
      <c r="E340" s="595"/>
      <c r="F340" s="595"/>
      <c r="G340" s="596"/>
      <c r="H340" s="1696"/>
      <c r="I340" s="1696"/>
      <c r="J340" s="1696"/>
      <c r="K340" s="1696"/>
      <c r="L340" s="1696"/>
      <c r="M340" s="1696"/>
      <c r="N340" s="1696"/>
      <c r="O340" s="1696"/>
      <c r="P340" s="1696"/>
      <c r="Q340" s="1696"/>
      <c r="R340" s="1696"/>
      <c r="T340" s="72" t="s">
        <v>418</v>
      </c>
      <c r="AA340" s="1696"/>
      <c r="AB340" s="1696"/>
      <c r="AC340" s="1696"/>
      <c r="AD340" s="1696"/>
      <c r="AE340" s="1696"/>
      <c r="AF340" s="1696"/>
      <c r="AG340" s="1696"/>
      <c r="AH340" s="1696"/>
      <c r="AI340" s="1696"/>
      <c r="AJ340" s="1696"/>
      <c r="AK340" s="1696"/>
      <c r="AL340" s="50"/>
    </row>
    <row r="341" spans="1:53" ht="12.75">
      <c r="A341" s="50"/>
      <c r="B341" s="595" t="s">
        <v>419</v>
      </c>
      <c r="C341" s="595"/>
      <c r="D341" s="595"/>
      <c r="E341" s="595"/>
      <c r="F341" s="595"/>
      <c r="G341" s="595"/>
      <c r="H341" s="1698"/>
      <c r="I341" s="1698"/>
      <c r="J341" s="1698"/>
      <c r="K341" s="1698"/>
      <c r="L341" s="1698"/>
      <c r="M341" s="1698"/>
      <c r="N341" s="8" t="s">
        <v>900</v>
      </c>
      <c r="O341" s="8"/>
      <c r="P341" s="1692"/>
      <c r="Q341" s="1692"/>
      <c r="R341" s="1692"/>
      <c r="T341" s="72" t="s">
        <v>419</v>
      </c>
      <c r="AA341" s="1698"/>
      <c r="AB341" s="1698"/>
      <c r="AC341" s="1698"/>
      <c r="AD341" s="1698"/>
      <c r="AE341" s="1698"/>
      <c r="AF341" s="1698"/>
      <c r="AG341" s="8" t="s">
        <v>900</v>
      </c>
      <c r="AH341" s="8"/>
      <c r="AI341" s="1692"/>
      <c r="AJ341" s="1692"/>
      <c r="AK341" s="1692"/>
      <c r="AL341" s="50"/>
    </row>
    <row r="342" spans="1:53" ht="12.75">
      <c r="A342" s="50"/>
      <c r="B342" s="595" t="s">
        <v>420</v>
      </c>
      <c r="C342" s="595"/>
      <c r="D342" s="595"/>
      <c r="E342" s="595"/>
      <c r="F342" s="595"/>
      <c r="G342" s="595"/>
      <c r="H342" s="1689"/>
      <c r="I342" s="1689"/>
      <c r="J342" s="1689"/>
      <c r="K342" s="1689"/>
      <c r="L342" s="1689"/>
      <c r="M342" s="1689"/>
      <c r="N342" s="74"/>
      <c r="O342" s="74"/>
      <c r="P342" s="76"/>
      <c r="Q342" s="76"/>
      <c r="R342" s="76"/>
      <c r="T342" s="72" t="s">
        <v>420</v>
      </c>
      <c r="AA342" s="1689"/>
      <c r="AB342" s="1689"/>
      <c r="AC342" s="1689"/>
      <c r="AD342" s="1689"/>
      <c r="AE342" s="1689"/>
      <c r="AF342" s="1689"/>
      <c r="AG342" s="74"/>
      <c r="AH342" s="74"/>
      <c r="AI342" s="76"/>
      <c r="AJ342" s="76"/>
      <c r="AK342" s="76"/>
      <c r="AL342" s="50"/>
    </row>
    <row r="343" spans="1:53" ht="12.75" customHeight="1">
      <c r="A343" s="50"/>
      <c r="B343" s="595" t="s">
        <v>768</v>
      </c>
      <c r="C343" s="595"/>
      <c r="D343" s="595"/>
      <c r="E343" s="595"/>
      <c r="F343" s="595"/>
      <c r="G343" s="595"/>
      <c r="H343" s="1696"/>
      <c r="I343" s="1696"/>
      <c r="J343" s="1696"/>
      <c r="K343" s="1696"/>
      <c r="L343" s="1696"/>
      <c r="M343" s="1696"/>
      <c r="N343" s="1697"/>
      <c r="O343" s="1697"/>
      <c r="P343" s="1697"/>
      <c r="Q343" s="1697"/>
      <c r="R343" s="1697"/>
      <c r="T343" s="72" t="s">
        <v>768</v>
      </c>
      <c r="AA343" s="1696"/>
      <c r="AB343" s="1696"/>
      <c r="AC343" s="1696"/>
      <c r="AD343" s="1696"/>
      <c r="AE343" s="1696"/>
      <c r="AF343" s="1696"/>
      <c r="AG343" s="1697"/>
      <c r="AH343" s="1697"/>
      <c r="AI343" s="1697"/>
      <c r="AJ343" s="1697"/>
      <c r="AK343" s="1697"/>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1686" t="s">
        <v>546</v>
      </c>
      <c r="B345" s="1686"/>
      <c r="C345" s="1686"/>
      <c r="D345" s="1686"/>
      <c r="E345" s="1686"/>
      <c r="F345" s="1686"/>
      <c r="G345" s="1686"/>
      <c r="H345" s="1686"/>
      <c r="I345" s="1686"/>
      <c r="J345" s="1686"/>
      <c r="K345" s="1686"/>
      <c r="L345" s="1686"/>
      <c r="M345" s="1686"/>
      <c r="N345" s="1686"/>
      <c r="O345" s="1686"/>
      <c r="P345" s="1686"/>
      <c r="Q345" s="1686"/>
      <c r="R345" s="1686"/>
      <c r="S345" s="1686"/>
      <c r="T345" s="1686"/>
      <c r="U345" s="1686"/>
      <c r="V345" s="1686"/>
      <c r="W345" s="1686"/>
      <c r="X345" s="1686"/>
      <c r="Y345" s="1686"/>
      <c r="Z345" s="1686"/>
      <c r="AA345" s="1686"/>
      <c r="AB345" s="1686"/>
      <c r="AC345" s="1686"/>
      <c r="AD345" s="1686"/>
      <c r="AE345" s="1686"/>
      <c r="AF345" s="1686"/>
      <c r="AG345" s="1686"/>
      <c r="AH345" s="1686"/>
      <c r="AI345" s="1686"/>
      <c r="AJ345" s="1686"/>
      <c r="AK345" s="1686"/>
      <c r="AL345" s="1686"/>
    </row>
    <row r="346" spans="1:53" ht="12.75" customHeight="1" thickBot="1">
      <c r="A346" s="1687"/>
      <c r="B346" s="1687"/>
      <c r="C346" s="1687"/>
      <c r="D346" s="1687"/>
      <c r="E346" s="1687"/>
      <c r="F346" s="1687"/>
      <c r="G346" s="1687"/>
      <c r="H346" s="1687"/>
      <c r="I346" s="1687"/>
      <c r="J346" s="1687"/>
      <c r="K346" s="1687"/>
      <c r="L346" s="1687"/>
      <c r="M346" s="1687"/>
      <c r="N346" s="1687"/>
      <c r="O346" s="1687"/>
      <c r="P346" s="1687"/>
      <c r="Q346" s="1687"/>
      <c r="R346" s="1687"/>
      <c r="S346" s="1687"/>
      <c r="T346" s="1687"/>
      <c r="U346" s="1687"/>
      <c r="V346" s="1687"/>
      <c r="W346" s="1687"/>
      <c r="X346" s="1687"/>
      <c r="Y346" s="1687"/>
      <c r="Z346" s="1687"/>
      <c r="AA346" s="1687"/>
      <c r="AB346" s="1687"/>
      <c r="AC346" s="1687"/>
      <c r="AD346" s="1687"/>
      <c r="AE346" s="1687"/>
      <c r="AF346" s="1687"/>
      <c r="AG346" s="1687"/>
      <c r="AH346" s="1687"/>
      <c r="AI346" s="1687"/>
      <c r="AJ346" s="1687"/>
      <c r="AK346" s="1687"/>
      <c r="AL346" s="1687"/>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719</v>
      </c>
      <c r="B348" s="63"/>
      <c r="C348" s="63" t="s">
        <v>590</v>
      </c>
      <c r="K348" s="35"/>
      <c r="L348" s="35"/>
    </row>
    <row r="349" spans="1:53" ht="12.75" customHeight="1">
      <c r="D349" s="16" t="s">
        <v>45</v>
      </c>
      <c r="M349" s="1694" t="s">
        <v>119</v>
      </c>
      <c r="N349" s="1694"/>
      <c r="P349" s="16" t="s">
        <v>2251</v>
      </c>
      <c r="AJ349" s="1694" t="s">
        <v>119</v>
      </c>
      <c r="AK349" s="1694"/>
    </row>
    <row r="350" spans="1:53" ht="12.75" customHeight="1">
      <c r="D350" s="72" t="s">
        <v>2157</v>
      </c>
      <c r="M350" s="1694" t="s">
        <v>136</v>
      </c>
      <c r="N350" s="1694"/>
      <c r="P350" s="72" t="s">
        <v>2252</v>
      </c>
      <c r="AJ350" s="1695">
        <v>2</v>
      </c>
      <c r="AK350" s="1695"/>
    </row>
    <row r="351" spans="1:53" ht="12.75" customHeight="1">
      <c r="D351" s="16" t="s">
        <v>349</v>
      </c>
      <c r="M351" s="1694" t="s">
        <v>136</v>
      </c>
      <c r="N351" s="1694"/>
      <c r="P351" s="16" t="s">
        <v>2253</v>
      </c>
      <c r="AJ351" s="1694" t="s">
        <v>531</v>
      </c>
      <c r="AK351" s="1694"/>
    </row>
    <row r="352" spans="1:53" ht="12.75" customHeight="1">
      <c r="D352" s="16" t="s">
        <v>350</v>
      </c>
      <c r="M352" s="1694" t="s">
        <v>136</v>
      </c>
      <c r="N352" s="1694"/>
      <c r="Q352" s="72"/>
    </row>
    <row r="353" spans="1:57" ht="12.75" customHeight="1">
      <c r="P353" s="596"/>
      <c r="Q353" s="595"/>
      <c r="R353" s="596"/>
    </row>
    <row r="354" spans="1:57" ht="12.75" customHeight="1"/>
    <row r="355" spans="1:57" ht="12.75">
      <c r="A355" s="63" t="s">
        <v>8</v>
      </c>
      <c r="B355" s="63"/>
      <c r="C355" s="63" t="s">
        <v>980</v>
      </c>
      <c r="D355" s="63"/>
    </row>
    <row r="356" spans="1:57" ht="12.75">
      <c r="D356" s="82" t="s">
        <v>995</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996</v>
      </c>
      <c r="E357" s="83"/>
      <c r="F357" s="83"/>
      <c r="G357" s="83"/>
      <c r="H357" s="83"/>
      <c r="I357" s="83"/>
      <c r="J357" s="83"/>
      <c r="K357" s="83"/>
      <c r="L357" s="83"/>
      <c r="M357" s="83"/>
      <c r="N357" s="1694" t="s">
        <v>136</v>
      </c>
      <c r="O357" s="1694"/>
      <c r="P357" s="83"/>
      <c r="Q357" s="83"/>
      <c r="R357" s="83"/>
      <c r="S357" s="83"/>
      <c r="T357" s="83"/>
      <c r="U357" s="83"/>
      <c r="V357" s="83"/>
      <c r="W357" s="83"/>
      <c r="X357" s="83"/>
      <c r="Y357" s="84"/>
      <c r="Z357" s="84"/>
      <c r="AC357" s="83"/>
      <c r="AD357" s="83"/>
      <c r="AE357" s="83"/>
    </row>
    <row r="358" spans="1:57" ht="12.75">
      <c r="E358" s="16" t="s">
        <v>800</v>
      </c>
      <c r="Y358" s="1694" t="s">
        <v>136</v>
      </c>
      <c r="Z358" s="1694"/>
    </row>
    <row r="359" spans="1:57" ht="12.75">
      <c r="D359" s="16" t="s">
        <v>997</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998</v>
      </c>
      <c r="E360" s="83"/>
      <c r="F360" s="83"/>
      <c r="G360" s="83"/>
      <c r="H360" s="83"/>
      <c r="I360" s="83"/>
      <c r="J360" s="1694" t="s">
        <v>136</v>
      </c>
      <c r="K360" s="1694"/>
      <c r="L360" s="83"/>
      <c r="M360" s="83"/>
      <c r="N360" s="83"/>
      <c r="O360" s="83"/>
      <c r="P360" s="83"/>
      <c r="Q360" s="83"/>
      <c r="R360" s="83"/>
      <c r="S360" s="83"/>
      <c r="T360" s="83"/>
      <c r="U360" s="83"/>
      <c r="V360" s="83"/>
      <c r="W360" s="83"/>
      <c r="X360" s="83"/>
      <c r="Y360" s="83"/>
      <c r="Z360" s="83"/>
      <c r="AC360" s="83"/>
      <c r="AD360" s="83"/>
      <c r="AE360" s="83"/>
    </row>
    <row r="361" spans="1:57" ht="12.75">
      <c r="E361" s="1579" t="s">
        <v>351</v>
      </c>
      <c r="F361" s="1579"/>
      <c r="G361" s="1579"/>
      <c r="H361" s="1579"/>
      <c r="I361" s="1579"/>
      <c r="J361" s="1579"/>
      <c r="K361" s="1579"/>
      <c r="L361" s="1579"/>
      <c r="M361" s="1579"/>
      <c r="N361" s="1579"/>
      <c r="O361" s="1579"/>
      <c r="P361" s="1579"/>
      <c r="Q361" s="1579"/>
      <c r="R361" s="1579"/>
      <c r="S361" s="1579"/>
      <c r="T361" s="1579"/>
      <c r="U361" s="1579"/>
      <c r="V361" s="1579"/>
      <c r="W361" s="1579"/>
      <c r="X361" s="1579"/>
      <c r="Y361" s="1579"/>
      <c r="Z361" s="1579"/>
      <c r="AA361" s="1579"/>
      <c r="AB361" s="1579"/>
      <c r="AC361" s="1579"/>
      <c r="AD361" s="1579"/>
      <c r="AE361" s="1579"/>
      <c r="AF361" s="1579"/>
      <c r="AG361" s="1579"/>
      <c r="AH361" s="1579"/>
      <c r="BE361" s="16" t="s">
        <v>136</v>
      </c>
    </row>
    <row r="362" spans="1:57" ht="12.75">
      <c r="E362" s="1579"/>
      <c r="F362" s="1579"/>
      <c r="G362" s="1579"/>
      <c r="H362" s="1579"/>
      <c r="I362" s="1579"/>
      <c r="J362" s="1579"/>
      <c r="K362" s="1579"/>
      <c r="L362" s="1579"/>
      <c r="M362" s="1579"/>
      <c r="N362" s="1579"/>
      <c r="O362" s="1579"/>
      <c r="P362" s="1579"/>
      <c r="Q362" s="1579"/>
      <c r="R362" s="1579"/>
      <c r="S362" s="1579"/>
      <c r="T362" s="1579"/>
      <c r="U362" s="1579"/>
      <c r="V362" s="1579"/>
      <c r="W362" s="1579"/>
      <c r="X362" s="1579"/>
      <c r="Y362" s="1579"/>
      <c r="Z362" s="1579"/>
      <c r="AA362" s="1579"/>
      <c r="AB362" s="1579"/>
      <c r="AC362" s="1579"/>
      <c r="AD362" s="1579"/>
      <c r="AE362" s="1579"/>
      <c r="AF362" s="1579"/>
      <c r="AG362" s="1579"/>
      <c r="AH362" s="1579"/>
      <c r="BE362" s="16" t="s">
        <v>531</v>
      </c>
    </row>
    <row r="363" spans="1:57" ht="12.75" customHeight="1">
      <c r="E363" s="8" t="s">
        <v>656</v>
      </c>
      <c r="F363" s="8"/>
      <c r="G363" s="8"/>
      <c r="H363" s="8"/>
      <c r="I363" s="8"/>
      <c r="J363" s="8"/>
      <c r="K363" s="8"/>
      <c r="L363" s="8"/>
      <c r="N363" s="1809"/>
      <c r="O363" s="1809"/>
      <c r="P363" s="1809"/>
      <c r="Q363" s="1809"/>
      <c r="R363" s="8"/>
      <c r="U363" s="8" t="s">
        <v>657</v>
      </c>
      <c r="V363" s="8"/>
      <c r="W363" s="8"/>
      <c r="X363" s="8"/>
      <c r="Y363" s="8"/>
      <c r="Z363" s="8"/>
      <c r="AA363" s="8"/>
      <c r="AB363" s="8"/>
      <c r="AC363" s="1809"/>
      <c r="AD363" s="1809"/>
      <c r="AE363" s="1809"/>
      <c r="AF363" s="1809"/>
      <c r="BE363" s="16" t="s">
        <v>119</v>
      </c>
    </row>
    <row r="364" spans="1:57" ht="12.75">
      <c r="E364" s="8" t="s">
        <v>658</v>
      </c>
      <c r="F364" s="8"/>
      <c r="G364" s="8"/>
      <c r="H364" s="8"/>
      <c r="I364" s="8"/>
      <c r="J364" s="8"/>
      <c r="K364" s="8"/>
      <c r="L364" s="8"/>
      <c r="N364" s="1809"/>
      <c r="O364" s="1809"/>
      <c r="P364" s="1809"/>
      <c r="Q364" s="1809"/>
      <c r="R364" s="8"/>
      <c r="U364" s="8" t="s">
        <v>659</v>
      </c>
      <c r="V364" s="8"/>
      <c r="W364" s="8"/>
      <c r="X364" s="8"/>
      <c r="Y364" s="8"/>
      <c r="Z364" s="8"/>
      <c r="AA364" s="8"/>
      <c r="AB364" s="8"/>
      <c r="AC364" s="1809"/>
      <c r="AD364" s="1809"/>
      <c r="AE364" s="1809"/>
      <c r="AF364" s="1809"/>
    </row>
    <row r="365" spans="1:57" ht="12.75" customHeight="1">
      <c r="E365" s="8" t="s">
        <v>69</v>
      </c>
      <c r="F365" s="8"/>
      <c r="G365" s="8"/>
      <c r="H365" s="8"/>
      <c r="I365" s="8"/>
      <c r="J365" s="8"/>
      <c r="K365" s="8"/>
      <c r="L365" s="8"/>
      <c r="N365" s="1809"/>
      <c r="O365" s="1809"/>
      <c r="P365" s="1809"/>
      <c r="Q365" s="1809"/>
      <c r="R365" s="8"/>
      <c r="V365" s="8"/>
      <c r="W365" s="8"/>
      <c r="X365" s="8"/>
      <c r="Y365" s="8"/>
      <c r="Z365" s="8"/>
      <c r="AA365" s="8"/>
      <c r="AB365" s="8"/>
    </row>
    <row r="366" spans="1:57" ht="12.75">
      <c r="E366" s="8" t="s">
        <v>70</v>
      </c>
      <c r="F366" s="8"/>
      <c r="G366" s="8"/>
      <c r="H366" s="8"/>
      <c r="I366" s="8"/>
      <c r="J366" s="8"/>
      <c r="K366" s="8"/>
      <c r="L366" s="8"/>
      <c r="N366" s="1866"/>
      <c r="O366" s="1866"/>
      <c r="P366" s="1866"/>
      <c r="Q366" s="1866"/>
      <c r="R366" s="1866"/>
      <c r="S366" s="1866"/>
      <c r="T366" s="1866"/>
      <c r="U366" s="1866"/>
      <c r="V366" s="1866"/>
      <c r="W366" s="1866"/>
      <c r="X366" s="1866"/>
      <c r="Y366" s="1866"/>
      <c r="Z366" s="1866"/>
      <c r="AA366" s="1866"/>
      <c r="AB366" s="1866"/>
      <c r="AC366" s="1866"/>
      <c r="AD366" s="1866"/>
      <c r="AE366" s="1866"/>
      <c r="AF366" s="1866"/>
    </row>
    <row r="367" spans="1:57" ht="12.75">
      <c r="E367" s="8"/>
      <c r="F367" s="8"/>
      <c r="G367" s="8"/>
      <c r="H367" s="8"/>
      <c r="I367" s="8"/>
      <c r="J367" s="8"/>
      <c r="K367" s="8"/>
      <c r="L367" s="8"/>
      <c r="N367" s="1867"/>
      <c r="O367" s="1867"/>
      <c r="P367" s="1867"/>
      <c r="Q367" s="1867"/>
      <c r="R367" s="1867"/>
      <c r="S367" s="1867"/>
      <c r="T367" s="1867"/>
      <c r="U367" s="1867"/>
      <c r="V367" s="1867"/>
      <c r="W367" s="1867"/>
      <c r="X367" s="1867"/>
      <c r="Y367" s="1867"/>
      <c r="Z367" s="1867"/>
      <c r="AA367" s="1867"/>
      <c r="AB367" s="1867"/>
      <c r="AC367" s="1867"/>
      <c r="AD367" s="1867"/>
      <c r="AE367" s="1867"/>
      <c r="AF367" s="1867"/>
    </row>
    <row r="368" spans="1:57" ht="12.75">
      <c r="E368" s="8"/>
      <c r="F368" s="8"/>
      <c r="G368" s="8"/>
      <c r="H368" s="8"/>
      <c r="I368" s="8"/>
      <c r="J368" s="8"/>
      <c r="K368" s="8"/>
      <c r="L368" s="8"/>
    </row>
    <row r="369" spans="1:36" ht="12.75" customHeight="1">
      <c r="D369" s="594" t="s">
        <v>1366</v>
      </c>
      <c r="E369" s="594"/>
      <c r="F369" s="595"/>
      <c r="G369" s="595"/>
      <c r="H369" s="595"/>
      <c r="I369" s="595"/>
      <c r="J369" s="595"/>
      <c r="K369" s="595"/>
      <c r="L369" s="595"/>
      <c r="M369" s="596"/>
      <c r="N369" s="596"/>
      <c r="O369" s="596"/>
      <c r="P369" s="596"/>
      <c r="Q369" s="596"/>
      <c r="R369" s="596"/>
      <c r="S369" s="596"/>
      <c r="T369" s="596"/>
      <c r="U369" s="596"/>
      <c r="V369" s="596"/>
      <c r="W369" s="596"/>
      <c r="X369" s="596"/>
      <c r="Y369" s="596"/>
      <c r="Z369" s="596"/>
      <c r="AA369" s="596"/>
      <c r="AB369" s="596"/>
      <c r="AC369" s="596"/>
      <c r="AD369" s="596"/>
      <c r="AE369" s="596"/>
      <c r="AF369" s="596"/>
      <c r="AG369" s="596"/>
      <c r="AH369" s="596"/>
    </row>
    <row r="370" spans="1:36" ht="12.75" customHeight="1">
      <c r="D370" s="596"/>
      <c r="E370" s="595" t="s">
        <v>1367</v>
      </c>
      <c r="F370" s="595"/>
      <c r="G370" s="595"/>
      <c r="H370" s="595"/>
      <c r="I370" s="595"/>
      <c r="J370" s="595"/>
      <c r="K370" s="595"/>
      <c r="L370" s="595"/>
      <c r="M370" s="596"/>
      <c r="N370" s="780" t="s">
        <v>257</v>
      </c>
      <c r="O370" s="596"/>
      <c r="P370" s="780"/>
      <c r="Q370" s="780" t="s">
        <v>258</v>
      </c>
      <c r="R370" s="596"/>
      <c r="S370" s="1882"/>
      <c r="T370" s="1882"/>
      <c r="U370" s="779" t="s">
        <v>259</v>
      </c>
      <c r="V370" s="1882"/>
      <c r="W370" s="1882"/>
      <c r="X370" s="596"/>
      <c r="Y370" s="780" t="s">
        <v>257</v>
      </c>
      <c r="Z370" s="596"/>
      <c r="AA370" s="780"/>
      <c r="AB370" s="780" t="s">
        <v>258</v>
      </c>
      <c r="AC370" s="596"/>
      <c r="AD370" s="1882"/>
      <c r="AE370" s="1882"/>
      <c r="AF370" s="779" t="s">
        <v>259</v>
      </c>
      <c r="AG370" s="1882"/>
      <c r="AH370" s="1882"/>
    </row>
    <row r="371" spans="1:36" ht="12.75" customHeight="1">
      <c r="D371" s="596"/>
      <c r="E371" s="595" t="s">
        <v>1368</v>
      </c>
      <c r="F371" s="595"/>
      <c r="G371" s="595"/>
      <c r="H371" s="595"/>
      <c r="I371" s="595"/>
      <c r="J371" s="595"/>
      <c r="K371" s="595"/>
      <c r="L371" s="595"/>
      <c r="M371" s="596"/>
      <c r="N371" s="1882"/>
      <c r="O371" s="1882"/>
      <c r="P371" s="1882"/>
      <c r="Q371" s="596"/>
      <c r="R371" s="596"/>
      <c r="S371" s="596"/>
      <c r="T371" s="596"/>
      <c r="U371" s="596"/>
      <c r="V371" s="596"/>
      <c r="W371" s="596"/>
      <c r="X371" s="596"/>
      <c r="Y371" s="596"/>
      <c r="Z371" s="596"/>
      <c r="AA371" s="596"/>
      <c r="AB371" s="596"/>
      <c r="AC371" s="596"/>
      <c r="AD371" s="596"/>
      <c r="AE371" s="596"/>
      <c r="AF371" s="596"/>
      <c r="AG371" s="596"/>
      <c r="AH371" s="596"/>
    </row>
    <row r="372" spans="1:36" ht="12.75" customHeight="1">
      <c r="D372" s="596"/>
      <c r="E372" s="595" t="s">
        <v>1412</v>
      </c>
      <c r="F372" s="595"/>
      <c r="G372" s="595"/>
      <c r="H372" s="595"/>
      <c r="I372" s="595"/>
      <c r="J372" s="595"/>
      <c r="K372" s="595"/>
      <c r="L372" s="595"/>
      <c r="M372" s="596"/>
      <c r="N372" s="596"/>
      <c r="O372" s="596"/>
      <c r="P372" s="596"/>
      <c r="Q372" s="596"/>
      <c r="R372" s="596"/>
      <c r="S372" s="596"/>
      <c r="T372" s="596"/>
      <c r="U372" s="596"/>
      <c r="V372" s="596"/>
      <c r="W372" s="596"/>
      <c r="X372" s="596"/>
      <c r="Y372" s="596"/>
      <c r="Z372" s="596"/>
      <c r="AA372" s="596"/>
      <c r="AB372" s="596"/>
      <c r="AC372" s="596"/>
      <c r="AD372" s="596"/>
      <c r="AE372" s="596"/>
      <c r="AF372" s="596"/>
      <c r="AG372" s="1868" t="s">
        <v>136</v>
      </c>
      <c r="AH372" s="1868"/>
    </row>
    <row r="373" spans="1:36" ht="12.75" customHeight="1">
      <c r="D373" s="596"/>
      <c r="E373" s="595"/>
      <c r="F373" s="595"/>
      <c r="G373" s="595" t="s">
        <v>1444</v>
      </c>
      <c r="H373" s="595"/>
      <c r="I373" s="595"/>
      <c r="J373" s="595"/>
      <c r="K373" s="595"/>
      <c r="L373" s="595"/>
      <c r="M373" s="596"/>
      <c r="N373" s="596"/>
      <c r="O373" s="596"/>
      <c r="P373" s="596"/>
      <c r="Q373" s="596"/>
      <c r="R373" s="596"/>
      <c r="S373" s="596"/>
      <c r="T373" s="596"/>
      <c r="U373" s="596"/>
      <c r="V373" s="596"/>
      <c r="W373" s="596"/>
      <c r="X373" s="596"/>
      <c r="Y373" s="596"/>
      <c r="Z373" s="596"/>
      <c r="AA373" s="596"/>
      <c r="AB373" s="596"/>
      <c r="AC373" s="596"/>
      <c r="AD373" s="596"/>
      <c r="AE373" s="596"/>
      <c r="AF373" s="596"/>
      <c r="AG373" s="1868" t="s">
        <v>136</v>
      </c>
      <c r="AH373" s="1868"/>
    </row>
    <row r="374" spans="1:36" ht="12.75" customHeight="1">
      <c r="D374" s="596"/>
      <c r="E374" s="595"/>
      <c r="F374" s="595"/>
      <c r="G374" s="813" t="s">
        <v>1421</v>
      </c>
      <c r="H374" s="595"/>
      <c r="I374" s="595"/>
      <c r="J374" s="595"/>
      <c r="K374" s="595"/>
      <c r="L374" s="595"/>
      <c r="M374" s="596"/>
      <c r="N374" s="596"/>
      <c r="O374" s="596"/>
      <c r="P374" s="596"/>
      <c r="Q374" s="596"/>
      <c r="R374" s="596"/>
      <c r="S374" s="596"/>
      <c r="T374" s="596"/>
      <c r="U374" s="596"/>
      <c r="V374" s="1868" t="s">
        <v>136</v>
      </c>
      <c r="W374" s="1868"/>
      <c r="X374" s="596"/>
      <c r="Y374" s="744" t="s">
        <v>1369</v>
      </c>
      <c r="Z374" s="596"/>
      <c r="AA374" s="596"/>
      <c r="AB374" s="596"/>
      <c r="AC374" s="596"/>
      <c r="AD374" s="596"/>
      <c r="AE374" s="596"/>
      <c r="AF374" s="596"/>
      <c r="AG374" s="596"/>
      <c r="AH374" s="596"/>
    </row>
    <row r="375" spans="1:36" ht="12.75" customHeight="1">
      <c r="D375" s="596"/>
      <c r="E375" s="595" t="s">
        <v>1370</v>
      </c>
      <c r="F375" s="595"/>
      <c r="G375" s="595"/>
      <c r="H375" s="595"/>
      <c r="I375" s="595"/>
      <c r="J375" s="595"/>
      <c r="K375" s="595"/>
      <c r="L375" s="595"/>
      <c r="M375" s="596"/>
      <c r="N375" s="596"/>
      <c r="O375" s="596"/>
      <c r="P375" s="596"/>
      <c r="Q375" s="596"/>
      <c r="R375" s="596"/>
      <c r="S375" s="596"/>
      <c r="T375" s="596"/>
      <c r="U375" s="596"/>
      <c r="V375" s="1868" t="s">
        <v>136</v>
      </c>
      <c r="W375" s="1868"/>
      <c r="X375" s="596"/>
      <c r="Y375" s="595" t="s">
        <v>1371</v>
      </c>
      <c r="Z375" s="596"/>
      <c r="AA375" s="596"/>
      <c r="AB375" s="596"/>
      <c r="AC375" s="596"/>
      <c r="AD375" s="596"/>
      <c r="AE375" s="596"/>
      <c r="AF375" s="596"/>
      <c r="AG375" s="596"/>
      <c r="AH375" s="596"/>
    </row>
    <row r="376" spans="1:36" ht="12.75" customHeight="1">
      <c r="D376" s="596"/>
      <c r="E376" s="596"/>
      <c r="F376" s="596"/>
      <c r="G376" s="596"/>
      <c r="H376" s="596"/>
      <c r="I376" s="596"/>
      <c r="J376" s="596"/>
      <c r="K376" s="596"/>
      <c r="L376" s="596"/>
      <c r="M376" s="596"/>
      <c r="N376" s="596"/>
      <c r="O376" s="596"/>
      <c r="P376" s="596"/>
      <c r="Q376" s="596"/>
      <c r="R376" s="596"/>
      <c r="S376" s="596"/>
      <c r="T376" s="596"/>
      <c r="U376" s="596"/>
      <c r="V376" s="596"/>
      <c r="W376" s="596"/>
      <c r="X376" s="596"/>
      <c r="Y376" s="596"/>
      <c r="Z376" s="596"/>
      <c r="AA376" s="596"/>
      <c r="AB376" s="596"/>
      <c r="AC376" s="596"/>
      <c r="AD376" s="596"/>
      <c r="AE376" s="596"/>
      <c r="AF376" s="596"/>
      <c r="AG376" s="596"/>
      <c r="AH376" s="596"/>
    </row>
    <row r="377" spans="1:36" ht="12.75" customHeight="1">
      <c r="A377" s="63" t="s">
        <v>131</v>
      </c>
      <c r="B377" s="63"/>
      <c r="C377" s="63" t="s">
        <v>71</v>
      </c>
    </row>
    <row r="378" spans="1:36" ht="12.75" customHeight="1">
      <c r="D378" s="16" t="s">
        <v>303</v>
      </c>
      <c r="J378" s="1697" t="s">
        <v>2371</v>
      </c>
      <c r="K378" s="1697"/>
      <c r="L378" s="1697"/>
      <c r="M378" s="1697"/>
      <c r="N378" s="1697"/>
      <c r="O378" s="1697"/>
      <c r="P378" s="1697"/>
      <c r="Q378" s="1697"/>
      <c r="R378" s="1697"/>
      <c r="S378" s="1697"/>
      <c r="T378" s="1697"/>
      <c r="U378" s="1697"/>
      <c r="V378" s="18" t="s">
        <v>777</v>
      </c>
      <c r="W378" s="18"/>
      <c r="X378" s="18"/>
      <c r="Y378" s="18"/>
      <c r="Z378" s="18"/>
      <c r="AA378" s="18"/>
      <c r="AB378" s="18"/>
      <c r="AC378" s="1697" t="s">
        <v>2434</v>
      </c>
      <c r="AD378" s="1697"/>
      <c r="AE378" s="1697"/>
      <c r="AF378" s="1697"/>
      <c r="AG378" s="1697"/>
      <c r="AH378" s="1697"/>
      <c r="AI378" s="1697"/>
      <c r="AJ378" s="1697"/>
    </row>
    <row r="379" spans="1:36" ht="12.75" customHeight="1">
      <c r="D379" s="72" t="s">
        <v>2254</v>
      </c>
      <c r="J379" s="1696" t="s">
        <v>2372</v>
      </c>
      <c r="K379" s="1696"/>
      <c r="L379" s="1696"/>
      <c r="M379" s="1696"/>
      <c r="N379" s="1696"/>
      <c r="O379" s="1696"/>
      <c r="P379" s="1696"/>
      <c r="Q379" s="1696"/>
      <c r="R379" s="1696"/>
      <c r="S379" s="1696"/>
      <c r="T379" s="1696"/>
      <c r="U379" s="1696"/>
      <c r="V379" s="72" t="s">
        <v>2254</v>
      </c>
      <c r="W379" s="18"/>
      <c r="X379" s="18"/>
      <c r="Y379" s="18"/>
      <c r="Z379" s="18"/>
      <c r="AA379" s="18"/>
      <c r="AB379" s="18"/>
      <c r="AC379" s="1697"/>
      <c r="AD379" s="1697"/>
      <c r="AE379" s="1697"/>
      <c r="AF379" s="1697"/>
      <c r="AG379" s="1697"/>
      <c r="AH379" s="1697"/>
      <c r="AI379" s="1697"/>
      <c r="AJ379" s="1697"/>
    </row>
    <row r="380" spans="1:36" ht="12.75" customHeight="1">
      <c r="D380" s="72" t="s">
        <v>603</v>
      </c>
      <c r="J380" s="1696" t="s">
        <v>2435</v>
      </c>
      <c r="K380" s="1696"/>
      <c r="L380" s="1696"/>
      <c r="M380" s="1696"/>
      <c r="N380" s="1696"/>
      <c r="O380" s="1696"/>
      <c r="P380" s="1696"/>
      <c r="Q380" s="1696"/>
      <c r="R380" s="1696"/>
      <c r="S380" s="1696"/>
      <c r="T380" s="1696"/>
      <c r="U380" s="1696"/>
      <c r="V380" s="72" t="s">
        <v>603</v>
      </c>
      <c r="W380" s="18"/>
      <c r="X380" s="18"/>
      <c r="Y380" s="18"/>
      <c r="Z380" s="18"/>
      <c r="AA380" s="18"/>
      <c r="AB380" s="18"/>
      <c r="AC380" s="1697"/>
      <c r="AD380" s="1697"/>
      <c r="AE380" s="1697"/>
      <c r="AF380" s="1697"/>
      <c r="AG380" s="1697"/>
      <c r="AH380" s="1697"/>
      <c r="AI380" s="1697"/>
      <c r="AJ380" s="1697"/>
    </row>
    <row r="381" spans="1:36" ht="12.75" customHeight="1">
      <c r="D381" s="748" t="s">
        <v>2255</v>
      </c>
      <c r="I381" s="102"/>
      <c r="J381" s="1729" t="s">
        <v>2381</v>
      </c>
      <c r="K381" s="1729"/>
      <c r="L381" s="1729"/>
      <c r="M381" s="1729"/>
      <c r="N381" s="1729"/>
      <c r="O381" s="1729"/>
      <c r="P381" s="1729"/>
      <c r="Q381" s="1729"/>
      <c r="R381" s="1729"/>
      <c r="S381" s="1729"/>
      <c r="T381" s="1729"/>
      <c r="U381" s="1729"/>
      <c r="V381" s="1697"/>
      <c r="W381" s="1697"/>
      <c r="X381" s="1697"/>
      <c r="Y381" s="1697"/>
      <c r="Z381" s="1697"/>
      <c r="AA381" s="1697"/>
      <c r="AB381" s="1697"/>
      <c r="AC381" s="1697"/>
      <c r="AD381" s="1697"/>
      <c r="AE381" s="1697"/>
      <c r="AF381" s="1697"/>
      <c r="AG381" s="1697"/>
      <c r="AH381" s="1697"/>
      <c r="AI381" s="1697"/>
      <c r="AJ381" s="1697"/>
    </row>
    <row r="382" spans="1:36" ht="12.75" customHeight="1">
      <c r="D382" s="16" t="s">
        <v>614</v>
      </c>
      <c r="Q382" s="2028">
        <v>44377</v>
      </c>
      <c r="R382" s="2028"/>
      <c r="S382" s="2028"/>
      <c r="T382" s="2028"/>
      <c r="U382" s="2028"/>
      <c r="V382" s="16" t="s">
        <v>185</v>
      </c>
      <c r="AI382" s="1694" t="s">
        <v>119</v>
      </c>
      <c r="AJ382" s="1694"/>
    </row>
    <row r="383" spans="1:36" ht="12.75" customHeight="1">
      <c r="D383" s="16" t="s">
        <v>615</v>
      </c>
      <c r="Q383" s="1766">
        <v>44926</v>
      </c>
      <c r="R383" s="1877"/>
      <c r="S383" s="1877"/>
      <c r="T383" s="1877"/>
      <c r="U383" s="1877"/>
      <c r="W383" s="43" t="s">
        <v>20</v>
      </c>
      <c r="AG383" s="1878"/>
      <c r="AH383" s="1878"/>
      <c r="AI383" s="1878"/>
      <c r="AJ383" s="1878"/>
    </row>
    <row r="384" spans="1:36" ht="12.75" customHeight="1">
      <c r="D384" s="16" t="s">
        <v>302</v>
      </c>
      <c r="Q384" s="1714">
        <v>1755789</v>
      </c>
      <c r="R384" s="1714"/>
      <c r="S384" s="1714"/>
      <c r="T384" s="1714"/>
      <c r="U384" s="1714"/>
      <c r="V384" s="72" t="s">
        <v>2256</v>
      </c>
      <c r="AG384" s="1816">
        <v>44652</v>
      </c>
      <c r="AH384" s="1816"/>
      <c r="AI384" s="1816"/>
      <c r="AJ384" s="1816"/>
    </row>
    <row r="385" spans="4:36" ht="12.75" customHeight="1">
      <c r="D385" s="16" t="s">
        <v>419</v>
      </c>
      <c r="I385" s="1699" t="s">
        <v>2436</v>
      </c>
      <c r="J385" s="1699"/>
      <c r="K385" s="1699"/>
      <c r="L385" s="1699"/>
      <c r="M385" s="1699"/>
      <c r="N385" s="1699"/>
      <c r="Q385" s="326" t="s">
        <v>900</v>
      </c>
      <c r="S385" s="2126"/>
      <c r="T385" s="2126"/>
      <c r="U385" s="2126"/>
      <c r="V385" s="16" t="s">
        <v>19</v>
      </c>
      <c r="AI385" s="1694" t="s">
        <v>531</v>
      </c>
      <c r="AJ385" s="1694"/>
    </row>
    <row r="386" spans="4:36" s="50" customFormat="1" ht="12.75" customHeight="1">
      <c r="D386" s="16" t="s">
        <v>186</v>
      </c>
      <c r="E386" s="16"/>
      <c r="F386" s="16"/>
      <c r="G386" s="16"/>
      <c r="H386" s="16"/>
      <c r="I386" s="16"/>
      <c r="J386" s="16"/>
      <c r="K386" s="16"/>
      <c r="L386" s="16"/>
      <c r="M386" s="16"/>
      <c r="N386" s="16"/>
      <c r="O386" s="16"/>
      <c r="P386" s="16"/>
      <c r="Q386" s="1739"/>
      <c r="R386" s="1739"/>
      <c r="S386" s="1739"/>
      <c r="T386" s="1739"/>
      <c r="U386" s="1739"/>
      <c r="V386" s="16" t="s">
        <v>187</v>
      </c>
      <c r="W386" s="16"/>
      <c r="X386" s="16"/>
      <c r="Y386" s="16"/>
      <c r="Z386" s="16"/>
      <c r="AA386" s="16"/>
      <c r="AB386" s="16"/>
      <c r="AC386" s="16"/>
      <c r="AD386" s="16"/>
      <c r="AE386" s="16"/>
      <c r="AF386" s="16"/>
      <c r="AG386" s="1878"/>
      <c r="AH386" s="1878"/>
      <c r="AI386" s="1878"/>
      <c r="AJ386" s="1878"/>
    </row>
    <row r="387" spans="4:36" s="50" customFormat="1" ht="12.75" customHeight="1">
      <c r="D387" s="16" t="s">
        <v>29</v>
      </c>
      <c r="E387" s="16"/>
      <c r="F387" s="16"/>
      <c r="G387" s="16"/>
      <c r="H387" s="16"/>
      <c r="I387" s="16"/>
      <c r="J387" s="16"/>
      <c r="K387" s="16"/>
      <c r="L387" s="16"/>
      <c r="M387" s="16"/>
      <c r="N387" s="16"/>
      <c r="O387" s="16"/>
      <c r="P387" s="16"/>
      <c r="Q387" s="2127">
        <v>1.2800000000000001E-2</v>
      </c>
      <c r="R387" s="2127"/>
      <c r="S387" s="2127"/>
      <c r="T387" s="2127"/>
      <c r="U387" s="2127"/>
      <c r="V387" s="16" t="s">
        <v>1896</v>
      </c>
      <c r="W387" s="16"/>
      <c r="X387" s="16"/>
      <c r="Y387" s="16"/>
      <c r="Z387" s="16"/>
      <c r="AA387" s="16"/>
      <c r="AB387" s="16"/>
      <c r="AC387" s="16"/>
      <c r="AD387" s="16"/>
      <c r="AE387" s="16"/>
      <c r="AF387" s="16"/>
      <c r="AG387" s="1878"/>
      <c r="AH387" s="1878"/>
      <c r="AI387" s="1878"/>
      <c r="AJ387" s="1878"/>
    </row>
    <row r="388" spans="4:36" s="50" customFormat="1" ht="12.75" customHeight="1">
      <c r="D388" s="16" t="s">
        <v>2257</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78"/>
      <c r="AH388" s="1878"/>
      <c r="AI388" s="1878"/>
      <c r="AJ388" s="1878"/>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0"/>
      <c r="AH389" s="1430"/>
      <c r="AI389" s="1430"/>
      <c r="AJ389" s="1430"/>
    </row>
    <row r="390" spans="4:36" s="50" customFormat="1" ht="12.75" customHeight="1">
      <c r="D390" s="72" t="s">
        <v>2258</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0"/>
      <c r="AH390" s="1430"/>
      <c r="AI390" s="1694" t="s">
        <v>531</v>
      </c>
      <c r="AJ390" s="1694"/>
    </row>
    <row r="391" spans="4:36" s="50" customFormat="1" ht="12.75" customHeight="1">
      <c r="D391" s="72" t="s">
        <v>2259</v>
      </c>
      <c r="E391" s="16"/>
      <c r="F391" s="16"/>
      <c r="G391" s="16"/>
      <c r="H391" s="16"/>
      <c r="I391" s="16"/>
      <c r="J391" s="16"/>
      <c r="K391" s="16"/>
      <c r="L391" s="16"/>
      <c r="M391" s="16"/>
      <c r="N391" s="16"/>
      <c r="O391" s="16"/>
      <c r="P391" s="16"/>
      <c r="Q391" s="16"/>
      <c r="R391" s="16"/>
      <c r="S391" s="16"/>
      <c r="T391" s="2124"/>
      <c r="U391" s="2124"/>
      <c r="V391" s="2124"/>
      <c r="W391" s="2124"/>
      <c r="X391" s="2124"/>
      <c r="Y391" s="2124"/>
      <c r="Z391" s="2124"/>
      <c r="AA391" s="2124"/>
      <c r="AB391" s="2124"/>
      <c r="AC391" s="2124"/>
      <c r="AD391" s="2124"/>
      <c r="AE391" s="2124"/>
      <c r="AF391" s="2124"/>
      <c r="AG391" s="2124"/>
      <c r="AH391" s="2124"/>
      <c r="AI391" s="2124"/>
      <c r="AJ391" s="2124"/>
    </row>
    <row r="392" spans="4:36" s="50" customFormat="1" ht="12.75" customHeight="1">
      <c r="D392" s="72" t="s">
        <v>2260</v>
      </c>
      <c r="E392" s="16"/>
      <c r="F392" s="16"/>
      <c r="G392" s="16"/>
      <c r="H392" s="16"/>
      <c r="I392" s="16"/>
      <c r="J392" s="16"/>
      <c r="K392" s="16"/>
      <c r="L392" s="16"/>
      <c r="M392" s="16"/>
      <c r="N392" s="16"/>
      <c r="O392" s="16"/>
      <c r="P392" s="16"/>
      <c r="Q392" s="16"/>
      <c r="R392" s="16"/>
      <c r="S392" s="16"/>
      <c r="T392" s="2124"/>
      <c r="U392" s="2124"/>
      <c r="V392" s="2124"/>
      <c r="W392" s="2124"/>
      <c r="X392" s="2124"/>
      <c r="Y392" s="2124"/>
      <c r="Z392" s="2124"/>
      <c r="AA392" s="2124"/>
      <c r="AB392" s="2124"/>
      <c r="AC392" s="2124"/>
      <c r="AD392" s="2124"/>
      <c r="AE392" s="2124"/>
      <c r="AF392" s="2124"/>
      <c r="AG392" s="2124"/>
      <c r="AH392" s="2124"/>
      <c r="AI392" s="2124"/>
      <c r="AJ392" s="2124"/>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0"/>
      <c r="AH393" s="1430"/>
      <c r="AI393" s="1430"/>
      <c r="AJ393" s="1430"/>
    </row>
    <row r="394" spans="4:36" s="50" customFormat="1" ht="12.75" customHeight="1">
      <c r="D394" s="72" t="s">
        <v>2261</v>
      </c>
      <c r="E394" s="16"/>
      <c r="F394" s="16"/>
      <c r="G394" s="16"/>
      <c r="H394" s="16"/>
      <c r="I394" s="16"/>
      <c r="J394" s="16"/>
      <c r="K394" s="16"/>
      <c r="L394" s="16"/>
      <c r="M394" s="16"/>
      <c r="N394" s="16"/>
      <c r="O394" s="16"/>
      <c r="P394" s="16"/>
      <c r="Q394" s="16"/>
      <c r="R394" s="16"/>
      <c r="S394" s="2124" t="s">
        <v>531</v>
      </c>
      <c r="T394" s="2124"/>
      <c r="U394" s="2124"/>
      <c r="V394" s="748" t="s">
        <v>2262</v>
      </c>
      <c r="W394" s="16"/>
      <c r="X394" s="16"/>
      <c r="Y394" s="16"/>
      <c r="Z394" s="16"/>
      <c r="AA394" s="16"/>
      <c r="AG394" s="2128"/>
      <c r="AH394" s="2128"/>
      <c r="AI394" s="2128"/>
      <c r="AJ394" s="2128"/>
    </row>
    <row r="395" spans="4:36" s="50" customFormat="1" ht="12.75" customHeight="1">
      <c r="D395" s="72" t="s">
        <v>2263</v>
      </c>
      <c r="E395" s="16"/>
      <c r="F395" s="16"/>
      <c r="G395" s="16"/>
      <c r="H395" s="16"/>
      <c r="I395" s="16"/>
      <c r="J395" s="16"/>
      <c r="K395" s="16"/>
      <c r="L395" s="16"/>
      <c r="M395" s="16"/>
      <c r="N395" s="16"/>
      <c r="O395" s="16"/>
      <c r="P395" s="16"/>
      <c r="Q395" s="16"/>
      <c r="R395" s="16"/>
      <c r="S395" s="2124" t="s">
        <v>136</v>
      </c>
      <c r="T395" s="2124"/>
      <c r="U395" s="2124"/>
      <c r="V395" s="748" t="s">
        <v>2264</v>
      </c>
      <c r="W395" s="16"/>
      <c r="X395" s="16"/>
      <c r="Y395" s="16"/>
      <c r="Z395" s="16"/>
      <c r="AA395" s="16"/>
      <c r="AE395" s="2129"/>
      <c r="AF395" s="2129"/>
      <c r="AG395" s="2129"/>
      <c r="AH395" s="2129"/>
      <c r="AI395" s="2129"/>
      <c r="AJ395" s="2129"/>
    </row>
    <row r="396" spans="4:36" s="50" customFormat="1" ht="12.75" customHeight="1">
      <c r="D396" s="72" t="s">
        <v>2265</v>
      </c>
      <c r="E396" s="16"/>
      <c r="F396" s="16"/>
      <c r="G396" s="16"/>
      <c r="H396" s="16"/>
      <c r="I396" s="16"/>
      <c r="J396" s="16"/>
      <c r="K396" s="1849"/>
      <c r="L396" s="1849"/>
      <c r="M396" s="1849"/>
      <c r="N396" s="1849"/>
      <c r="O396" s="1849"/>
      <c r="P396" s="1849"/>
      <c r="Q396" s="1849"/>
      <c r="R396" s="1849"/>
      <c r="S396" s="1849"/>
      <c r="T396" s="1849"/>
      <c r="U396" s="1849"/>
      <c r="V396" s="1849"/>
      <c r="W396" s="1849"/>
      <c r="X396" s="1849"/>
      <c r="Y396" s="1849"/>
      <c r="Z396" s="1849"/>
      <c r="AA396" s="1849"/>
      <c r="AB396" s="1849"/>
      <c r="AC396" s="1849"/>
      <c r="AD396" s="1849"/>
      <c r="AE396" s="1849"/>
      <c r="AF396" s="1849"/>
      <c r="AG396" s="1849"/>
      <c r="AH396" s="1849"/>
      <c r="AI396" s="1849"/>
      <c r="AJ396" s="1849"/>
    </row>
    <row r="397" spans="4:36" s="50" customFormat="1" ht="12.75" customHeight="1">
      <c r="D397" s="72" t="s">
        <v>2266</v>
      </c>
      <c r="E397" s="16"/>
      <c r="F397" s="16"/>
      <c r="G397" s="16"/>
      <c r="H397" s="16"/>
      <c r="I397" s="16"/>
      <c r="J397" s="16"/>
      <c r="K397" s="1849"/>
      <c r="L397" s="1849"/>
      <c r="M397" s="1849"/>
      <c r="N397" s="1849"/>
      <c r="O397" s="1849"/>
      <c r="P397" s="1849"/>
      <c r="Q397" s="1849"/>
      <c r="R397" s="1849"/>
      <c r="S397" s="1849"/>
      <c r="T397" s="1849"/>
      <c r="U397" s="1849"/>
      <c r="V397" s="1849"/>
      <c r="W397" s="1849"/>
      <c r="X397" s="1849"/>
      <c r="Y397" s="1849"/>
      <c r="Z397" s="1849"/>
      <c r="AA397" s="1849"/>
      <c r="AB397" s="1849"/>
      <c r="AC397" s="1849"/>
      <c r="AD397" s="1849"/>
      <c r="AE397" s="1849"/>
      <c r="AF397" s="1849"/>
      <c r="AG397" s="1849"/>
      <c r="AH397" s="1849"/>
      <c r="AI397" s="1849"/>
      <c r="AJ397" s="1849"/>
    </row>
    <row r="398" spans="4:36" s="50" customFormat="1" ht="12.75" customHeight="1">
      <c r="D398" s="327" t="s">
        <v>2267</v>
      </c>
      <c r="E398" s="1393"/>
      <c r="F398" s="1393"/>
      <c r="G398" s="1393"/>
      <c r="H398" s="1393"/>
      <c r="I398" s="1393"/>
      <c r="J398" s="1393"/>
      <c r="K398" s="1393"/>
      <c r="L398" s="1393"/>
      <c r="M398" s="1393"/>
      <c r="N398" s="1393"/>
      <c r="O398" s="1393"/>
      <c r="P398" s="1393"/>
      <c r="Q398" s="1393"/>
      <c r="R398" s="1393"/>
      <c r="S398" s="2029" t="s">
        <v>2268</v>
      </c>
      <c r="T398" s="2029"/>
      <c r="U398" s="2029"/>
      <c r="V398" s="2029"/>
      <c r="W398" s="2029"/>
      <c r="X398" s="2029"/>
      <c r="Y398" s="2029"/>
      <c r="Z398" s="2029"/>
      <c r="AA398" s="2029"/>
      <c r="AB398" s="2029"/>
      <c r="AC398" s="2029"/>
      <c r="AD398" s="2029"/>
      <c r="AE398" s="2029"/>
      <c r="AF398" s="2029"/>
      <c r="AG398" s="2029"/>
      <c r="AH398" s="2029"/>
      <c r="AI398" s="2029"/>
      <c r="AJ398" s="2029"/>
    </row>
    <row r="399" spans="4:36" s="50" customFormat="1" ht="12.75" customHeight="1">
      <c r="D399" s="2138" t="s">
        <v>2269</v>
      </c>
      <c r="E399" s="2138"/>
      <c r="F399" s="2138"/>
      <c r="G399" s="2138"/>
      <c r="H399" s="2138"/>
      <c r="I399" s="2138"/>
      <c r="J399" s="2138"/>
      <c r="K399" s="2138"/>
      <c r="L399" s="2138"/>
      <c r="M399" s="2138"/>
      <c r="N399" s="2138"/>
      <c r="O399" s="2138"/>
      <c r="P399" s="2138"/>
      <c r="Q399" s="2138"/>
      <c r="R399" s="2138"/>
      <c r="S399" s="2138"/>
      <c r="T399" s="2138"/>
      <c r="U399" s="2138"/>
      <c r="V399" s="2138"/>
      <c r="W399" s="2138"/>
      <c r="X399" s="2138"/>
      <c r="Y399" s="2138"/>
      <c r="Z399" s="2138"/>
      <c r="AA399" s="2138"/>
      <c r="AB399" s="2138"/>
      <c r="AC399" s="2138"/>
      <c r="AD399" s="2138"/>
      <c r="AE399" s="2138"/>
      <c r="AF399" s="2138"/>
      <c r="AG399" s="2138"/>
      <c r="AH399" s="2138"/>
      <c r="AI399" s="2138"/>
      <c r="AJ399" s="2138"/>
    </row>
    <row r="400" spans="4:36" s="50" customFormat="1" ht="12.75" customHeight="1">
      <c r="D400" s="2138"/>
      <c r="E400" s="2138"/>
      <c r="F400" s="2138"/>
      <c r="G400" s="2138"/>
      <c r="H400" s="2138"/>
      <c r="I400" s="2138"/>
      <c r="J400" s="2138"/>
      <c r="K400" s="2138"/>
      <c r="L400" s="2138"/>
      <c r="M400" s="2138"/>
      <c r="N400" s="2138"/>
      <c r="O400" s="2138"/>
      <c r="P400" s="2138"/>
      <c r="Q400" s="2138"/>
      <c r="R400" s="2138"/>
      <c r="S400" s="2138"/>
      <c r="T400" s="2138"/>
      <c r="U400" s="2138"/>
      <c r="V400" s="2138"/>
      <c r="W400" s="2138"/>
      <c r="X400" s="2138"/>
      <c r="Y400" s="2138"/>
      <c r="Z400" s="2138"/>
      <c r="AA400" s="2138"/>
      <c r="AB400" s="2138"/>
      <c r="AC400" s="2138"/>
      <c r="AD400" s="2138"/>
      <c r="AE400" s="2138"/>
      <c r="AF400" s="2138"/>
      <c r="AG400" s="2138"/>
      <c r="AH400" s="2138"/>
      <c r="AI400" s="2138"/>
      <c r="AJ400" s="2138"/>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0"/>
      <c r="AH401" s="1430"/>
      <c r="AI401" s="1430"/>
      <c r="AJ401" s="1430"/>
    </row>
    <row r="402" spans="1:36" ht="12.75" customHeight="1">
      <c r="A402" s="63" t="s">
        <v>134</v>
      </c>
      <c r="B402" s="63"/>
      <c r="C402" s="63" t="s">
        <v>1003</v>
      </c>
    </row>
    <row r="403" spans="1:36" ht="12.75" customHeight="1">
      <c r="C403" s="35"/>
      <c r="D403" s="63" t="s">
        <v>1959</v>
      </c>
      <c r="I403" s="1700" t="s">
        <v>2505</v>
      </c>
      <c r="J403" s="1700"/>
      <c r="K403" s="1700"/>
      <c r="L403" s="1700"/>
      <c r="M403" s="1700"/>
      <c r="N403" s="1700"/>
      <c r="O403" s="1700"/>
      <c r="P403" s="1700"/>
      <c r="Q403" s="1700"/>
      <c r="R403" s="1700"/>
      <c r="S403" s="1700"/>
      <c r="T403" s="1700"/>
      <c r="U403" s="1700"/>
      <c r="V403" s="1700"/>
      <c r="W403" s="1700"/>
      <c r="X403" s="1700"/>
      <c r="Y403" s="1700"/>
      <c r="Z403" s="1700"/>
      <c r="AA403" s="1700"/>
      <c r="AB403" s="1700"/>
      <c r="AC403" s="1700"/>
      <c r="AD403" s="1700"/>
    </row>
    <row r="404" spans="1:36" ht="12.75" customHeight="1">
      <c r="C404" s="35"/>
      <c r="E404" s="16" t="s">
        <v>938</v>
      </c>
      <c r="R404" s="1694" t="s">
        <v>136</v>
      </c>
      <c r="S404" s="1694"/>
      <c r="T404" s="16" t="s">
        <v>319</v>
      </c>
      <c r="AD404" s="1809">
        <v>0</v>
      </c>
      <c r="AE404" s="1809"/>
    </row>
    <row r="405" spans="1:36" ht="12.75" customHeight="1">
      <c r="C405" s="35"/>
      <c r="E405" s="16" t="s">
        <v>939</v>
      </c>
      <c r="R405" s="1694" t="s">
        <v>119</v>
      </c>
      <c r="S405" s="1694"/>
      <c r="T405" s="16" t="s">
        <v>319</v>
      </c>
      <c r="AD405" s="1809">
        <v>2</v>
      </c>
      <c r="AE405" s="1809"/>
    </row>
    <row r="406" spans="1:36" ht="12.75" customHeight="1">
      <c r="E406" s="16" t="s">
        <v>940</v>
      </c>
      <c r="S406" s="1694" t="s">
        <v>136</v>
      </c>
      <c r="T406" s="1694"/>
    </row>
    <row r="407" spans="1:36" ht="12.75" customHeight="1">
      <c r="E407" s="16" t="s">
        <v>311</v>
      </c>
      <c r="H407" s="2002" t="s">
        <v>622</v>
      </c>
      <c r="I407" s="2002"/>
      <c r="J407" s="2002"/>
      <c r="K407" s="2002"/>
      <c r="L407" s="2002"/>
      <c r="M407" s="2002"/>
      <c r="N407" s="2002"/>
      <c r="O407" s="2002"/>
      <c r="P407" s="2002"/>
      <c r="Q407" s="2002"/>
      <c r="R407" s="2002"/>
      <c r="S407" s="2002"/>
      <c r="T407" s="2002"/>
      <c r="U407" s="2002"/>
      <c r="V407" s="2002"/>
      <c r="W407" s="2002"/>
      <c r="X407" s="2002"/>
      <c r="Y407" s="2002"/>
      <c r="Z407" s="2002"/>
      <c r="AA407" s="2002"/>
      <c r="AB407" s="2002"/>
      <c r="AC407" s="2002"/>
      <c r="AD407" s="2002"/>
      <c r="AE407" s="2002"/>
      <c r="AF407" s="2002"/>
      <c r="AG407" s="2002"/>
      <c r="AH407" s="2002"/>
      <c r="AI407" s="2002"/>
      <c r="AJ407" s="2002"/>
    </row>
    <row r="408" spans="1:36" ht="12.75" customHeight="1">
      <c r="H408" s="2003"/>
      <c r="I408" s="2003"/>
      <c r="J408" s="2003"/>
      <c r="K408" s="2003"/>
      <c r="L408" s="2003"/>
      <c r="M408" s="2003"/>
      <c r="N408" s="2003"/>
      <c r="O408" s="2003"/>
      <c r="P408" s="2003"/>
      <c r="Q408" s="2003"/>
      <c r="R408" s="2003"/>
      <c r="S408" s="2003"/>
      <c r="T408" s="2003"/>
      <c r="U408" s="2003"/>
      <c r="V408" s="2003"/>
      <c r="W408" s="2003"/>
      <c r="X408" s="2003"/>
      <c r="Y408" s="2003"/>
      <c r="Z408" s="2003"/>
      <c r="AA408" s="2003"/>
      <c r="AB408" s="2003"/>
      <c r="AC408" s="2003"/>
      <c r="AD408" s="2003"/>
      <c r="AE408" s="2003"/>
      <c r="AF408" s="2003"/>
      <c r="AG408" s="2003"/>
      <c r="AH408" s="2003"/>
      <c r="AI408" s="2003"/>
      <c r="AJ408" s="2003"/>
    </row>
    <row r="409" spans="1:36" ht="12.75" customHeight="1"/>
    <row r="410" spans="1:36" ht="12.75" customHeight="1">
      <c r="A410" s="63" t="s">
        <v>135</v>
      </c>
      <c r="B410" s="63"/>
      <c r="C410" s="63"/>
      <c r="D410" s="63" t="s">
        <v>1006</v>
      </c>
      <c r="AE410" s="8"/>
      <c r="AF410" s="63" t="s">
        <v>1345</v>
      </c>
    </row>
    <row r="411" spans="1:36" ht="12.75" customHeight="1">
      <c r="E411" s="1996"/>
      <c r="F411" s="1996"/>
      <c r="G411" s="1996"/>
      <c r="H411" s="33" t="s">
        <v>1007</v>
      </c>
      <c r="I411" s="1996"/>
      <c r="J411" s="1996"/>
      <c r="K411" s="1996"/>
      <c r="L411" s="16" t="s">
        <v>1008</v>
      </c>
      <c r="N411" s="240" t="s">
        <v>933</v>
      </c>
      <c r="P411" s="1985">
        <v>4.3600000000000003</v>
      </c>
      <c r="Q411" s="1985"/>
      <c r="R411" s="1985"/>
      <c r="S411" s="16" t="s">
        <v>1009</v>
      </c>
      <c r="W411" s="1999">
        <f>IF(E411&gt;0,(E411*I411),(P411*43560))</f>
        <v>189921.6</v>
      </c>
      <c r="X411" s="1999"/>
      <c r="Y411" s="1999"/>
      <c r="Z411" s="16" t="s">
        <v>1010</v>
      </c>
      <c r="AF411" s="2141">
        <f>IF(P411&gt;0,(AG430/P411),(AG430/(W411/43560)))</f>
        <v>13.761467889908255</v>
      </c>
      <c r="AG411" s="2141"/>
      <c r="AH411" s="2141"/>
    </row>
    <row r="412" spans="1:36" ht="12.75" customHeight="1">
      <c r="E412" s="16" t="s">
        <v>224</v>
      </c>
    </row>
    <row r="413" spans="1:36" ht="12.75" customHeight="1">
      <c r="E413" s="1994"/>
      <c r="F413" s="1994"/>
      <c r="G413" s="1994"/>
      <c r="H413" s="1994"/>
      <c r="I413" s="1994"/>
      <c r="J413" s="1994"/>
      <c r="K413" s="1994"/>
      <c r="L413" s="1994"/>
      <c r="M413" s="1994"/>
      <c r="N413" s="1994"/>
      <c r="O413" s="1994"/>
      <c r="P413" s="1994"/>
      <c r="Q413" s="1994"/>
      <c r="R413" s="1994"/>
      <c r="S413" s="1994"/>
      <c r="T413" s="1994"/>
      <c r="U413" s="1994"/>
      <c r="V413" s="1994"/>
      <c r="W413" s="1994"/>
      <c r="X413" s="1994"/>
      <c r="Y413" s="1994"/>
      <c r="Z413" s="1994"/>
      <c r="AA413" s="1994"/>
      <c r="AB413" s="1994"/>
      <c r="AC413" s="1994"/>
      <c r="AD413" s="1994"/>
      <c r="AE413" s="1994"/>
      <c r="AF413" s="1994"/>
      <c r="AG413" s="1994"/>
      <c r="AH413" s="1994"/>
      <c r="AI413" s="1994"/>
      <c r="AJ413" s="1994"/>
    </row>
    <row r="414" spans="1:36" s="50" customFormat="1" ht="12.75" customHeight="1">
      <c r="E414" s="412" t="s">
        <v>2270</v>
      </c>
      <c r="F414" s="59"/>
      <c r="G414" s="59"/>
      <c r="H414" s="59"/>
      <c r="I414" s="2139">
        <v>4.3600000000000003</v>
      </c>
      <c r="J414" s="2139"/>
      <c r="K414" s="2139"/>
      <c r="L414" s="59"/>
      <c r="M414" s="412"/>
      <c r="N414" s="59"/>
      <c r="O414" s="59"/>
      <c r="P414" s="2140">
        <f>(CQ629+CS634+CQ648)/I414</f>
        <v>29.816513761467888</v>
      </c>
      <c r="Q414" s="2140"/>
      <c r="R414" s="2140"/>
      <c r="S414" s="412" t="s">
        <v>2271</v>
      </c>
      <c r="T414" s="59"/>
      <c r="U414" s="59"/>
      <c r="V414" s="59"/>
      <c r="W414" s="59"/>
      <c r="X414" s="59"/>
      <c r="Y414" s="1486"/>
      <c r="Z414" s="1486"/>
      <c r="AA414" s="1486"/>
      <c r="AB414" s="1486"/>
      <c r="AC414" s="1486"/>
      <c r="AD414" s="1486"/>
      <c r="AE414" s="1486"/>
      <c r="AF414" s="1486"/>
      <c r="AG414" s="1486"/>
      <c r="AH414" s="1486"/>
      <c r="AI414" s="1486"/>
      <c r="AJ414" s="1486"/>
    </row>
    <row r="415" spans="1:36" ht="12.75" customHeight="1"/>
    <row r="416" spans="1:36" ht="12.75" customHeight="1">
      <c r="A416" s="63" t="s">
        <v>137</v>
      </c>
      <c r="B416" s="63"/>
      <c r="C416" s="63"/>
      <c r="D416" s="63" t="s">
        <v>1012</v>
      </c>
    </row>
    <row r="417" spans="1:36" ht="12.75" customHeight="1">
      <c r="E417" s="16" t="s">
        <v>500</v>
      </c>
      <c r="P417" s="1694">
        <v>6</v>
      </c>
      <c r="Q417" s="1694"/>
      <c r="S417" s="16" t="s">
        <v>149</v>
      </c>
      <c r="AE417" s="1694">
        <v>5</v>
      </c>
      <c r="AF417" s="1694"/>
    </row>
    <row r="418" spans="1:36" ht="12.75" customHeight="1">
      <c r="E418" s="16" t="s">
        <v>150</v>
      </c>
      <c r="P418" s="1694">
        <v>1</v>
      </c>
      <c r="Q418" s="1694"/>
      <c r="S418" s="16" t="s">
        <v>793</v>
      </c>
      <c r="AE418" s="1694" t="s">
        <v>136</v>
      </c>
      <c r="AF418" s="1694"/>
    </row>
    <row r="419" spans="1:36" ht="12.75">
      <c r="F419" s="81" t="s">
        <v>247</v>
      </c>
    </row>
    <row r="420" spans="1:36" ht="12.75">
      <c r="F420" s="2014"/>
      <c r="G420" s="2014"/>
      <c r="H420" s="2014"/>
      <c r="I420" s="2014"/>
      <c r="J420" s="2014"/>
      <c r="K420" s="2014"/>
      <c r="L420" s="2014"/>
      <c r="M420" s="2014"/>
      <c r="N420" s="2014"/>
      <c r="O420" s="2014"/>
      <c r="P420" s="2014"/>
      <c r="Q420" s="2014"/>
      <c r="R420" s="2014"/>
      <c r="S420" s="2014"/>
      <c r="T420" s="2014"/>
      <c r="U420" s="2014"/>
      <c r="V420" s="2014"/>
      <c r="W420" s="2014"/>
      <c r="X420" s="2014"/>
      <c r="Y420" s="2014"/>
      <c r="Z420" s="2014"/>
      <c r="AA420" s="2014"/>
      <c r="AB420" s="2014"/>
      <c r="AC420" s="2014"/>
      <c r="AD420" s="2014"/>
      <c r="AE420" s="2014"/>
      <c r="AF420" s="2014"/>
      <c r="AG420" s="2014"/>
      <c r="AH420" s="2014"/>
    </row>
    <row r="421" spans="1:36" ht="12.75">
      <c r="F421" s="2015"/>
      <c r="G421" s="2015"/>
      <c r="H421" s="2015"/>
      <c r="I421" s="2015"/>
      <c r="J421" s="2015"/>
      <c r="K421" s="2015"/>
      <c r="L421" s="2015"/>
      <c r="M421" s="2015"/>
      <c r="N421" s="2015"/>
      <c r="O421" s="2015"/>
      <c r="P421" s="2015"/>
      <c r="Q421" s="2015"/>
      <c r="R421" s="2015"/>
      <c r="S421" s="2015"/>
      <c r="T421" s="2015"/>
      <c r="U421" s="2015"/>
      <c r="V421" s="2015"/>
      <c r="W421" s="2015"/>
      <c r="X421" s="2015"/>
      <c r="Y421" s="2015"/>
      <c r="Z421" s="2015"/>
      <c r="AA421" s="2015"/>
      <c r="AB421" s="2015"/>
      <c r="AC421" s="2015"/>
      <c r="AD421" s="2015"/>
      <c r="AE421" s="2015"/>
      <c r="AF421" s="2015"/>
      <c r="AG421" s="2015"/>
      <c r="AH421" s="2015"/>
    </row>
    <row r="422" spans="1:36" ht="12.75">
      <c r="E422" s="16" t="s">
        <v>942</v>
      </c>
      <c r="N422" s="50"/>
      <c r="O422" s="50"/>
      <c r="P422" s="390"/>
      <c r="Q422" s="1694" t="s">
        <v>119</v>
      </c>
      <c r="R422" s="1694"/>
      <c r="S422" s="50"/>
      <c r="T422" s="50"/>
      <c r="U422" s="50"/>
      <c r="V422" s="50"/>
      <c r="W422" s="50"/>
      <c r="X422" s="50"/>
      <c r="Y422" s="50"/>
      <c r="Z422" s="50"/>
      <c r="AA422" s="50"/>
      <c r="AB422" s="50"/>
      <c r="AC422" s="50"/>
      <c r="AD422" s="50"/>
      <c r="AE422" s="390"/>
      <c r="AF422" s="390"/>
    </row>
    <row r="423" spans="1:36" ht="12.75">
      <c r="F423" s="16" t="s">
        <v>943</v>
      </c>
      <c r="N423" s="50"/>
      <c r="O423" s="50"/>
      <c r="P423" s="390"/>
      <c r="Q423" s="390"/>
      <c r="R423" s="50"/>
      <c r="S423" s="50"/>
      <c r="T423" s="50"/>
      <c r="U423" s="50"/>
      <c r="V423" s="50"/>
      <c r="W423" s="50"/>
      <c r="X423" s="50"/>
      <c r="Y423" s="50"/>
      <c r="Z423" s="50"/>
      <c r="AA423" s="50"/>
      <c r="AB423" s="50"/>
      <c r="AC423" s="50"/>
      <c r="AD423" s="50"/>
      <c r="AE423" s="1694" t="s">
        <v>136</v>
      </c>
      <c r="AF423" s="1995"/>
    </row>
    <row r="424" spans="1:36" ht="12.75">
      <c r="S424" s="35"/>
      <c r="T424" s="35"/>
    </row>
    <row r="425" spans="1:36" ht="12.75" customHeight="1">
      <c r="A425" s="63"/>
      <c r="B425" s="63"/>
      <c r="C425" s="63"/>
      <c r="E425" s="8" t="s">
        <v>87</v>
      </c>
      <c r="Z425" s="1694" t="s">
        <v>531</v>
      </c>
      <c r="AA425" s="1694"/>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694" t="s">
        <v>531</v>
      </c>
      <c r="AA427" s="1694"/>
    </row>
    <row r="428" spans="1:36" ht="12.75" customHeight="1">
      <c r="AG428" s="16">
        <v>0</v>
      </c>
    </row>
    <row r="429" spans="1:36" ht="12.75" customHeight="1">
      <c r="A429" s="63" t="s">
        <v>411</v>
      </c>
      <c r="B429" s="63"/>
      <c r="C429" s="63"/>
      <c r="D429" s="63" t="s">
        <v>189</v>
      </c>
      <c r="AF429" s="94"/>
    </row>
    <row r="430" spans="1:36" ht="12.75" customHeight="1">
      <c r="D430" s="1826" t="s">
        <v>400</v>
      </c>
      <c r="E430" s="1827"/>
      <c r="F430" s="1827"/>
      <c r="G430" s="1827"/>
      <c r="H430" s="1827"/>
      <c r="I430" s="1827"/>
      <c r="J430" s="1827"/>
      <c r="K430" s="1827"/>
      <c r="L430" s="1827"/>
      <c r="M430" s="1827"/>
      <c r="N430" s="1827"/>
      <c r="O430" s="1827"/>
      <c r="P430" s="1827"/>
      <c r="Q430" s="1827"/>
      <c r="R430" s="1827"/>
      <c r="S430" s="1827"/>
      <c r="T430" s="1827"/>
      <c r="U430" s="1827"/>
      <c r="V430" s="1827"/>
      <c r="W430" s="1827"/>
      <c r="X430" s="1827"/>
      <c r="Y430" s="1827"/>
      <c r="Z430" s="1827"/>
      <c r="AA430" s="1827"/>
      <c r="AB430" s="1827"/>
      <c r="AC430" s="1827"/>
      <c r="AD430" s="1827"/>
      <c r="AE430" s="1827"/>
      <c r="AF430" s="1993"/>
      <c r="AG430" s="2039">
        <v>60</v>
      </c>
      <c r="AH430" s="2039"/>
      <c r="AI430" s="2039"/>
      <c r="AJ430" s="2039"/>
    </row>
    <row r="431" spans="1:36" ht="12.75" customHeight="1">
      <c r="D431" s="1869" t="s">
        <v>1523</v>
      </c>
      <c r="E431" s="1997"/>
      <c r="F431" s="1997"/>
      <c r="G431" s="1997"/>
      <c r="H431" s="1997"/>
      <c r="I431" s="1997"/>
      <c r="J431" s="1997"/>
      <c r="K431" s="1997"/>
      <c r="L431" s="1997"/>
      <c r="M431" s="1997"/>
      <c r="N431" s="1997"/>
      <c r="O431" s="1997"/>
      <c r="P431" s="1997"/>
      <c r="Q431" s="1997"/>
      <c r="R431" s="1997"/>
      <c r="S431" s="1997"/>
      <c r="T431" s="1997"/>
      <c r="U431" s="1997"/>
      <c r="V431" s="1997"/>
      <c r="W431" s="1997"/>
      <c r="X431" s="1997"/>
      <c r="Y431" s="1997"/>
      <c r="Z431" s="1997"/>
      <c r="AA431" s="1997"/>
      <c r="AB431" s="1997"/>
      <c r="AC431" s="1997"/>
      <c r="AD431" s="1997"/>
      <c r="AE431" s="1997"/>
      <c r="AF431" s="1998"/>
      <c r="AG431" s="2136"/>
      <c r="AH431" s="2137"/>
      <c r="AI431" s="2137"/>
      <c r="AJ431" s="2137"/>
    </row>
    <row r="432" spans="1:36" ht="12.75" customHeight="1">
      <c r="D432" s="1869" t="s">
        <v>1524</v>
      </c>
      <c r="E432" s="1997"/>
      <c r="F432" s="1997"/>
      <c r="G432" s="1997"/>
      <c r="H432" s="1997"/>
      <c r="I432" s="1997"/>
      <c r="J432" s="1997"/>
      <c r="K432" s="1997"/>
      <c r="L432" s="1997"/>
      <c r="M432" s="1997"/>
      <c r="N432" s="1997"/>
      <c r="O432" s="1997"/>
      <c r="P432" s="1997"/>
      <c r="Q432" s="1997"/>
      <c r="R432" s="1997"/>
      <c r="S432" s="1997"/>
      <c r="T432" s="1997"/>
      <c r="U432" s="1997"/>
      <c r="V432" s="1997"/>
      <c r="W432" s="1997"/>
      <c r="X432" s="1997"/>
      <c r="Y432" s="1997"/>
      <c r="Z432" s="1997"/>
      <c r="AA432" s="1997"/>
      <c r="AB432" s="1997"/>
      <c r="AC432" s="1997"/>
      <c r="AD432" s="1997"/>
      <c r="AE432" s="1997"/>
      <c r="AF432" s="1998"/>
      <c r="AG432" s="2039">
        <v>59</v>
      </c>
      <c r="AH432" s="2039"/>
      <c r="AI432" s="2039"/>
      <c r="AJ432" s="2039"/>
    </row>
    <row r="433" spans="4:36" ht="12.75" customHeight="1">
      <c r="D433" s="1869" t="s">
        <v>1520</v>
      </c>
      <c r="E433" s="1997"/>
      <c r="F433" s="1997"/>
      <c r="G433" s="1997"/>
      <c r="H433" s="1997"/>
      <c r="I433" s="1997"/>
      <c r="J433" s="1997"/>
      <c r="K433" s="1997"/>
      <c r="L433" s="1997"/>
      <c r="M433" s="1997"/>
      <c r="N433" s="1997"/>
      <c r="O433" s="1997"/>
      <c r="P433" s="1997"/>
      <c r="Q433" s="1997"/>
      <c r="R433" s="1997"/>
      <c r="S433" s="1997"/>
      <c r="T433" s="1997"/>
      <c r="U433" s="1997"/>
      <c r="V433" s="1997"/>
      <c r="W433" s="1997"/>
      <c r="X433" s="1997"/>
      <c r="Y433" s="1997"/>
      <c r="Z433" s="1997"/>
      <c r="AA433" s="1997"/>
      <c r="AB433" s="1997"/>
      <c r="AC433" s="1997"/>
      <c r="AD433" s="1997"/>
      <c r="AE433" s="1997"/>
      <c r="AF433" s="1998"/>
      <c r="AG433" s="2039">
        <v>59</v>
      </c>
      <c r="AH433" s="2039"/>
      <c r="AI433" s="2039"/>
      <c r="AJ433" s="2039"/>
    </row>
    <row r="434" spans="4:36" ht="12.75" customHeight="1">
      <c r="D434" s="1869" t="s">
        <v>1525</v>
      </c>
      <c r="E434" s="1997"/>
      <c r="F434" s="1997"/>
      <c r="G434" s="1997"/>
      <c r="H434" s="1997"/>
      <c r="I434" s="1997"/>
      <c r="J434" s="1997"/>
      <c r="K434" s="1997"/>
      <c r="L434" s="1997"/>
      <c r="M434" s="1997"/>
      <c r="N434" s="1997"/>
      <c r="O434" s="1997"/>
      <c r="P434" s="1997"/>
      <c r="Q434" s="1997"/>
      <c r="R434" s="1997"/>
      <c r="S434" s="1997"/>
      <c r="T434" s="1997"/>
      <c r="U434" s="1997"/>
      <c r="V434" s="1997"/>
      <c r="W434" s="1997"/>
      <c r="X434" s="1997"/>
      <c r="Y434" s="1997"/>
      <c r="Z434" s="1997"/>
      <c r="AA434" s="1997"/>
      <c r="AB434" s="1997"/>
      <c r="AC434" s="1997"/>
      <c r="AD434" s="1997"/>
      <c r="AE434" s="1997"/>
      <c r="AF434" s="1998"/>
      <c r="AG434" s="2041">
        <f>IF(ISERROR(AG433/AG432),"",AG433/AG432)</f>
        <v>1</v>
      </c>
      <c r="AH434" s="2041"/>
      <c r="AI434" s="2041"/>
      <c r="AJ434" s="2041"/>
    </row>
    <row r="435" spans="4:36" ht="12.75" customHeight="1">
      <c r="D435" s="1869" t="s">
        <v>1522</v>
      </c>
      <c r="E435" s="1997"/>
      <c r="F435" s="1997"/>
      <c r="G435" s="1997"/>
      <c r="H435" s="1997"/>
      <c r="I435" s="1997"/>
      <c r="J435" s="1997"/>
      <c r="K435" s="1997"/>
      <c r="L435" s="1997"/>
      <c r="M435" s="1997"/>
      <c r="N435" s="1997"/>
      <c r="O435" s="1997"/>
      <c r="P435" s="1997"/>
      <c r="Q435" s="1997"/>
      <c r="R435" s="1997"/>
      <c r="S435" s="1997"/>
      <c r="T435" s="1997"/>
      <c r="U435" s="1997"/>
      <c r="V435" s="1997"/>
      <c r="W435" s="1997"/>
      <c r="X435" s="1997"/>
      <c r="Y435" s="1997"/>
      <c r="Z435" s="1997"/>
      <c r="AA435" s="1997"/>
      <c r="AB435" s="1997"/>
      <c r="AC435" s="1997"/>
      <c r="AD435" s="1997"/>
      <c r="AE435" s="1997"/>
      <c r="AF435" s="1998"/>
      <c r="AG435" s="2001">
        <v>55728</v>
      </c>
      <c r="AH435" s="2001"/>
      <c r="AI435" s="2001"/>
      <c r="AJ435" s="2001"/>
    </row>
    <row r="436" spans="4:36" ht="12.75" customHeight="1">
      <c r="D436" s="1869" t="s">
        <v>1521</v>
      </c>
      <c r="E436" s="1997"/>
      <c r="F436" s="1997"/>
      <c r="G436" s="1997"/>
      <c r="H436" s="1997"/>
      <c r="I436" s="1997"/>
      <c r="J436" s="1997"/>
      <c r="K436" s="1997"/>
      <c r="L436" s="1997"/>
      <c r="M436" s="1997"/>
      <c r="N436" s="1997"/>
      <c r="O436" s="1997"/>
      <c r="P436" s="1997"/>
      <c r="Q436" s="1997"/>
      <c r="R436" s="1997"/>
      <c r="S436" s="1997"/>
      <c r="T436" s="1997"/>
      <c r="U436" s="1997"/>
      <c r="V436" s="1997"/>
      <c r="W436" s="1997"/>
      <c r="X436" s="1997"/>
      <c r="Y436" s="1997"/>
      <c r="Z436" s="1997"/>
      <c r="AA436" s="1997"/>
      <c r="AB436" s="1997"/>
      <c r="AC436" s="1997"/>
      <c r="AD436" s="1997"/>
      <c r="AE436" s="1997"/>
      <c r="AF436" s="1998"/>
      <c r="AG436" s="2001">
        <v>55728</v>
      </c>
      <c r="AH436" s="2001"/>
      <c r="AI436" s="2001"/>
      <c r="AJ436" s="2001"/>
    </row>
    <row r="437" spans="4:36" ht="12.75" customHeight="1">
      <c r="D437" s="1869" t="s">
        <v>1528</v>
      </c>
      <c r="E437" s="1997"/>
      <c r="F437" s="1997"/>
      <c r="G437" s="1997"/>
      <c r="H437" s="1997"/>
      <c r="I437" s="1997"/>
      <c r="J437" s="1997"/>
      <c r="K437" s="1997"/>
      <c r="L437" s="1997"/>
      <c r="M437" s="1997"/>
      <c r="N437" s="1997"/>
      <c r="O437" s="1997"/>
      <c r="P437" s="1997"/>
      <c r="Q437" s="1997"/>
      <c r="R437" s="1997"/>
      <c r="S437" s="1997"/>
      <c r="T437" s="1997"/>
      <c r="U437" s="1997"/>
      <c r="V437" s="1997"/>
      <c r="W437" s="1997"/>
      <c r="X437" s="1997"/>
      <c r="Y437" s="1997"/>
      <c r="Z437" s="1997"/>
      <c r="AA437" s="1997"/>
      <c r="AB437" s="1997"/>
      <c r="AC437" s="1997"/>
      <c r="AD437" s="1997"/>
      <c r="AE437" s="1997"/>
      <c r="AF437" s="1998"/>
      <c r="AG437" s="2041">
        <f>IF(ISERROR(AG436/AG435),"",AG436/AG435)</f>
        <v>1</v>
      </c>
      <c r="AH437" s="2041"/>
      <c r="AI437" s="2041"/>
      <c r="AJ437" s="2041"/>
    </row>
    <row r="438" spans="4:36" ht="12.75" customHeight="1">
      <c r="D438" s="1869" t="s">
        <v>1526</v>
      </c>
      <c r="E438" s="1997"/>
      <c r="F438" s="1997"/>
      <c r="G438" s="1997"/>
      <c r="H438" s="1997"/>
      <c r="I438" s="1997"/>
      <c r="J438" s="1997"/>
      <c r="K438" s="1997"/>
      <c r="L438" s="1997"/>
      <c r="M438" s="1997"/>
      <c r="N438" s="1997"/>
      <c r="O438" s="1997"/>
      <c r="P438" s="1997"/>
      <c r="Q438" s="1997"/>
      <c r="R438" s="1997"/>
      <c r="S438" s="1997"/>
      <c r="T438" s="1997"/>
      <c r="U438" s="1997"/>
      <c r="V438" s="1997"/>
      <c r="W438" s="1997"/>
      <c r="X438" s="1997"/>
      <c r="Y438" s="1997"/>
      <c r="Z438" s="1997"/>
      <c r="AA438" s="1997"/>
      <c r="AB438" s="1997"/>
      <c r="AC438" s="1997"/>
      <c r="AD438" s="1997"/>
      <c r="AE438" s="1997"/>
      <c r="AF438" s="1998"/>
      <c r="AG438" s="2041">
        <f>MIN(IF(AG434&gt;AG437,AG437,AG434),1)</f>
        <v>1</v>
      </c>
      <c r="AH438" s="2041"/>
      <c r="AI438" s="2041"/>
      <c r="AJ438" s="2041"/>
    </row>
    <row r="439" spans="4:36" ht="12.75">
      <c r="D439" s="2133" t="s">
        <v>1960</v>
      </c>
      <c r="E439" s="1827"/>
      <c r="F439" s="1827"/>
      <c r="G439" s="1827"/>
      <c r="H439" s="1827"/>
      <c r="I439" s="1827"/>
      <c r="J439" s="1827"/>
      <c r="K439" s="1827"/>
      <c r="L439" s="1827"/>
      <c r="M439" s="1827"/>
      <c r="N439" s="1827"/>
      <c r="O439" s="1827"/>
      <c r="P439" s="1827"/>
      <c r="Q439" s="1827"/>
      <c r="R439" s="1827"/>
      <c r="S439" s="1827"/>
      <c r="T439" s="1827"/>
      <c r="U439" s="1827"/>
      <c r="V439" s="1827"/>
      <c r="W439" s="1827"/>
      <c r="X439" s="1827"/>
      <c r="Y439" s="1827"/>
      <c r="Z439" s="1827"/>
      <c r="AA439" s="1827"/>
      <c r="AB439" s="1827"/>
      <c r="AC439" s="1827"/>
      <c r="AD439" s="1827"/>
      <c r="AE439" s="1827"/>
      <c r="AF439" s="1993"/>
      <c r="AG439" s="2000">
        <v>2531</v>
      </c>
      <c r="AH439" s="2001"/>
      <c r="AI439" s="2001"/>
      <c r="AJ439" s="2001"/>
    </row>
    <row r="440" spans="4:36" ht="12.75">
      <c r="D440" s="1869" t="s">
        <v>231</v>
      </c>
      <c r="E440" s="1997"/>
      <c r="F440" s="1997"/>
      <c r="G440" s="1997"/>
      <c r="H440" s="1997"/>
      <c r="I440" s="1997"/>
      <c r="J440" s="1997"/>
      <c r="K440" s="1997"/>
      <c r="L440" s="1997"/>
      <c r="M440" s="1997"/>
      <c r="N440" s="1997"/>
      <c r="O440" s="1997"/>
      <c r="P440" s="1997"/>
      <c r="Q440" s="1997"/>
      <c r="R440" s="1997"/>
      <c r="S440" s="1997"/>
      <c r="T440" s="1997"/>
      <c r="U440" s="1997"/>
      <c r="V440" s="1997"/>
      <c r="W440" s="1997"/>
      <c r="X440" s="1997"/>
      <c r="Y440" s="1997"/>
      <c r="Z440" s="1997"/>
      <c r="AA440" s="1997"/>
      <c r="AB440" s="1997"/>
      <c r="AC440" s="1997"/>
      <c r="AD440" s="1997"/>
      <c r="AE440" s="1997"/>
      <c r="AF440" s="1998"/>
      <c r="AG440" s="2001">
        <v>0</v>
      </c>
      <c r="AH440" s="2001"/>
      <c r="AI440" s="2001"/>
      <c r="AJ440" s="2001"/>
    </row>
    <row r="441" spans="4:36" ht="12.75" customHeight="1">
      <c r="D441" s="2133" t="s">
        <v>1961</v>
      </c>
      <c r="E441" s="1997"/>
      <c r="F441" s="1997"/>
      <c r="G441" s="1997"/>
      <c r="H441" s="1997"/>
      <c r="I441" s="1997"/>
      <c r="J441" s="1997"/>
      <c r="K441" s="1997"/>
      <c r="L441" s="1997"/>
      <c r="M441" s="1997"/>
      <c r="N441" s="1997"/>
      <c r="O441" s="1997"/>
      <c r="P441" s="1997"/>
      <c r="Q441" s="1997"/>
      <c r="R441" s="1997"/>
      <c r="S441" s="1997"/>
      <c r="T441" s="1997"/>
      <c r="U441" s="1997"/>
      <c r="V441" s="1997"/>
      <c r="W441" s="1997"/>
      <c r="X441" s="1997"/>
      <c r="Y441" s="1997"/>
      <c r="Z441" s="1997"/>
      <c r="AA441" s="1997"/>
      <c r="AB441" s="1997"/>
      <c r="AC441" s="1997"/>
      <c r="AD441" s="1997"/>
      <c r="AE441" s="1997"/>
      <c r="AF441" s="1998"/>
      <c r="AG441" s="2000">
        <v>2014</v>
      </c>
      <c r="AH441" s="2001"/>
      <c r="AI441" s="2001"/>
      <c r="AJ441" s="2001"/>
    </row>
    <row r="442" spans="4:36" ht="12.75">
      <c r="D442" s="1869" t="s">
        <v>1527</v>
      </c>
      <c r="E442" s="1997"/>
      <c r="F442" s="1997"/>
      <c r="G442" s="1997"/>
      <c r="H442" s="1997"/>
      <c r="I442" s="1997"/>
      <c r="J442" s="1997"/>
      <c r="K442" s="1997"/>
      <c r="L442" s="1997"/>
      <c r="M442" s="1997"/>
      <c r="N442" s="1997"/>
      <c r="O442" s="1997"/>
      <c r="P442" s="1997"/>
      <c r="Q442" s="1997"/>
      <c r="R442" s="1997"/>
      <c r="S442" s="1997"/>
      <c r="T442" s="1997"/>
      <c r="U442" s="1997"/>
      <c r="V442" s="1997"/>
      <c r="W442" s="1997"/>
      <c r="X442" s="1997"/>
      <c r="Y442" s="1997"/>
      <c r="Z442" s="1997"/>
      <c r="AA442" s="1997"/>
      <c r="AB442" s="1997"/>
      <c r="AC442" s="1997"/>
      <c r="AD442" s="1997"/>
      <c r="AE442" s="1997"/>
      <c r="AF442" s="1998"/>
      <c r="AG442" s="2001">
        <v>0</v>
      </c>
      <c r="AH442" s="2001"/>
      <c r="AI442" s="2001"/>
      <c r="AJ442" s="2001"/>
    </row>
    <row r="443" spans="4:36" ht="12.75">
      <c r="D443" s="1869" t="s">
        <v>1529</v>
      </c>
      <c r="E443" s="1997"/>
      <c r="F443" s="1997"/>
      <c r="G443" s="1997"/>
      <c r="H443" s="1997"/>
      <c r="I443" s="1997"/>
      <c r="J443" s="1997"/>
      <c r="K443" s="1997"/>
      <c r="L443" s="1997"/>
      <c r="M443" s="1997"/>
      <c r="N443" s="1997"/>
      <c r="O443" s="1997"/>
      <c r="P443" s="1997"/>
      <c r="Q443" s="1997"/>
      <c r="R443" s="1997"/>
      <c r="S443" s="1997"/>
      <c r="T443" s="1997"/>
      <c r="U443" s="1997"/>
      <c r="V443" s="1997"/>
      <c r="W443" s="1997"/>
      <c r="X443" s="1997"/>
      <c r="Y443" s="1997"/>
      <c r="Z443" s="1997"/>
      <c r="AA443" s="1997"/>
      <c r="AB443" s="1997"/>
      <c r="AC443" s="1997"/>
      <c r="AD443" s="1997"/>
      <c r="AE443" s="1997"/>
      <c r="AF443" s="1998"/>
      <c r="AG443" s="2113">
        <f>AG435+AG439+AG441+AG442</f>
        <v>60273</v>
      </c>
      <c r="AH443" s="2113"/>
      <c r="AI443" s="2113"/>
      <c r="AJ443" s="2113"/>
    </row>
    <row r="444" spans="4:36" ht="12.75">
      <c r="D444" s="1991" t="s">
        <v>1962</v>
      </c>
      <c r="E444" s="1991"/>
      <c r="F444" s="1991"/>
      <c r="G444" s="1991"/>
      <c r="H444" s="1991"/>
      <c r="I444" s="1991"/>
      <c r="J444" s="1991"/>
      <c r="K444" s="1991"/>
      <c r="L444" s="1991"/>
      <c r="M444" s="1991"/>
      <c r="N444" s="1991"/>
      <c r="O444" s="1991"/>
      <c r="P444" s="1991"/>
      <c r="Q444" s="1991"/>
      <c r="R444" s="1991"/>
      <c r="S444" s="1991"/>
      <c r="T444" s="1991"/>
      <c r="U444" s="1991"/>
      <c r="V444" s="1991"/>
      <c r="W444" s="1991"/>
      <c r="X444" s="1991"/>
      <c r="Y444" s="1991"/>
      <c r="Z444" s="1991"/>
      <c r="AA444" s="1991"/>
      <c r="AB444" s="1991"/>
      <c r="AC444" s="1991"/>
      <c r="AD444" s="1991"/>
      <c r="AE444" s="1991"/>
      <c r="AF444" s="1991"/>
      <c r="AG444" s="1991"/>
      <c r="AH444" s="1991"/>
      <c r="AI444" s="1991"/>
      <c r="AJ444" s="1991"/>
    </row>
    <row r="445" spans="4:36" ht="13.7" customHeight="1">
      <c r="D445" s="1992"/>
      <c r="E445" s="1992"/>
      <c r="F445" s="1992"/>
      <c r="G445" s="1992"/>
      <c r="H445" s="1992"/>
      <c r="I445" s="1992"/>
      <c r="J445" s="1992"/>
      <c r="K445" s="1992"/>
      <c r="L445" s="1992"/>
      <c r="M445" s="1992"/>
      <c r="N445" s="1992"/>
      <c r="O445" s="1992"/>
      <c r="P445" s="1992"/>
      <c r="Q445" s="1992"/>
      <c r="R445" s="1992"/>
      <c r="S445" s="1992"/>
      <c r="T445" s="1992"/>
      <c r="U445" s="1992"/>
      <c r="V445" s="1992"/>
      <c r="W445" s="1992"/>
      <c r="X445" s="1992"/>
      <c r="Y445" s="1992"/>
      <c r="Z445" s="1992"/>
      <c r="AA445" s="1992"/>
      <c r="AB445" s="1992"/>
      <c r="AC445" s="1992"/>
      <c r="AD445" s="1992"/>
      <c r="AE445" s="1992"/>
      <c r="AF445" s="1992"/>
      <c r="AG445" s="1992"/>
      <c r="AH445" s="1992"/>
      <c r="AI445" s="1992"/>
      <c r="AJ445" s="1992"/>
    </row>
    <row r="446" spans="4:36" ht="12.75">
      <c r="D446" s="2112"/>
      <c r="E446" s="2112"/>
      <c r="F446" s="2112"/>
      <c r="G446" s="2112"/>
      <c r="H446" s="2112"/>
      <c r="I446" s="2112"/>
      <c r="J446" s="2112"/>
      <c r="K446" s="2112"/>
      <c r="L446" s="2112"/>
      <c r="M446" s="2112"/>
      <c r="N446" s="2112"/>
      <c r="O446" s="2112"/>
      <c r="P446" s="2112"/>
      <c r="Q446" s="2112"/>
      <c r="R446" s="2112"/>
      <c r="S446" s="2112"/>
      <c r="T446" s="2112"/>
      <c r="U446" s="2112"/>
      <c r="V446" s="2112"/>
      <c r="W446" s="2112"/>
      <c r="X446" s="2112"/>
      <c r="Y446" s="2112"/>
      <c r="Z446" s="2112"/>
      <c r="AA446" s="2112"/>
      <c r="AB446" s="2112"/>
      <c r="AC446" s="2112"/>
      <c r="AD446" s="2112"/>
      <c r="AE446" s="2112"/>
      <c r="AF446" s="2112"/>
      <c r="AG446" s="2112"/>
      <c r="AH446" s="2112"/>
      <c r="AI446" s="2112"/>
      <c r="AJ446" s="2112"/>
    </row>
    <row r="447" spans="4:36" ht="12.75">
      <c r="D447" s="63" t="s">
        <v>1152</v>
      </c>
      <c r="E447" s="489"/>
      <c r="F447" s="489"/>
      <c r="G447" s="489"/>
      <c r="H447" s="489"/>
      <c r="I447" s="489"/>
      <c r="J447" s="489"/>
      <c r="K447" s="489"/>
      <c r="L447" s="489"/>
      <c r="M447" s="489"/>
      <c r="N447" s="489"/>
      <c r="O447" s="489"/>
      <c r="P447" s="489"/>
      <c r="Q447" s="489"/>
      <c r="R447" s="489"/>
      <c r="S447" s="489"/>
      <c r="T447" s="489"/>
      <c r="U447" s="489"/>
      <c r="V447" s="489"/>
      <c r="W447" s="489"/>
      <c r="X447" s="489"/>
      <c r="Y447" s="489"/>
      <c r="Z447" s="489"/>
      <c r="AA447" s="489"/>
      <c r="AB447" s="489"/>
      <c r="AC447" s="2004">
        <f>'Sources and Uses Budget'!B104/Application!AG430</f>
        <v>454902.35</v>
      </c>
      <c r="AD447" s="2004"/>
      <c r="AE447" s="2004"/>
      <c r="AF447" s="2004"/>
      <c r="AG447" s="2037"/>
      <c r="AH447" s="2037"/>
      <c r="AI447" s="2037"/>
      <c r="AJ447" s="2037"/>
    </row>
    <row r="448" spans="4:36" ht="12.75" customHeight="1">
      <c r="D448" s="63" t="s">
        <v>1153</v>
      </c>
      <c r="E448" s="489"/>
      <c r="F448" s="489"/>
      <c r="G448" s="489"/>
      <c r="H448" s="489"/>
      <c r="I448" s="489"/>
      <c r="J448" s="489"/>
      <c r="K448" s="489"/>
      <c r="L448" s="489"/>
      <c r="M448" s="489"/>
      <c r="N448" s="489"/>
      <c r="O448" s="489"/>
      <c r="P448" s="489"/>
      <c r="Q448" s="489"/>
      <c r="R448" s="489"/>
      <c r="S448" s="489"/>
      <c r="T448" s="489"/>
      <c r="U448" s="489"/>
      <c r="V448" s="489"/>
      <c r="W448" s="489"/>
      <c r="X448" s="489"/>
      <c r="Y448" s="489"/>
      <c r="Z448" s="489"/>
      <c r="AA448" s="489"/>
      <c r="AB448" s="489"/>
      <c r="AC448" s="2004">
        <f>'Sources and Uses Budget'!C104/Application!AG430</f>
        <v>454902.35</v>
      </c>
      <c r="AD448" s="2004"/>
      <c r="AE448" s="2004"/>
      <c r="AF448" s="2004"/>
      <c r="AG448" s="2037"/>
      <c r="AH448" s="2037"/>
      <c r="AI448" s="2037"/>
      <c r="AJ448" s="2037"/>
    </row>
    <row r="449" spans="1:38" ht="12.75" customHeight="1">
      <c r="D449" s="594" t="s">
        <v>1161</v>
      </c>
      <c r="E449" s="489"/>
      <c r="F449" s="489"/>
      <c r="G449" s="489"/>
      <c r="H449" s="489"/>
      <c r="I449" s="489"/>
      <c r="J449" s="489"/>
      <c r="K449" s="489"/>
      <c r="L449" s="489"/>
      <c r="M449" s="489"/>
      <c r="N449" s="489"/>
      <c r="O449" s="489"/>
      <c r="P449" s="489"/>
      <c r="Q449" s="489"/>
      <c r="R449" s="489"/>
      <c r="S449" s="489"/>
      <c r="T449" s="489"/>
      <c r="U449" s="489"/>
      <c r="V449" s="489"/>
      <c r="W449" s="489"/>
      <c r="X449" s="489"/>
      <c r="Y449" s="489"/>
      <c r="Z449" s="489"/>
      <c r="AA449" s="489"/>
      <c r="AB449" s="489"/>
      <c r="AC449" s="2004">
        <f>('Sources and Uses Budget'!S106+'Sources and Uses Budget'!T106)/Application!AG430</f>
        <v>404523.78333333333</v>
      </c>
      <c r="AD449" s="2004"/>
      <c r="AE449" s="2004"/>
      <c r="AF449" s="2004"/>
      <c r="AG449" s="582"/>
      <c r="AH449" s="582"/>
      <c r="AI449" s="582"/>
      <c r="AJ449" s="582"/>
    </row>
    <row r="450" spans="1:38" ht="12.75" customHeight="1">
      <c r="D450" s="489"/>
      <c r="E450" s="489"/>
      <c r="F450" s="489"/>
      <c r="G450" s="489"/>
      <c r="H450" s="489"/>
      <c r="I450" s="489"/>
      <c r="J450" s="489"/>
      <c r="K450" s="489"/>
      <c r="L450" s="489"/>
      <c r="M450" s="489"/>
      <c r="N450" s="489"/>
      <c r="O450" s="489"/>
      <c r="P450" s="489"/>
      <c r="Q450" s="489"/>
      <c r="R450" s="489"/>
      <c r="S450" s="489"/>
      <c r="T450" s="489"/>
      <c r="U450" s="489"/>
      <c r="V450" s="489"/>
      <c r="W450" s="489"/>
      <c r="X450" s="489"/>
      <c r="Y450" s="489"/>
      <c r="Z450" s="489"/>
      <c r="AA450" s="489"/>
      <c r="AB450" s="489"/>
      <c r="AC450" s="1180"/>
      <c r="AD450" s="489"/>
      <c r="AE450" s="489"/>
      <c r="AF450" s="489"/>
      <c r="AG450" s="489"/>
      <c r="AH450" s="489"/>
      <c r="AI450" s="489"/>
    </row>
    <row r="451" spans="1:38" ht="12.75" customHeight="1">
      <c r="A451" s="63" t="s">
        <v>169</v>
      </c>
      <c r="D451" s="63" t="s">
        <v>235</v>
      </c>
      <c r="E451" s="489"/>
      <c r="F451" s="489"/>
      <c r="G451" s="489"/>
      <c r="H451" s="489"/>
      <c r="I451" s="489"/>
      <c r="J451" s="489"/>
      <c r="K451" s="489"/>
      <c r="L451" s="489"/>
      <c r="M451" s="489"/>
      <c r="N451" s="489"/>
      <c r="O451" s="489"/>
      <c r="P451" s="489"/>
      <c r="Q451" s="489"/>
      <c r="R451" s="489"/>
      <c r="S451" s="489"/>
      <c r="T451" s="489"/>
      <c r="U451" s="489"/>
      <c r="V451" s="489"/>
      <c r="W451" s="489"/>
      <c r="X451" s="489"/>
      <c r="Y451" s="489"/>
      <c r="Z451" s="489"/>
      <c r="AA451" s="489"/>
      <c r="AB451" s="489"/>
      <c r="AC451" s="489"/>
      <c r="AD451" s="489"/>
      <c r="AE451" s="489"/>
      <c r="AF451" s="489"/>
      <c r="AG451" s="489"/>
      <c r="AH451" s="489"/>
      <c r="AI451" s="489"/>
    </row>
    <row r="452" spans="1:38" ht="12.75" customHeight="1">
      <c r="D452" s="494" t="s">
        <v>244</v>
      </c>
      <c r="E452" s="489"/>
      <c r="F452" s="489"/>
      <c r="G452" s="489"/>
      <c r="H452" s="489"/>
      <c r="I452" s="489"/>
      <c r="J452" s="489"/>
      <c r="K452" s="489"/>
      <c r="L452" s="489"/>
      <c r="M452" s="489"/>
      <c r="N452" s="489"/>
      <c r="O452" s="489"/>
      <c r="P452" s="489"/>
      <c r="Q452" s="489"/>
      <c r="R452" s="489"/>
      <c r="S452" s="489"/>
      <c r="T452" s="489"/>
      <c r="U452" s="489"/>
      <c r="V452" s="489"/>
      <c r="W452" s="489"/>
      <c r="X452" s="489"/>
      <c r="Y452" s="489"/>
      <c r="Z452" s="489"/>
      <c r="AA452" s="489"/>
      <c r="AB452" s="489"/>
      <c r="AC452" s="489"/>
      <c r="AD452" s="489"/>
      <c r="AE452" s="489"/>
      <c r="AF452" s="489"/>
      <c r="AG452" s="489"/>
      <c r="AH452" s="489"/>
      <c r="AI452" s="489"/>
    </row>
    <row r="453" spans="1:38" ht="12.75" customHeight="1">
      <c r="D453" s="495" t="s">
        <v>762</v>
      </c>
      <c r="E453" s="489"/>
      <c r="F453" s="489"/>
      <c r="G453" s="489"/>
      <c r="H453" s="489"/>
      <c r="I453" s="489"/>
      <c r="J453" s="489"/>
      <c r="K453" s="489"/>
      <c r="L453" s="489"/>
      <c r="M453" s="489"/>
      <c r="N453" s="489"/>
      <c r="O453" s="489"/>
      <c r="P453" s="489"/>
      <c r="Q453" s="489"/>
      <c r="R453" s="489"/>
      <c r="S453" s="489"/>
      <c r="T453" s="489"/>
      <c r="U453" s="489"/>
      <c r="V453" s="489"/>
      <c r="W453" s="489"/>
      <c r="X453" s="489"/>
      <c r="Y453" s="489"/>
      <c r="Z453" s="489"/>
      <c r="AA453" s="489"/>
      <c r="AB453" s="489"/>
      <c r="AC453" s="489"/>
      <c r="AD453" s="489"/>
      <c r="AE453" s="489"/>
      <c r="AF453" s="489"/>
      <c r="AG453" s="489"/>
      <c r="AH453" s="489"/>
      <c r="AI453" s="489"/>
    </row>
    <row r="454" spans="1:38" ht="12.75" customHeight="1">
      <c r="D454" s="494" t="s">
        <v>245</v>
      </c>
      <c r="E454" s="489"/>
      <c r="F454" s="489"/>
      <c r="G454" s="489"/>
      <c r="H454" s="489"/>
      <c r="I454" s="489"/>
      <c r="J454" s="489"/>
      <c r="K454" s="489"/>
      <c r="L454" s="489"/>
      <c r="M454" s="489"/>
      <c r="N454" s="489"/>
      <c r="O454" s="489"/>
      <c r="P454" s="489"/>
      <c r="Q454" s="489"/>
      <c r="R454" s="489"/>
      <c r="S454" s="489"/>
      <c r="T454" s="489"/>
      <c r="U454" s="489"/>
      <c r="V454" s="489"/>
      <c r="W454" s="489"/>
      <c r="X454" s="489"/>
      <c r="Y454" s="489"/>
      <c r="Z454" s="489"/>
      <c r="AA454" s="489"/>
      <c r="AB454" s="489"/>
      <c r="AC454" s="489"/>
      <c r="AD454" s="489"/>
      <c r="AE454" s="489"/>
      <c r="AF454" s="489"/>
      <c r="AG454" s="489"/>
      <c r="AH454" s="489"/>
      <c r="AI454" s="489"/>
    </row>
    <row r="455" spans="1:38" ht="12.75" customHeight="1">
      <c r="D455" s="494" t="s">
        <v>241</v>
      </c>
      <c r="E455" s="489"/>
      <c r="F455" s="489"/>
      <c r="G455" s="489"/>
      <c r="H455" s="489"/>
      <c r="I455" s="489"/>
      <c r="J455" s="489"/>
      <c r="K455" s="489"/>
      <c r="L455" s="489"/>
      <c r="M455" s="489"/>
      <c r="N455" s="489"/>
      <c r="O455" s="489"/>
      <c r="P455" s="489"/>
      <c r="Q455" s="489"/>
      <c r="R455" s="489"/>
      <c r="S455" s="489"/>
      <c r="T455" s="489"/>
      <c r="U455" s="489"/>
      <c r="V455" s="489"/>
      <c r="W455" s="489"/>
      <c r="X455" s="489"/>
      <c r="Y455" s="489"/>
      <c r="Z455" s="489"/>
      <c r="AA455" s="489"/>
      <c r="AB455" s="489"/>
      <c r="AC455" s="489"/>
      <c r="AD455" s="489"/>
      <c r="AE455" s="489"/>
      <c r="AF455" s="489"/>
      <c r="AG455" s="489"/>
      <c r="AH455" s="489"/>
      <c r="AI455" s="489"/>
    </row>
    <row r="456" spans="1:38" ht="12.75" customHeight="1">
      <c r="D456" s="489"/>
      <c r="E456" s="489"/>
      <c r="F456" s="489"/>
      <c r="G456" s="489"/>
      <c r="H456" s="489"/>
      <c r="I456" s="489"/>
      <c r="J456" s="489"/>
      <c r="K456" s="489"/>
      <c r="L456" s="489"/>
      <c r="M456" s="489"/>
      <c r="N456" s="489"/>
      <c r="O456" s="489"/>
      <c r="P456" s="489"/>
      <c r="Q456" s="489"/>
      <c r="R456" s="489"/>
      <c r="S456" s="489"/>
      <c r="T456" s="489"/>
      <c r="U456" s="489"/>
      <c r="V456" s="489"/>
      <c r="W456" s="489"/>
      <c r="X456" s="489"/>
      <c r="Y456" s="489"/>
      <c r="Z456" s="489"/>
      <c r="AA456" s="489"/>
      <c r="AB456" s="489"/>
      <c r="AC456" s="489"/>
      <c r="AD456" s="489"/>
      <c r="AE456" s="489"/>
      <c r="AF456" s="489"/>
      <c r="AG456" s="489"/>
      <c r="AH456" s="489"/>
      <c r="AI456" s="489"/>
    </row>
    <row r="457" spans="1:38" ht="12.75" customHeight="1">
      <c r="A457" s="327"/>
      <c r="B457" s="327"/>
      <c r="C457" s="327"/>
      <c r="D457" s="497" t="s">
        <v>243</v>
      </c>
      <c r="E457" s="494"/>
      <c r="F457" s="494"/>
      <c r="G457" s="494"/>
      <c r="H457" s="494"/>
      <c r="I457" s="494"/>
      <c r="J457" s="494"/>
      <c r="K457" s="494"/>
      <c r="L457" s="494"/>
      <c r="M457" s="494"/>
      <c r="N457" s="494"/>
      <c r="O457" s="494"/>
      <c r="P457" s="494"/>
      <c r="Q457" s="494"/>
      <c r="R457" s="494"/>
      <c r="S457" s="494"/>
      <c r="T457" s="494"/>
      <c r="U457" s="494"/>
      <c r="V457" s="494"/>
      <c r="W457" s="494"/>
      <c r="X457" s="494"/>
      <c r="Y457" s="494"/>
      <c r="Z457" s="494"/>
      <c r="AA457" s="494"/>
      <c r="AB457" s="494"/>
      <c r="AC457" s="494"/>
      <c r="AD457" s="494"/>
      <c r="AE457" s="494"/>
      <c r="AF457" s="494"/>
      <c r="AG457" s="494"/>
      <c r="AH457" s="494"/>
      <c r="AI457" s="494"/>
      <c r="AJ457" s="327"/>
      <c r="AK457" s="327"/>
      <c r="AL457" s="327"/>
    </row>
    <row r="458" spans="1:38" ht="12.75" customHeight="1">
      <c r="A458" s="327"/>
      <c r="B458" s="327"/>
      <c r="C458" s="327"/>
      <c r="D458" s="1879" t="s">
        <v>236</v>
      </c>
      <c r="E458" s="1880"/>
      <c r="F458" s="1880"/>
      <c r="G458" s="1880"/>
      <c r="H458" s="1880"/>
      <c r="I458" s="1880"/>
      <c r="J458" s="1880"/>
      <c r="K458" s="1880"/>
      <c r="L458" s="1880"/>
      <c r="M458" s="1880"/>
      <c r="N458" s="1880"/>
      <c r="O458" s="1880"/>
      <c r="P458" s="1880"/>
      <c r="Q458" s="1880"/>
      <c r="R458" s="1880"/>
      <c r="S458" s="1880"/>
      <c r="T458" s="1880"/>
      <c r="U458" s="1880"/>
      <c r="V458" s="1881"/>
      <c r="W458" s="1986">
        <v>7</v>
      </c>
      <c r="X458" s="1987"/>
      <c r="Y458" s="1988"/>
      <c r="Z458" s="494"/>
      <c r="AA458" s="494"/>
      <c r="AB458" s="494"/>
      <c r="AC458" s="494"/>
      <c r="AD458" s="494"/>
      <c r="AE458" s="494"/>
      <c r="AF458" s="494"/>
      <c r="AG458" s="494"/>
      <c r="AH458" s="494"/>
      <c r="AI458" s="494"/>
      <c r="AJ458" s="327"/>
      <c r="AK458" s="327"/>
      <c r="AL458" s="327"/>
    </row>
    <row r="459" spans="1:38" ht="12.75" customHeight="1">
      <c r="A459" s="327"/>
      <c r="B459" s="327"/>
      <c r="C459" s="327"/>
      <c r="D459" s="1879" t="s">
        <v>237</v>
      </c>
      <c r="E459" s="1880"/>
      <c r="F459" s="1880"/>
      <c r="G459" s="1880"/>
      <c r="H459" s="1880"/>
      <c r="I459" s="1880"/>
      <c r="J459" s="1880"/>
      <c r="K459" s="1880"/>
      <c r="L459" s="1880"/>
      <c r="M459" s="1880"/>
      <c r="N459" s="1880"/>
      <c r="O459" s="1880"/>
      <c r="P459" s="1880"/>
      <c r="Q459" s="1880"/>
      <c r="R459" s="1880"/>
      <c r="S459" s="1880"/>
      <c r="T459" s="1880"/>
      <c r="U459" s="1880"/>
      <c r="V459" s="1881"/>
      <c r="W459" s="1986" t="s">
        <v>136</v>
      </c>
      <c r="X459" s="1987"/>
      <c r="Y459" s="1988"/>
      <c r="Z459" s="494"/>
      <c r="AA459" s="494"/>
      <c r="AB459" s="494"/>
      <c r="AC459" s="494"/>
      <c r="AD459" s="494"/>
      <c r="AE459" s="494"/>
      <c r="AF459" s="494"/>
      <c r="AG459" s="494"/>
      <c r="AH459" s="494"/>
      <c r="AI459" s="494"/>
      <c r="AJ459" s="327"/>
      <c r="AK459" s="327"/>
      <c r="AL459" s="327"/>
    </row>
    <row r="460" spans="1:38" ht="12.75" customHeight="1">
      <c r="A460" s="327"/>
      <c r="B460" s="327"/>
      <c r="C460" s="327"/>
      <c r="D460" s="1879" t="s">
        <v>238</v>
      </c>
      <c r="E460" s="1880"/>
      <c r="F460" s="1880"/>
      <c r="G460" s="1880"/>
      <c r="H460" s="1880"/>
      <c r="I460" s="1880"/>
      <c r="J460" s="1880"/>
      <c r="K460" s="1880"/>
      <c r="L460" s="1880"/>
      <c r="M460" s="1880"/>
      <c r="N460" s="1880"/>
      <c r="O460" s="1880"/>
      <c r="P460" s="1880"/>
      <c r="Q460" s="1880"/>
      <c r="R460" s="1880"/>
      <c r="S460" s="1880"/>
      <c r="T460" s="1880"/>
      <c r="U460" s="1880"/>
      <c r="V460" s="1881"/>
      <c r="W460" s="1986" t="s">
        <v>136</v>
      </c>
      <c r="X460" s="1987"/>
      <c r="Y460" s="1988"/>
      <c r="Z460" s="494"/>
      <c r="AA460" s="494"/>
      <c r="AB460" s="494"/>
      <c r="AC460" s="494"/>
      <c r="AD460" s="494"/>
      <c r="AE460" s="494"/>
      <c r="AF460" s="494"/>
      <c r="AG460" s="494"/>
      <c r="AH460" s="494"/>
      <c r="AI460" s="494"/>
      <c r="AJ460" s="327"/>
      <c r="AK460" s="327"/>
      <c r="AL460" s="327"/>
    </row>
    <row r="461" spans="1:38" ht="12.75" customHeight="1">
      <c r="A461" s="327"/>
      <c r="B461" s="327"/>
      <c r="C461" s="327"/>
      <c r="D461" s="1879" t="s">
        <v>242</v>
      </c>
      <c r="E461" s="1880"/>
      <c r="F461" s="1880"/>
      <c r="G461" s="1880"/>
      <c r="H461" s="1880"/>
      <c r="I461" s="1880"/>
      <c r="J461" s="1880"/>
      <c r="K461" s="1880"/>
      <c r="L461" s="1880"/>
      <c r="M461" s="1880"/>
      <c r="N461" s="1880"/>
      <c r="O461" s="1880"/>
      <c r="P461" s="1880"/>
      <c r="Q461" s="1880"/>
      <c r="R461" s="1880"/>
      <c r="S461" s="1880"/>
      <c r="T461" s="1880"/>
      <c r="U461" s="1880"/>
      <c r="V461" s="1881"/>
      <c r="W461" s="1986" t="s">
        <v>136</v>
      </c>
      <c r="X461" s="1987"/>
      <c r="Y461" s="1988"/>
      <c r="Z461" s="494"/>
      <c r="AA461" s="494"/>
      <c r="AB461" s="494"/>
      <c r="AC461" s="494"/>
      <c r="AD461" s="494"/>
      <c r="AE461" s="494"/>
      <c r="AF461" s="494"/>
      <c r="AG461" s="494"/>
      <c r="AH461" s="494"/>
      <c r="AI461" s="494"/>
      <c r="AJ461" s="327"/>
      <c r="AK461" s="327"/>
      <c r="AL461" s="327"/>
    </row>
    <row r="462" spans="1:38" ht="12.75" customHeight="1">
      <c r="A462" s="327"/>
      <c r="B462" s="327"/>
      <c r="C462" s="327"/>
      <c r="D462" s="2038" t="s">
        <v>1228</v>
      </c>
      <c r="E462" s="1880"/>
      <c r="F462" s="1880"/>
      <c r="G462" s="1880"/>
      <c r="H462" s="1880"/>
      <c r="I462" s="1880"/>
      <c r="J462" s="1880"/>
      <c r="K462" s="1880"/>
      <c r="L462" s="1880"/>
      <c r="M462" s="1880"/>
      <c r="N462" s="1880"/>
      <c r="O462" s="1880"/>
      <c r="P462" s="1880"/>
      <c r="Q462" s="1880"/>
      <c r="R462" s="1880"/>
      <c r="S462" s="1880"/>
      <c r="T462" s="1880"/>
      <c r="U462" s="1880"/>
      <c r="V462" s="1881"/>
      <c r="W462" s="1986" t="s">
        <v>136</v>
      </c>
      <c r="X462" s="1987"/>
      <c r="Y462" s="1988"/>
      <c r="Z462" s="494"/>
      <c r="AA462" s="494"/>
      <c r="AB462" s="494"/>
      <c r="AC462" s="494"/>
      <c r="AD462" s="494"/>
      <c r="AE462" s="494"/>
      <c r="AF462" s="494"/>
      <c r="AG462" s="494"/>
      <c r="AH462" s="494"/>
      <c r="AI462" s="494"/>
      <c r="AJ462" s="327"/>
      <c r="AK462" s="327"/>
      <c r="AL462" s="327"/>
    </row>
    <row r="463" spans="1:38" ht="12.75" customHeight="1">
      <c r="A463" s="327"/>
      <c r="B463" s="327"/>
      <c r="C463" s="327"/>
      <c r="D463" s="1879" t="s">
        <v>246</v>
      </c>
      <c r="E463" s="1880"/>
      <c r="F463" s="1880"/>
      <c r="G463" s="1880"/>
      <c r="H463" s="1880"/>
      <c r="I463" s="1880"/>
      <c r="J463" s="1880"/>
      <c r="K463" s="1880"/>
      <c r="L463" s="1880"/>
      <c r="M463" s="1880"/>
      <c r="N463" s="1880"/>
      <c r="O463" s="1880"/>
      <c r="P463" s="1880"/>
      <c r="Q463" s="1880"/>
      <c r="R463" s="1880"/>
      <c r="S463" s="1880"/>
      <c r="T463" s="1880"/>
      <c r="U463" s="1880"/>
      <c r="V463" s="1881"/>
      <c r="W463" s="1986" t="s">
        <v>136</v>
      </c>
      <c r="X463" s="1987"/>
      <c r="Y463" s="1988"/>
      <c r="Z463" s="494"/>
      <c r="AA463" s="494"/>
      <c r="AB463" s="494"/>
      <c r="AC463" s="494"/>
      <c r="AD463" s="494"/>
      <c r="AE463" s="494"/>
      <c r="AF463" s="494"/>
      <c r="AG463" s="494"/>
      <c r="AH463" s="494"/>
      <c r="AI463" s="494"/>
      <c r="AJ463" s="327"/>
      <c r="AK463" s="327"/>
      <c r="AL463" s="327"/>
    </row>
    <row r="464" spans="1:38" ht="12.75" customHeight="1">
      <c r="A464" s="885"/>
      <c r="B464" s="885"/>
      <c r="C464" s="885"/>
      <c r="D464" s="2038" t="s">
        <v>1447</v>
      </c>
      <c r="E464" s="2134"/>
      <c r="F464" s="2134"/>
      <c r="G464" s="2134"/>
      <c r="H464" s="2134"/>
      <c r="I464" s="2134"/>
      <c r="J464" s="2134"/>
      <c r="K464" s="2134"/>
      <c r="L464" s="2134"/>
      <c r="M464" s="2134"/>
      <c r="N464" s="2134"/>
      <c r="O464" s="2134"/>
      <c r="P464" s="2134"/>
      <c r="Q464" s="2134"/>
      <c r="R464" s="2134"/>
      <c r="S464" s="2134"/>
      <c r="T464" s="2134"/>
      <c r="U464" s="2134"/>
      <c r="V464" s="2135"/>
      <c r="W464" s="2115" t="s">
        <v>136</v>
      </c>
      <c r="X464" s="2116"/>
      <c r="Y464" s="2117"/>
      <c r="Z464" s="886"/>
      <c r="AA464" s="886"/>
      <c r="AB464" s="886"/>
      <c r="AC464" s="886"/>
      <c r="AD464" s="887"/>
      <c r="AE464" s="887"/>
      <c r="AF464" s="887"/>
      <c r="AG464" s="887"/>
      <c r="AH464" s="887"/>
      <c r="AI464" s="887"/>
      <c r="AJ464" s="582"/>
    </row>
    <row r="465" spans="1:97" ht="12.75" customHeight="1">
      <c r="A465" s="327"/>
      <c r="B465" s="327"/>
      <c r="C465" s="327"/>
      <c r="D465" s="655" t="s">
        <v>311</v>
      </c>
      <c r="E465" s="656"/>
      <c r="F465" s="657"/>
      <c r="G465" s="2130"/>
      <c r="H465" s="2131"/>
      <c r="I465" s="2131"/>
      <c r="J465" s="2131"/>
      <c r="K465" s="2131"/>
      <c r="L465" s="2131"/>
      <c r="M465" s="2131"/>
      <c r="N465" s="2131"/>
      <c r="O465" s="2131"/>
      <c r="P465" s="2131"/>
      <c r="Q465" s="2131"/>
      <c r="R465" s="2131"/>
      <c r="S465" s="2131"/>
      <c r="T465" s="2131"/>
      <c r="U465" s="2131"/>
      <c r="V465" s="2132"/>
      <c r="W465" s="1986" t="s">
        <v>136</v>
      </c>
      <c r="X465" s="1987"/>
      <c r="Y465" s="1988"/>
      <c r="Z465" s="494"/>
      <c r="AA465" s="494"/>
      <c r="AB465" s="494"/>
      <c r="AC465" s="494"/>
      <c r="AD465" s="494"/>
      <c r="AE465" s="494"/>
      <c r="AF465" s="494"/>
      <c r="AG465" s="494"/>
      <c r="AH465" s="494"/>
      <c r="AI465" s="494"/>
      <c r="AJ465" s="327"/>
      <c r="AK465" s="327"/>
      <c r="AL465" s="327"/>
      <c r="AM465" s="888"/>
      <c r="AN465" s="888"/>
      <c r="AO465" s="888"/>
      <c r="AP465" s="888"/>
      <c r="AQ465" s="888"/>
      <c r="AR465" s="888"/>
      <c r="AS465" s="888"/>
      <c r="AT465" s="888"/>
      <c r="AU465" s="888"/>
      <c r="AV465" s="888"/>
      <c r="AW465" s="888"/>
      <c r="AX465" s="888"/>
      <c r="AY465" s="888"/>
      <c r="AZ465" s="888"/>
      <c r="BA465" s="888"/>
      <c r="BB465" s="888"/>
      <c r="BC465" s="888"/>
      <c r="BD465" s="888"/>
      <c r="BE465" s="888"/>
      <c r="BF465" s="888"/>
      <c r="BG465" s="888"/>
      <c r="BH465" s="888"/>
      <c r="BI465" s="888"/>
      <c r="BJ465" s="888"/>
      <c r="BK465" s="888"/>
      <c r="BL465" s="888"/>
      <c r="BM465" s="888"/>
      <c r="BN465" s="888"/>
      <c r="BO465" s="888"/>
      <c r="BP465" s="888"/>
      <c r="BQ465" s="888"/>
      <c r="BR465" s="888"/>
      <c r="BS465" s="888"/>
      <c r="BT465" s="888"/>
      <c r="BU465" s="888"/>
      <c r="BV465" s="888"/>
      <c r="BW465" s="888"/>
      <c r="BX465" s="888"/>
      <c r="BY465" s="888"/>
      <c r="BZ465" s="888"/>
      <c r="CA465" s="888"/>
      <c r="CB465" s="888"/>
      <c r="CC465" s="888"/>
      <c r="CD465" s="888"/>
      <c r="CE465" s="888"/>
      <c r="CF465" s="888"/>
      <c r="CG465" s="888"/>
      <c r="CH465" s="888"/>
      <c r="CI465" s="888"/>
      <c r="CJ465" s="888"/>
      <c r="CK465" s="888"/>
      <c r="CL465" s="888"/>
      <c r="CM465" s="888"/>
      <c r="CN465" s="888"/>
      <c r="CO465" s="888"/>
      <c r="CP465" s="888"/>
      <c r="CQ465" s="888"/>
      <c r="CR465" s="888"/>
      <c r="CS465" s="888"/>
    </row>
    <row r="466" spans="1:97" ht="12.75" customHeight="1">
      <c r="A466" s="327"/>
      <c r="B466" s="327"/>
      <c r="C466" s="327"/>
      <c r="D466" s="686" t="s">
        <v>1448</v>
      </c>
      <c r="E466" s="658"/>
      <c r="F466" s="658"/>
      <c r="G466" s="497"/>
      <c r="H466" s="497"/>
      <c r="I466" s="497"/>
      <c r="J466" s="497"/>
      <c r="K466" s="497"/>
      <c r="L466" s="497"/>
      <c r="M466" s="497"/>
      <c r="N466" s="497"/>
      <c r="O466" s="497"/>
      <c r="P466" s="497"/>
      <c r="Q466" s="497"/>
      <c r="R466" s="497"/>
      <c r="S466" s="497"/>
      <c r="T466" s="497"/>
      <c r="U466" s="497"/>
      <c r="V466" s="497"/>
      <c r="W466" s="648"/>
      <c r="X466" s="648"/>
      <c r="Y466" s="649"/>
      <c r="Z466" s="494"/>
      <c r="AA466" s="494"/>
      <c r="AB466" s="494"/>
      <c r="AC466" s="494"/>
      <c r="AD466" s="494"/>
      <c r="AE466" s="494"/>
      <c r="AF466" s="494"/>
      <c r="AG466" s="494"/>
      <c r="AH466" s="494"/>
      <c r="AI466" s="494"/>
      <c r="AJ466" s="327"/>
      <c r="AK466" s="327"/>
      <c r="AL466" s="327"/>
    </row>
    <row r="467" spans="1:97" ht="12.75" customHeight="1">
      <c r="A467" s="327"/>
      <c r="B467" s="327"/>
      <c r="C467" s="327"/>
      <c r="D467" s="659"/>
      <c r="E467" s="660"/>
      <c r="F467" s="660"/>
      <c r="G467" s="660"/>
      <c r="H467" s="660"/>
      <c r="I467" s="660"/>
      <c r="J467" s="660"/>
      <c r="K467" s="660"/>
      <c r="L467" s="660"/>
      <c r="M467" s="660"/>
      <c r="N467" s="660"/>
      <c r="O467" s="660"/>
      <c r="P467" s="660"/>
      <c r="Q467" s="660"/>
      <c r="R467" s="660"/>
      <c r="S467" s="660"/>
      <c r="T467" s="660"/>
      <c r="U467" s="660"/>
      <c r="V467" s="660"/>
      <c r="W467" s="661"/>
      <c r="X467" s="661"/>
      <c r="Y467" s="662"/>
      <c r="Z467" s="494"/>
      <c r="AA467" s="494"/>
      <c r="AB467" s="494"/>
      <c r="AC467" s="494"/>
      <c r="AD467" s="494"/>
      <c r="AE467" s="494"/>
      <c r="AF467" s="494"/>
      <c r="AG467" s="494"/>
      <c r="AH467" s="494"/>
      <c r="AI467" s="494"/>
      <c r="AJ467" s="327"/>
      <c r="AK467" s="327"/>
      <c r="AL467" s="327"/>
    </row>
    <row r="468" spans="1:97" ht="12.75" customHeight="1">
      <c r="A468" s="327"/>
      <c r="B468" s="327"/>
      <c r="C468" s="327"/>
      <c r="D468" s="659"/>
      <c r="E468" s="660"/>
      <c r="F468" s="660"/>
      <c r="G468" s="660"/>
      <c r="H468" s="660"/>
      <c r="I468" s="660"/>
      <c r="J468" s="660"/>
      <c r="K468" s="660"/>
      <c r="L468" s="660"/>
      <c r="M468" s="660"/>
      <c r="N468" s="660"/>
      <c r="O468" s="660"/>
      <c r="P468" s="660"/>
      <c r="Q468" s="660"/>
      <c r="R468" s="660"/>
      <c r="S468" s="660"/>
      <c r="T468" s="660"/>
      <c r="U468" s="660"/>
      <c r="V468" s="660"/>
      <c r="W468" s="661"/>
      <c r="X468" s="661"/>
      <c r="Y468" s="662"/>
      <c r="Z468" s="494"/>
      <c r="AA468" s="494"/>
      <c r="AB468" s="494"/>
      <c r="AC468" s="494"/>
      <c r="AD468" s="494"/>
      <c r="AE468" s="494"/>
      <c r="AF468" s="494"/>
      <c r="AG468" s="494"/>
      <c r="AH468" s="494"/>
      <c r="AI468" s="494"/>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4.1" customHeight="1">
      <c r="A469" s="327"/>
      <c r="B469" s="327"/>
      <c r="C469" s="327"/>
      <c r="D469" s="1989" t="s">
        <v>239</v>
      </c>
      <c r="E469" s="1990"/>
      <c r="F469" s="1990"/>
      <c r="G469" s="1990"/>
      <c r="H469" s="1990"/>
      <c r="I469" s="1990"/>
      <c r="J469" s="1990"/>
      <c r="K469" s="1990"/>
      <c r="L469" s="1990"/>
      <c r="M469" s="1990"/>
      <c r="N469" s="1990"/>
      <c r="O469" s="1990"/>
      <c r="P469" s="1990"/>
      <c r="Q469" s="1990"/>
      <c r="R469" s="1990"/>
      <c r="S469" s="1990"/>
      <c r="T469" s="1990"/>
      <c r="U469" s="1990"/>
      <c r="V469" s="1990"/>
      <c r="W469" s="2121"/>
      <c r="X469" s="2121"/>
      <c r="Y469" s="2122"/>
      <c r="Z469" s="494"/>
      <c r="AA469" s="494"/>
      <c r="AB469" s="494"/>
      <c r="AC469" s="494"/>
      <c r="AD469" s="494"/>
      <c r="AE469" s="494"/>
      <c r="AF469" s="494"/>
      <c r="AG469" s="494"/>
      <c r="AH469" s="494"/>
      <c r="AI469" s="494"/>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879" t="s">
        <v>240</v>
      </c>
      <c r="E470" s="1880"/>
      <c r="F470" s="1880"/>
      <c r="G470" s="1880"/>
      <c r="H470" s="1880"/>
      <c r="I470" s="1880"/>
      <c r="J470" s="1880"/>
      <c r="K470" s="1880"/>
      <c r="L470" s="1880"/>
      <c r="M470" s="1880"/>
      <c r="N470" s="1880"/>
      <c r="O470" s="1880"/>
      <c r="P470" s="1880"/>
      <c r="Q470" s="1880"/>
      <c r="R470" s="1880"/>
      <c r="S470" s="1880"/>
      <c r="T470" s="1880"/>
      <c r="U470" s="1880"/>
      <c r="V470" s="1881"/>
      <c r="W470" s="1986" t="s">
        <v>136</v>
      </c>
      <c r="X470" s="1987"/>
      <c r="Y470" s="1988"/>
      <c r="Z470" s="494"/>
      <c r="AA470" s="494"/>
      <c r="AB470" s="494"/>
      <c r="AC470" s="494"/>
      <c r="AD470" s="494"/>
      <c r="AE470" s="494"/>
      <c r="AF470" s="494"/>
      <c r="AG470" s="494"/>
      <c r="AH470" s="494"/>
      <c r="AI470" s="494"/>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4"/>
      <c r="E471" s="494"/>
      <c r="F471" s="494"/>
      <c r="G471" s="494"/>
      <c r="H471" s="494"/>
      <c r="I471" s="494"/>
      <c r="J471" s="494"/>
      <c r="K471" s="494"/>
      <c r="L471" s="494"/>
      <c r="M471" s="494"/>
      <c r="N471" s="494"/>
      <c r="O471" s="494"/>
      <c r="P471" s="494"/>
      <c r="Q471" s="494"/>
      <c r="R471" s="494"/>
      <c r="S471" s="494"/>
      <c r="T471" s="494"/>
      <c r="U471" s="494"/>
      <c r="V471" s="494"/>
      <c r="W471" s="494"/>
      <c r="X471" s="494"/>
      <c r="Y471" s="494"/>
      <c r="Z471" s="494"/>
      <c r="AA471" s="494"/>
      <c r="AB471" s="494"/>
      <c r="AC471" s="494"/>
      <c r="AD471" s="494"/>
      <c r="AE471" s="494"/>
      <c r="AF471" s="494"/>
      <c r="AG471" s="494"/>
      <c r="AH471" s="494"/>
      <c r="AI471" s="494"/>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6"/>
      <c r="E472" s="496"/>
      <c r="F472" s="496"/>
      <c r="G472" s="496"/>
      <c r="H472" s="496"/>
      <c r="I472" s="496"/>
      <c r="J472" s="496"/>
      <c r="K472" s="496"/>
      <c r="L472" s="496"/>
      <c r="M472" s="496"/>
      <c r="N472" s="496"/>
      <c r="O472" s="496"/>
      <c r="P472" s="496"/>
      <c r="Q472" s="496"/>
      <c r="R472" s="496"/>
      <c r="S472" s="496"/>
      <c r="T472" s="496"/>
      <c r="U472" s="496"/>
      <c r="V472" s="496"/>
      <c r="W472" s="496"/>
      <c r="X472" s="496"/>
      <c r="Y472" s="496"/>
      <c r="Z472" s="496"/>
      <c r="AA472" s="496"/>
      <c r="AB472" s="496"/>
      <c r="AC472" s="496"/>
      <c r="AD472" s="496"/>
      <c r="AE472" s="496"/>
      <c r="AF472" s="496"/>
      <c r="AG472" s="496"/>
      <c r="AH472" s="496"/>
      <c r="AI472" s="496"/>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1686" t="s">
        <v>1141</v>
      </c>
      <c r="B473" s="1686"/>
      <c r="C473" s="1686"/>
      <c r="D473" s="1686"/>
      <c r="E473" s="1686"/>
      <c r="F473" s="1686"/>
      <c r="G473" s="1686"/>
      <c r="H473" s="1686"/>
      <c r="I473" s="1686"/>
      <c r="J473" s="1686"/>
      <c r="K473" s="1686"/>
      <c r="L473" s="1686"/>
      <c r="M473" s="1686"/>
      <c r="N473" s="1686"/>
      <c r="O473" s="1686"/>
      <c r="P473" s="1686"/>
      <c r="Q473" s="1686"/>
      <c r="R473" s="1686"/>
      <c r="S473" s="1686"/>
      <c r="T473" s="1686"/>
      <c r="U473" s="1686"/>
      <c r="V473" s="1686"/>
      <c r="W473" s="1686"/>
      <c r="X473" s="1686"/>
      <c r="Y473" s="1686"/>
      <c r="Z473" s="1686"/>
      <c r="AA473" s="1686"/>
      <c r="AB473" s="1686"/>
      <c r="AC473" s="1686"/>
      <c r="AD473" s="1686"/>
      <c r="AE473" s="1686"/>
      <c r="AF473" s="1686"/>
      <c r="AG473" s="1686"/>
      <c r="AH473" s="1686"/>
      <c r="AI473" s="1686"/>
      <c r="AJ473" s="1686"/>
      <c r="AK473" s="1686"/>
      <c r="AL473" s="1686"/>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1687"/>
      <c r="B474" s="1687"/>
      <c r="C474" s="1687"/>
      <c r="D474" s="1687"/>
      <c r="E474" s="1687"/>
      <c r="F474" s="1687"/>
      <c r="G474" s="1687"/>
      <c r="H474" s="1687"/>
      <c r="I474" s="1687"/>
      <c r="J474" s="1687"/>
      <c r="K474" s="1687"/>
      <c r="L474" s="1687"/>
      <c r="M474" s="1687"/>
      <c r="N474" s="1687"/>
      <c r="O474" s="1687"/>
      <c r="P474" s="1687"/>
      <c r="Q474" s="1687"/>
      <c r="R474" s="1687"/>
      <c r="S474" s="1687"/>
      <c r="T474" s="1687"/>
      <c r="U474" s="1687"/>
      <c r="V474" s="1687"/>
      <c r="W474" s="1687"/>
      <c r="X474" s="1687"/>
      <c r="Y474" s="1687"/>
      <c r="Z474" s="1687"/>
      <c r="AA474" s="1687"/>
      <c r="AB474" s="1687"/>
      <c r="AC474" s="1687"/>
      <c r="AD474" s="1687"/>
      <c r="AE474" s="1687"/>
      <c r="AF474" s="1687"/>
      <c r="AG474" s="1687"/>
      <c r="AH474" s="1687"/>
      <c r="AI474" s="1687"/>
      <c r="AJ474" s="1687"/>
      <c r="AK474" s="1687"/>
      <c r="AL474" s="1687"/>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719</v>
      </c>
      <c r="C476" s="63" t="s">
        <v>1140</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2009" t="s">
        <v>1142</v>
      </c>
      <c r="U478" s="2010"/>
      <c r="V478" s="2010"/>
      <c r="W478" s="2010"/>
      <c r="X478" s="2010"/>
      <c r="Y478" s="2010"/>
      <c r="Z478" s="2010"/>
      <c r="AA478" s="2010"/>
      <c r="AB478" s="2010"/>
      <c r="AC478" s="2010"/>
      <c r="AD478" s="2010"/>
      <c r="AE478" s="2010"/>
      <c r="AF478" s="2010"/>
      <c r="AG478" s="2010"/>
      <c r="AH478" s="2011"/>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2036" t="s">
        <v>873</v>
      </c>
      <c r="U479" s="2036"/>
      <c r="V479" s="2036"/>
      <c r="W479" s="2036"/>
      <c r="X479" s="2036"/>
      <c r="Y479" s="2036" t="s">
        <v>874</v>
      </c>
      <c r="Z479" s="2036"/>
      <c r="AA479" s="2036"/>
      <c r="AB479" s="2036"/>
      <c r="AC479" s="2036"/>
      <c r="AD479" s="2036" t="s">
        <v>934</v>
      </c>
      <c r="AE479" s="2036"/>
      <c r="AF479" s="2036"/>
      <c r="AG479" s="2036"/>
      <c r="AH479" s="2036"/>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2036"/>
      <c r="U480" s="2036"/>
      <c r="V480" s="2036"/>
      <c r="W480" s="2036"/>
      <c r="X480" s="2036"/>
      <c r="Y480" s="2036"/>
      <c r="Z480" s="2036"/>
      <c r="AA480" s="2036"/>
      <c r="AB480" s="2036"/>
      <c r="AC480" s="2036"/>
      <c r="AD480" s="2036"/>
      <c r="AE480" s="2036"/>
      <c r="AF480" s="2036"/>
      <c r="AG480" s="2036"/>
      <c r="AH480" s="2036"/>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556</v>
      </c>
      <c r="F481" s="91"/>
      <c r="G481" s="91"/>
      <c r="H481" s="91"/>
      <c r="I481" s="91"/>
      <c r="J481" s="91"/>
      <c r="K481" s="91"/>
      <c r="L481" s="91"/>
      <c r="M481" s="91"/>
      <c r="N481" s="91"/>
      <c r="O481" s="91"/>
      <c r="P481" s="91"/>
      <c r="Q481" s="91"/>
      <c r="R481" s="91"/>
      <c r="S481" s="92"/>
      <c r="T481" s="2008" t="s">
        <v>136</v>
      </c>
      <c r="U481" s="2008"/>
      <c r="V481" s="2008"/>
      <c r="W481" s="2008"/>
      <c r="X481" s="2008"/>
      <c r="Y481" s="2008" t="s">
        <v>136</v>
      </c>
      <c r="Z481" s="2008"/>
      <c r="AA481" s="2008"/>
      <c r="AB481" s="2008"/>
      <c r="AC481" s="2008"/>
      <c r="AD481" s="2008" t="s">
        <v>136</v>
      </c>
      <c r="AE481" s="2008"/>
      <c r="AF481" s="2008"/>
      <c r="AG481" s="2008"/>
      <c r="AH481" s="2008"/>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557</v>
      </c>
      <c r="F482" s="91"/>
      <c r="G482" s="91"/>
      <c r="H482" s="91"/>
      <c r="I482" s="91"/>
      <c r="J482" s="91"/>
      <c r="K482" s="91"/>
      <c r="L482" s="91"/>
      <c r="M482" s="91"/>
      <c r="N482" s="91"/>
      <c r="O482" s="91"/>
      <c r="P482" s="91"/>
      <c r="Q482" s="91"/>
      <c r="R482" s="91"/>
      <c r="S482" s="91"/>
      <c r="T482" s="2008" t="s">
        <v>136</v>
      </c>
      <c r="U482" s="2008"/>
      <c r="V482" s="2008"/>
      <c r="W482" s="2008"/>
      <c r="X482" s="2008"/>
      <c r="Y482" s="2008" t="s">
        <v>136</v>
      </c>
      <c r="Z482" s="2008"/>
      <c r="AA482" s="2008"/>
      <c r="AB482" s="2008"/>
      <c r="AC482" s="2008"/>
      <c r="AD482" s="2008" t="s">
        <v>136</v>
      </c>
      <c r="AE482" s="2008"/>
      <c r="AF482" s="2008"/>
      <c r="AG482" s="2008"/>
      <c r="AH482" s="2008"/>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558</v>
      </c>
      <c r="F483" s="91"/>
      <c r="G483" s="91"/>
      <c r="H483" s="91"/>
      <c r="I483" s="91"/>
      <c r="J483" s="91"/>
      <c r="K483" s="91"/>
      <c r="L483" s="91"/>
      <c r="M483" s="91"/>
      <c r="N483" s="91"/>
      <c r="O483" s="91"/>
      <c r="P483" s="91"/>
      <c r="Q483" s="91"/>
      <c r="R483" s="91"/>
      <c r="S483" s="91"/>
      <c r="T483" s="2008" t="s">
        <v>136</v>
      </c>
      <c r="U483" s="2008"/>
      <c r="V483" s="2008"/>
      <c r="W483" s="2008"/>
      <c r="X483" s="2008"/>
      <c r="Y483" s="2008" t="s">
        <v>136</v>
      </c>
      <c r="Z483" s="2008"/>
      <c r="AA483" s="2008"/>
      <c r="AB483" s="2008"/>
      <c r="AC483" s="2008"/>
      <c r="AD483" s="2008" t="s">
        <v>136</v>
      </c>
      <c r="AE483" s="2008"/>
      <c r="AF483" s="2008"/>
      <c r="AG483" s="2008"/>
      <c r="AH483" s="2008"/>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559</v>
      </c>
      <c r="F484" s="91"/>
      <c r="G484" s="91"/>
      <c r="H484" s="91"/>
      <c r="I484" s="91"/>
      <c r="J484" s="91"/>
      <c r="K484" s="91"/>
      <c r="L484" s="91"/>
      <c r="M484" s="91"/>
      <c r="N484" s="91"/>
      <c r="O484" s="91"/>
      <c r="P484" s="91"/>
      <c r="Q484" s="91"/>
      <c r="R484" s="91"/>
      <c r="S484" s="91"/>
      <c r="T484" s="2008" t="s">
        <v>136</v>
      </c>
      <c r="U484" s="2008"/>
      <c r="V484" s="2008"/>
      <c r="W484" s="2008"/>
      <c r="X484" s="2008"/>
      <c r="Y484" s="2008" t="s">
        <v>136</v>
      </c>
      <c r="Z484" s="2008"/>
      <c r="AA484" s="2008"/>
      <c r="AB484" s="2008"/>
      <c r="AC484" s="2008"/>
      <c r="AD484" s="2008" t="s">
        <v>136</v>
      </c>
      <c r="AE484" s="2008"/>
      <c r="AF484" s="2008"/>
      <c r="AG484" s="2008"/>
      <c r="AH484" s="2008"/>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560</v>
      </c>
      <c r="F485" s="91"/>
      <c r="G485" s="91"/>
      <c r="H485" s="91"/>
      <c r="I485" s="91"/>
      <c r="J485" s="91"/>
      <c r="K485" s="91"/>
      <c r="L485" s="91"/>
      <c r="M485" s="91"/>
      <c r="N485" s="91"/>
      <c r="O485" s="91"/>
      <c r="P485" s="91"/>
      <c r="Q485" s="91"/>
      <c r="R485" s="91"/>
      <c r="S485" s="91"/>
      <c r="T485" s="2008" t="s">
        <v>136</v>
      </c>
      <c r="U485" s="2008"/>
      <c r="V485" s="2008"/>
      <c r="W485" s="2008"/>
      <c r="X485" s="2008"/>
      <c r="Y485" s="2008" t="s">
        <v>136</v>
      </c>
      <c r="Z485" s="2008"/>
      <c r="AA485" s="2008"/>
      <c r="AB485" s="2008"/>
      <c r="AC485" s="2008"/>
      <c r="AD485" s="2008" t="s">
        <v>136</v>
      </c>
      <c r="AE485" s="2008"/>
      <c r="AF485" s="2008"/>
      <c r="AG485" s="2008"/>
      <c r="AH485" s="2008"/>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561</v>
      </c>
      <c r="F486" s="91"/>
      <c r="G486" s="91"/>
      <c r="H486" s="91"/>
      <c r="I486" s="91"/>
      <c r="J486" s="91"/>
      <c r="K486" s="91"/>
      <c r="L486" s="91"/>
      <c r="M486" s="91"/>
      <c r="N486" s="91"/>
      <c r="O486" s="91"/>
      <c r="P486" s="91"/>
      <c r="Q486" s="91"/>
      <c r="R486" s="91"/>
      <c r="S486" s="91"/>
      <c r="T486" s="2008">
        <v>44363</v>
      </c>
      <c r="U486" s="2008"/>
      <c r="V486" s="2008"/>
      <c r="W486" s="2008"/>
      <c r="X486" s="2008"/>
      <c r="Y486" s="2008">
        <v>44363</v>
      </c>
      <c r="Z486" s="2008"/>
      <c r="AA486" s="2008"/>
      <c r="AB486" s="2008"/>
      <c r="AC486" s="2008"/>
      <c r="AD486" s="2008">
        <v>44363</v>
      </c>
      <c r="AE486" s="2008"/>
      <c r="AF486" s="2008"/>
      <c r="AG486" s="2008"/>
      <c r="AH486" s="2008"/>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562</v>
      </c>
      <c r="F487" s="91"/>
      <c r="G487" s="91"/>
      <c r="H487" s="91"/>
      <c r="I487" s="91"/>
      <c r="J487" s="91"/>
      <c r="K487" s="91"/>
      <c r="L487" s="91"/>
      <c r="M487" s="91"/>
      <c r="N487" s="91"/>
      <c r="O487" s="91"/>
      <c r="P487" s="91"/>
      <c r="Q487" s="91"/>
      <c r="R487" s="91"/>
      <c r="S487" s="91"/>
      <c r="T487" s="2008" t="s">
        <v>136</v>
      </c>
      <c r="U487" s="2008"/>
      <c r="V487" s="2008"/>
      <c r="W487" s="2008"/>
      <c r="X487" s="2008"/>
      <c r="Y487" s="2008" t="s">
        <v>136</v>
      </c>
      <c r="Z487" s="2008"/>
      <c r="AA487" s="2008"/>
      <c r="AB487" s="2008"/>
      <c r="AC487" s="2008"/>
      <c r="AD487" s="2008" t="s">
        <v>136</v>
      </c>
      <c r="AE487" s="2008"/>
      <c r="AF487" s="2008"/>
      <c r="AG487" s="2008"/>
      <c r="AH487" s="2008"/>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941</v>
      </c>
      <c r="F488" s="91"/>
      <c r="G488" s="91"/>
      <c r="H488" s="91"/>
      <c r="I488" s="91"/>
      <c r="J488" s="91"/>
      <c r="K488" s="91"/>
      <c r="L488" s="91"/>
      <c r="M488" s="91"/>
      <c r="N488" s="91"/>
      <c r="O488" s="91"/>
      <c r="P488" s="91"/>
      <c r="Q488" s="91"/>
      <c r="R488" s="91"/>
      <c r="S488" s="91"/>
      <c r="T488" s="2008">
        <v>44287</v>
      </c>
      <c r="U488" s="2008"/>
      <c r="V488" s="2008"/>
      <c r="W488" s="2008"/>
      <c r="X488" s="2008"/>
      <c r="Y488" s="2008">
        <v>44372</v>
      </c>
      <c r="Z488" s="2008"/>
      <c r="AA488" s="2008"/>
      <c r="AB488" s="2008"/>
      <c r="AC488" s="2008"/>
      <c r="AD488" s="2008">
        <v>44372</v>
      </c>
      <c r="AE488" s="2008"/>
      <c r="AF488" s="2008"/>
      <c r="AG488" s="2008"/>
      <c r="AH488" s="2008"/>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2008" t="s">
        <v>136</v>
      </c>
      <c r="U489" s="2008"/>
      <c r="V489" s="2008"/>
      <c r="W489" s="2008"/>
      <c r="X489" s="2008"/>
      <c r="Y489" s="2008" t="s">
        <v>136</v>
      </c>
      <c r="Z489" s="2008"/>
      <c r="AA489" s="2008"/>
      <c r="AB489" s="2008"/>
      <c r="AC489" s="2008"/>
      <c r="AD489" s="2008" t="s">
        <v>136</v>
      </c>
      <c r="AE489" s="2008"/>
      <c r="AF489" s="2008"/>
      <c r="AG489" s="2008"/>
      <c r="AH489" s="200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1422</v>
      </c>
      <c r="F490" s="94"/>
      <c r="G490" s="94"/>
      <c r="H490" s="94"/>
      <c r="I490" s="94"/>
      <c r="J490" s="94"/>
      <c r="K490" s="94"/>
      <c r="L490" s="94"/>
      <c r="M490" s="94"/>
      <c r="N490" s="94"/>
      <c r="O490" s="94"/>
      <c r="P490" s="94"/>
      <c r="Q490" s="94"/>
      <c r="R490" s="94"/>
      <c r="S490" s="94"/>
      <c r="T490" s="2008" t="s">
        <v>136</v>
      </c>
      <c r="U490" s="2008"/>
      <c r="V490" s="2008"/>
      <c r="W490" s="2008"/>
      <c r="X490" s="2008"/>
      <c r="Y490" s="2008" t="s">
        <v>136</v>
      </c>
      <c r="Z490" s="2008"/>
      <c r="AA490" s="2008"/>
      <c r="AB490" s="2008"/>
      <c r="AC490" s="2008"/>
      <c r="AD490" s="2008" t="s">
        <v>136</v>
      </c>
      <c r="AE490" s="2008"/>
      <c r="AF490" s="2008"/>
      <c r="AG490" s="2008"/>
      <c r="AH490" s="2008"/>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2009" t="s">
        <v>266</v>
      </c>
      <c r="R492" s="2010"/>
      <c r="S492" s="2010"/>
      <c r="T492" s="2010"/>
      <c r="U492" s="2010"/>
      <c r="V492" s="2010"/>
      <c r="W492" s="2010"/>
      <c r="X492" s="2010"/>
      <c r="Y492" s="2010"/>
      <c r="Z492" s="2010"/>
      <c r="AA492" s="2010"/>
      <c r="AB492" s="2010"/>
      <c r="AC492" s="2010"/>
      <c r="AD492" s="2010"/>
      <c r="AE492" s="2010"/>
      <c r="AF492" s="2010"/>
      <c r="AG492" s="2010"/>
      <c r="AH492" s="2010"/>
      <c r="AI492" s="2010"/>
      <c r="AJ492" s="2010"/>
      <c r="AK492" s="2011"/>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267</v>
      </c>
      <c r="C493" s="91"/>
      <c r="D493" s="91"/>
      <c r="E493" s="91"/>
      <c r="F493" s="91"/>
      <c r="G493" s="91"/>
      <c r="H493" s="91"/>
      <c r="I493" s="91"/>
      <c r="J493" s="91"/>
      <c r="K493" s="91"/>
      <c r="L493" s="91"/>
      <c r="M493" s="91"/>
      <c r="N493" s="91"/>
      <c r="O493" s="91"/>
      <c r="P493" s="91"/>
      <c r="Q493" s="1726" t="s">
        <v>2437</v>
      </c>
      <c r="R493" s="1696"/>
      <c r="S493" s="1696"/>
      <c r="T493" s="1696"/>
      <c r="U493" s="1696"/>
      <c r="V493" s="1696"/>
      <c r="W493" s="1696"/>
      <c r="X493" s="1696"/>
      <c r="Y493" s="1696"/>
      <c r="Z493" s="1696"/>
      <c r="AA493" s="1696"/>
      <c r="AB493" s="1696"/>
      <c r="AC493" s="1696"/>
      <c r="AD493" s="1696"/>
      <c r="AE493" s="1696"/>
      <c r="AF493" s="1696"/>
      <c r="AG493" s="1696"/>
      <c r="AH493" s="1696"/>
      <c r="AI493" s="1696"/>
      <c r="AJ493" s="1696"/>
      <c r="AK493" s="1727"/>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268</v>
      </c>
      <c r="C494" s="91"/>
      <c r="D494" s="91"/>
      <c r="E494" s="91"/>
      <c r="F494" s="91"/>
      <c r="G494" s="91"/>
      <c r="H494" s="91"/>
      <c r="I494" s="91"/>
      <c r="J494" s="91"/>
      <c r="K494" s="91"/>
      <c r="L494" s="91"/>
      <c r="M494" s="91"/>
      <c r="N494" s="91"/>
      <c r="O494" s="91"/>
      <c r="P494" s="91"/>
      <c r="Q494" s="1726" t="s">
        <v>2506</v>
      </c>
      <c r="R494" s="1696"/>
      <c r="S494" s="1696"/>
      <c r="T494" s="1696"/>
      <c r="U494" s="1696"/>
      <c r="V494" s="1696"/>
      <c r="W494" s="1696"/>
      <c r="X494" s="1696"/>
      <c r="Y494" s="1696"/>
      <c r="Z494" s="1696"/>
      <c r="AA494" s="1696"/>
      <c r="AB494" s="1696"/>
      <c r="AC494" s="1696"/>
      <c r="AD494" s="1696"/>
      <c r="AE494" s="1696"/>
      <c r="AF494" s="1696"/>
      <c r="AG494" s="1696"/>
      <c r="AH494" s="1696"/>
      <c r="AI494" s="1696"/>
      <c r="AJ494" s="1696"/>
      <c r="AK494" s="1727"/>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269</v>
      </c>
      <c r="C495" s="91"/>
      <c r="D495" s="91"/>
      <c r="E495" s="91"/>
      <c r="F495" s="91"/>
      <c r="G495" s="91"/>
      <c r="H495" s="91"/>
      <c r="I495" s="91"/>
      <c r="J495" s="91"/>
      <c r="K495" s="91"/>
      <c r="L495" s="91"/>
      <c r="M495" s="91"/>
      <c r="N495" s="91"/>
      <c r="O495" s="91"/>
      <c r="P495" s="91"/>
      <c r="Q495" s="1726" t="s">
        <v>2506</v>
      </c>
      <c r="R495" s="1696"/>
      <c r="S495" s="1696"/>
      <c r="T495" s="1696"/>
      <c r="U495" s="1696"/>
      <c r="V495" s="1696"/>
      <c r="W495" s="1696"/>
      <c r="X495" s="1696"/>
      <c r="Y495" s="1696"/>
      <c r="Z495" s="1696"/>
      <c r="AA495" s="1696"/>
      <c r="AB495" s="1696"/>
      <c r="AC495" s="1696"/>
      <c r="AD495" s="1696"/>
      <c r="AE495" s="1696"/>
      <c r="AF495" s="1696"/>
      <c r="AG495" s="1696"/>
      <c r="AH495" s="1696"/>
      <c r="AI495" s="1696"/>
      <c r="AJ495" s="1696"/>
      <c r="AK495" s="1727"/>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30" t="s">
        <v>270</v>
      </c>
      <c r="C496" s="2031"/>
      <c r="D496" s="2031"/>
      <c r="E496" s="2031"/>
      <c r="F496" s="2031"/>
      <c r="G496" s="2031"/>
      <c r="H496" s="2031"/>
      <c r="I496" s="2031"/>
      <c r="J496" s="2031"/>
      <c r="K496" s="2031"/>
      <c r="L496" s="2031"/>
      <c r="M496" s="2031"/>
      <c r="N496" s="2031"/>
      <c r="O496" s="2031"/>
      <c r="P496" s="2032"/>
      <c r="Q496" s="2142" t="s">
        <v>531</v>
      </c>
      <c r="R496" s="2143"/>
      <c r="S496" s="2146" t="s">
        <v>58</v>
      </c>
      <c r="T496" s="2147"/>
      <c r="U496" s="2147"/>
      <c r="V496" s="2147"/>
      <c r="W496" s="2147"/>
      <c r="X496" s="2147"/>
      <c r="Y496" s="2147"/>
      <c r="Z496" s="2147"/>
      <c r="AA496" s="2147"/>
      <c r="AB496" s="2147"/>
      <c r="AC496" s="2147"/>
      <c r="AD496" s="2147"/>
      <c r="AE496" s="2147"/>
      <c r="AF496" s="2147"/>
      <c r="AG496" s="2147"/>
      <c r="AH496" s="2147"/>
      <c r="AI496" s="2147"/>
      <c r="AJ496" s="2147"/>
      <c r="AK496" s="2148"/>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33"/>
      <c r="C497" s="2034"/>
      <c r="D497" s="2034"/>
      <c r="E497" s="2034"/>
      <c r="F497" s="2034"/>
      <c r="G497" s="2034"/>
      <c r="H497" s="2034"/>
      <c r="I497" s="2034"/>
      <c r="J497" s="2034"/>
      <c r="K497" s="2034"/>
      <c r="L497" s="2034"/>
      <c r="M497" s="2034"/>
      <c r="N497" s="2034"/>
      <c r="O497" s="2034"/>
      <c r="P497" s="2035"/>
      <c r="Q497" s="2144"/>
      <c r="R497" s="2145"/>
      <c r="S497" s="2149"/>
      <c r="T497" s="2150"/>
      <c r="U497" s="2150"/>
      <c r="V497" s="2150"/>
      <c r="W497" s="2150"/>
      <c r="X497" s="2150"/>
      <c r="Y497" s="2150"/>
      <c r="Z497" s="2150"/>
      <c r="AA497" s="2150"/>
      <c r="AB497" s="2150"/>
      <c r="AC497" s="2150"/>
      <c r="AD497" s="2150"/>
      <c r="AE497" s="2150"/>
      <c r="AF497" s="2150"/>
      <c r="AG497" s="2150"/>
      <c r="AH497" s="2150"/>
      <c r="AI497" s="2150"/>
      <c r="AJ497" s="2150"/>
      <c r="AK497" s="2151"/>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6" customHeight="1">
      <c r="B498" s="1431" t="s">
        <v>2273</v>
      </c>
      <c r="C498" s="1397"/>
      <c r="D498" s="1397"/>
      <c r="E498" s="1397"/>
      <c r="F498" s="1397"/>
      <c r="G498" s="1397"/>
      <c r="H498" s="1397"/>
      <c r="I498" s="1397"/>
      <c r="J498" s="1397"/>
      <c r="K498" s="1397"/>
      <c r="L498" s="1397"/>
      <c r="M498" s="1397"/>
      <c r="N498" s="1397"/>
      <c r="O498" s="1397"/>
      <c r="P498" s="1397"/>
      <c r="Q498" s="2152" t="s">
        <v>531</v>
      </c>
      <c r="R498" s="2153"/>
      <c r="S498" s="2153"/>
      <c r="T498" s="2153"/>
      <c r="U498" s="2153"/>
      <c r="V498" s="2153"/>
      <c r="W498" s="2153"/>
      <c r="X498" s="2153"/>
      <c r="Y498" s="2153"/>
      <c r="Z498" s="2153"/>
      <c r="AA498" s="2153"/>
      <c r="AB498" s="2153"/>
      <c r="AC498" s="2153"/>
      <c r="AD498" s="2153"/>
      <c r="AE498" s="2153"/>
      <c r="AF498" s="2153"/>
      <c r="AG498" s="2153"/>
      <c r="AH498" s="2153"/>
      <c r="AI498" s="2153"/>
      <c r="AJ498" s="2153"/>
      <c r="AK498" s="2154"/>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271</v>
      </c>
      <c r="C499" s="91"/>
      <c r="D499" s="91"/>
      <c r="E499" s="91"/>
      <c r="F499" s="91"/>
      <c r="G499" s="91"/>
      <c r="H499" s="91"/>
      <c r="I499" s="91"/>
      <c r="J499" s="91"/>
      <c r="K499" s="91"/>
      <c r="L499" s="91"/>
      <c r="M499" s="91"/>
      <c r="N499" s="91"/>
      <c r="O499" s="91"/>
      <c r="P499" s="91"/>
      <c r="Q499" s="1726" t="s">
        <v>2438</v>
      </c>
      <c r="R499" s="1696"/>
      <c r="S499" s="1696"/>
      <c r="T499" s="1696"/>
      <c r="U499" s="1696"/>
      <c r="V499" s="1696"/>
      <c r="W499" s="1696"/>
      <c r="X499" s="1696"/>
      <c r="Y499" s="1696"/>
      <c r="Z499" s="1696"/>
      <c r="AA499" s="1696"/>
      <c r="AB499" s="1696"/>
      <c r="AC499" s="1696"/>
      <c r="AD499" s="1696"/>
      <c r="AE499" s="1696"/>
      <c r="AF499" s="1696"/>
      <c r="AG499" s="1696"/>
      <c r="AH499" s="1696"/>
      <c r="AI499" s="1696"/>
      <c r="AJ499" s="1696"/>
      <c r="AK499" s="1727"/>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272</v>
      </c>
      <c r="C500" s="91"/>
      <c r="D500" s="91"/>
      <c r="E500" s="91"/>
      <c r="F500" s="91"/>
      <c r="G500" s="91"/>
      <c r="H500" s="91"/>
      <c r="I500" s="91"/>
      <c r="J500" s="91"/>
      <c r="K500" s="91"/>
      <c r="L500" s="91"/>
      <c r="M500" s="91"/>
      <c r="N500" s="91"/>
      <c r="O500" s="91"/>
      <c r="P500" s="91"/>
      <c r="Q500" s="1726">
        <v>1.26</v>
      </c>
      <c r="R500" s="1696"/>
      <c r="S500" s="1696"/>
      <c r="T500" s="1696"/>
      <c r="U500" s="1696"/>
      <c r="V500" s="1696"/>
      <c r="W500" s="1696"/>
      <c r="X500" s="1696"/>
      <c r="Y500" s="1696"/>
      <c r="Z500" s="1696"/>
      <c r="AA500" s="1696"/>
      <c r="AB500" s="1696"/>
      <c r="AC500" s="1696"/>
      <c r="AD500" s="1696"/>
      <c r="AE500" s="1696"/>
      <c r="AF500" s="1696"/>
      <c r="AG500" s="1696"/>
      <c r="AH500" s="1696"/>
      <c r="AI500" s="1696"/>
      <c r="AJ500" s="1696"/>
      <c r="AK500" s="1727"/>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2274</v>
      </c>
      <c r="C501" s="91"/>
      <c r="D501" s="91"/>
      <c r="E501" s="91"/>
      <c r="F501" s="91"/>
      <c r="G501" s="91"/>
      <c r="H501" s="91"/>
      <c r="I501" s="91"/>
      <c r="J501" s="91"/>
      <c r="K501" s="91"/>
      <c r="L501" s="91"/>
      <c r="M501" s="91"/>
      <c r="N501" s="91"/>
      <c r="O501" s="91"/>
      <c r="P501" s="91"/>
      <c r="Q501" s="1726">
        <v>107</v>
      </c>
      <c r="R501" s="1696"/>
      <c r="S501" s="1696"/>
      <c r="T501" s="1696"/>
      <c r="U501" s="1696"/>
      <c r="V501" s="1696"/>
      <c r="W501" s="1696"/>
      <c r="X501" s="1696"/>
      <c r="Y501" s="1696"/>
      <c r="Z501" s="1696"/>
      <c r="AA501" s="1696"/>
      <c r="AB501" s="1696"/>
      <c r="AC501" s="1696"/>
      <c r="AD501" s="1696"/>
      <c r="AE501" s="1696"/>
      <c r="AF501" s="1696"/>
      <c r="AG501" s="1696"/>
      <c r="AH501" s="1696"/>
      <c r="AI501" s="1696"/>
      <c r="AJ501" s="1696"/>
      <c r="AK501" s="1727"/>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2275</v>
      </c>
      <c r="C502" s="91"/>
      <c r="D502" s="91"/>
      <c r="E502" s="91"/>
      <c r="F502" s="91"/>
      <c r="G502" s="91"/>
      <c r="H502" s="91"/>
      <c r="I502" s="91"/>
      <c r="J502" s="91"/>
      <c r="K502" s="91"/>
      <c r="L502" s="91"/>
      <c r="M502" s="1975">
        <v>69</v>
      </c>
      <c r="N502" s="1695"/>
      <c r="O502" s="1695"/>
      <c r="P502" s="1976"/>
      <c r="Q502" s="1432" t="s">
        <v>2276</v>
      </c>
      <c r="R502" s="1433"/>
      <c r="S502" s="1433"/>
      <c r="T502" s="1433"/>
      <c r="U502" s="1433"/>
      <c r="V502" s="1433"/>
      <c r="W502" s="1433"/>
      <c r="X502" s="1433"/>
      <c r="Y502" s="1433"/>
      <c r="Z502" s="1433"/>
      <c r="AA502" s="1433"/>
      <c r="AB502" s="1433"/>
      <c r="AC502" s="1433"/>
      <c r="AD502" s="1433"/>
      <c r="AE502" s="1433"/>
      <c r="AF502" s="1433"/>
      <c r="AG502" s="1433"/>
      <c r="AH502" s="1975">
        <v>38</v>
      </c>
      <c r="AI502" s="1695"/>
      <c r="AJ502" s="1695"/>
      <c r="AK502" s="1976"/>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2009" t="s">
        <v>274</v>
      </c>
      <c r="AD506" s="2010"/>
      <c r="AE506" s="2010"/>
      <c r="AF506" s="2010"/>
      <c r="AG506" s="2010"/>
      <c r="AH506" s="2010"/>
      <c r="AI506" s="2010"/>
      <c r="AJ506" s="2010"/>
      <c r="AK506" s="2011"/>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114" t="s">
        <v>275</v>
      </c>
      <c r="AD507" s="2024"/>
      <c r="AE507" s="2024"/>
      <c r="AF507" s="2024"/>
      <c r="AG507" s="96" t="s">
        <v>276</v>
      </c>
      <c r="AH507" s="2024" t="s">
        <v>277</v>
      </c>
      <c r="AI507" s="2024"/>
      <c r="AJ507" s="2024"/>
      <c r="AK507" s="2025"/>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817" t="s">
        <v>278</v>
      </c>
      <c r="C508" s="1818"/>
      <c r="D508" s="1818"/>
      <c r="E508" s="1818"/>
      <c r="F508" s="1818"/>
      <c r="G508" s="1818"/>
      <c r="H508" s="1819"/>
      <c r="I508" s="86" t="s">
        <v>737</v>
      </c>
      <c r="J508" s="86"/>
      <c r="K508" s="86"/>
      <c r="L508" s="86"/>
      <c r="M508" s="86"/>
      <c r="N508" s="86"/>
      <c r="O508" s="86"/>
      <c r="P508" s="86"/>
      <c r="Q508" s="86"/>
      <c r="R508" s="86"/>
      <c r="S508" s="86"/>
      <c r="T508" s="86"/>
      <c r="U508" s="86"/>
      <c r="V508" s="86"/>
      <c r="W508" s="86"/>
      <c r="X508" s="35"/>
      <c r="Y508" s="35"/>
      <c r="AC508" s="1984" t="s">
        <v>136</v>
      </c>
      <c r="AD508" s="1809"/>
      <c r="AE508" s="1809"/>
      <c r="AF508" s="1809"/>
      <c r="AG508" s="89" t="s">
        <v>276</v>
      </c>
      <c r="AH508" s="1729">
        <v>0</v>
      </c>
      <c r="AI508" s="1729"/>
      <c r="AJ508" s="1729"/>
      <c r="AK508" s="1730"/>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820"/>
      <c r="C509" s="1821"/>
      <c r="D509" s="1821"/>
      <c r="E509" s="1821"/>
      <c r="F509" s="1821"/>
      <c r="G509" s="1821"/>
      <c r="H509" s="1822"/>
      <c r="I509" s="94" t="s">
        <v>738</v>
      </c>
      <c r="J509" s="94"/>
      <c r="K509" s="94"/>
      <c r="L509" s="94"/>
      <c r="M509" s="94"/>
      <c r="N509" s="94"/>
      <c r="O509" s="94"/>
      <c r="P509" s="94"/>
      <c r="Q509" s="94"/>
      <c r="R509" s="94"/>
      <c r="S509" s="94"/>
      <c r="T509" s="94"/>
      <c r="U509" s="94"/>
      <c r="V509" s="94"/>
      <c r="W509" s="94"/>
      <c r="X509" s="94"/>
      <c r="Y509" s="94"/>
      <c r="Z509" s="94"/>
      <c r="AA509" s="94"/>
      <c r="AB509" s="94"/>
      <c r="AC509" s="1984">
        <v>12</v>
      </c>
      <c r="AD509" s="1809"/>
      <c r="AE509" s="1809"/>
      <c r="AF509" s="1809"/>
      <c r="AG509" s="79" t="s">
        <v>276</v>
      </c>
      <c r="AH509" s="1729">
        <v>2020</v>
      </c>
      <c r="AI509" s="1729"/>
      <c r="AJ509" s="1729"/>
      <c r="AK509" s="1730"/>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817" t="s">
        <v>739</v>
      </c>
      <c r="C510" s="1818"/>
      <c r="D510" s="1818"/>
      <c r="E510" s="1818"/>
      <c r="F510" s="1818"/>
      <c r="G510" s="1818"/>
      <c r="H510" s="1819"/>
      <c r="I510" s="86" t="s">
        <v>740</v>
      </c>
      <c r="J510" s="86"/>
      <c r="K510" s="86"/>
      <c r="L510" s="86"/>
      <c r="M510" s="86"/>
      <c r="N510" s="86"/>
      <c r="O510" s="86"/>
      <c r="P510" s="86"/>
      <c r="Q510" s="86"/>
      <c r="R510" s="86"/>
      <c r="S510" s="86"/>
      <c r="T510" s="86"/>
      <c r="U510" s="86"/>
      <c r="V510" s="86"/>
      <c r="W510" s="86"/>
      <c r="X510" s="35"/>
      <c r="Y510" s="35"/>
      <c r="AC510" s="1984" t="s">
        <v>136</v>
      </c>
      <c r="AD510" s="1809"/>
      <c r="AE510" s="1809"/>
      <c r="AF510" s="1809"/>
      <c r="AG510" s="89" t="s">
        <v>276</v>
      </c>
      <c r="AH510" s="1729"/>
      <c r="AI510" s="1729"/>
      <c r="AJ510" s="1729"/>
      <c r="AK510" s="1730"/>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820"/>
      <c r="C511" s="1821"/>
      <c r="D511" s="1821"/>
      <c r="E511" s="1821"/>
      <c r="F511" s="1821"/>
      <c r="G511" s="1821"/>
      <c r="H511" s="1822"/>
      <c r="I511" s="35" t="s">
        <v>741</v>
      </c>
      <c r="J511" s="35"/>
      <c r="K511" s="35"/>
      <c r="L511" s="35"/>
      <c r="M511" s="35"/>
      <c r="N511" s="35"/>
      <c r="O511" s="35"/>
      <c r="P511" s="35"/>
      <c r="Q511" s="35"/>
      <c r="R511" s="35"/>
      <c r="S511" s="35"/>
      <c r="T511" s="35"/>
      <c r="U511" s="35"/>
      <c r="V511" s="35"/>
      <c r="W511" s="35"/>
      <c r="X511" s="35"/>
      <c r="Y511" s="35"/>
      <c r="AC511" s="1984" t="s">
        <v>136</v>
      </c>
      <c r="AD511" s="1809"/>
      <c r="AE511" s="1809"/>
      <c r="AF511" s="1809"/>
      <c r="AG511" s="89" t="s">
        <v>276</v>
      </c>
      <c r="AH511" s="1729"/>
      <c r="AI511" s="1729"/>
      <c r="AJ511" s="1729"/>
      <c r="AK511" s="1730"/>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820"/>
      <c r="C512" s="1821"/>
      <c r="D512" s="1821"/>
      <c r="E512" s="1821"/>
      <c r="F512" s="1821"/>
      <c r="G512" s="1821"/>
      <c r="H512" s="1822"/>
      <c r="I512" s="35" t="s">
        <v>742</v>
      </c>
      <c r="J512" s="35"/>
      <c r="K512" s="35"/>
      <c r="L512" s="35"/>
      <c r="M512" s="35"/>
      <c r="N512" s="35"/>
      <c r="O512" s="35"/>
      <c r="P512" s="35"/>
      <c r="Q512" s="35"/>
      <c r="R512" s="35"/>
      <c r="S512" s="35"/>
      <c r="T512" s="35"/>
      <c r="U512" s="35"/>
      <c r="V512" s="35"/>
      <c r="W512" s="35"/>
      <c r="X512" s="35"/>
      <c r="Y512" s="35"/>
      <c r="AC512" s="1984" t="s">
        <v>136</v>
      </c>
      <c r="AD512" s="1809"/>
      <c r="AE512" s="1809"/>
      <c r="AF512" s="1809"/>
      <c r="AG512" s="89" t="s">
        <v>276</v>
      </c>
      <c r="AH512" s="1729"/>
      <c r="AI512" s="1729"/>
      <c r="AJ512" s="1729"/>
      <c r="AK512" s="1730"/>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820"/>
      <c r="C513" s="1821"/>
      <c r="D513" s="1821"/>
      <c r="E513" s="1821"/>
      <c r="F513" s="1821"/>
      <c r="G513" s="1821"/>
      <c r="H513" s="1822"/>
      <c r="I513" s="35" t="s">
        <v>743</v>
      </c>
      <c r="J513" s="35"/>
      <c r="K513" s="35"/>
      <c r="L513" s="35"/>
      <c r="M513" s="35"/>
      <c r="N513" s="35"/>
      <c r="O513" s="35"/>
      <c r="P513" s="35"/>
      <c r="Q513" s="35"/>
      <c r="R513" s="35"/>
      <c r="S513" s="35"/>
      <c r="T513" s="35"/>
      <c r="U513" s="35"/>
      <c r="V513" s="35"/>
      <c r="W513" s="35"/>
      <c r="X513" s="35"/>
      <c r="Y513" s="35"/>
      <c r="AC513" s="1984" t="s">
        <v>136</v>
      </c>
      <c r="AD513" s="1809"/>
      <c r="AE513" s="1809"/>
      <c r="AF513" s="1809"/>
      <c r="AG513" s="89" t="s">
        <v>276</v>
      </c>
      <c r="AH513" s="1729"/>
      <c r="AI513" s="1729"/>
      <c r="AJ513" s="1729"/>
      <c r="AK513" s="1730"/>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820"/>
      <c r="C514" s="1821"/>
      <c r="D514" s="1821"/>
      <c r="E514" s="1821"/>
      <c r="F514" s="1821"/>
      <c r="G514" s="1821"/>
      <c r="H514" s="1822"/>
      <c r="I514" s="326" t="s">
        <v>744</v>
      </c>
      <c r="J514" s="35"/>
      <c r="K514" s="35"/>
      <c r="L514" s="35"/>
      <c r="M514" s="35"/>
      <c r="N514" s="35"/>
      <c r="O514" s="35"/>
      <c r="P514" s="35"/>
      <c r="Q514" s="35"/>
      <c r="R514" s="35"/>
      <c r="S514" s="35"/>
      <c r="T514" s="35"/>
      <c r="U514" s="35"/>
      <c r="V514" s="35"/>
      <c r="W514" s="35"/>
      <c r="X514" s="35"/>
      <c r="Y514" s="35"/>
      <c r="AC514" s="1777" t="s">
        <v>136</v>
      </c>
      <c r="AD514" s="1778"/>
      <c r="AE514" s="1778"/>
      <c r="AF514" s="1778"/>
      <c r="AG514" s="1399" t="s">
        <v>276</v>
      </c>
      <c r="AH514" s="1729"/>
      <c r="AI514" s="1729"/>
      <c r="AJ514" s="1729"/>
      <c r="AK514" s="1730"/>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820"/>
      <c r="C515" s="1821"/>
      <c r="D515" s="1821"/>
      <c r="E515" s="1821"/>
      <c r="F515" s="1821"/>
      <c r="G515" s="1821"/>
      <c r="H515" s="1822"/>
      <c r="I515" s="645" t="s">
        <v>311</v>
      </c>
      <c r="J515" s="94"/>
      <c r="K515" s="94"/>
      <c r="L515" s="2123" t="s">
        <v>2439</v>
      </c>
      <c r="M515" s="2124"/>
      <c r="N515" s="2124"/>
      <c r="O515" s="2124"/>
      <c r="P515" s="2124"/>
      <c r="Q515" s="2124"/>
      <c r="R515" s="2124"/>
      <c r="S515" s="2124"/>
      <c r="T515" s="2124"/>
      <c r="U515" s="2124"/>
      <c r="V515" s="2124"/>
      <c r="W515" s="2124"/>
      <c r="X515" s="2124"/>
      <c r="Y515" s="2124"/>
      <c r="Z515" s="2124"/>
      <c r="AA515" s="2124"/>
      <c r="AB515" s="2125"/>
      <c r="AC515" s="2108">
        <v>6</v>
      </c>
      <c r="AD515" s="1848"/>
      <c r="AE515" s="1848"/>
      <c r="AF515" s="1848"/>
      <c r="AG515" s="1395" t="s">
        <v>276</v>
      </c>
      <c r="AH515" s="1729">
        <v>2021</v>
      </c>
      <c r="AI515" s="1729"/>
      <c r="AJ515" s="1729"/>
      <c r="AK515" s="1730"/>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820"/>
      <c r="C516" s="1821"/>
      <c r="D516" s="1821"/>
      <c r="E516" s="1821"/>
      <c r="F516" s="1821"/>
      <c r="G516" s="1821"/>
      <c r="H516" s="1822"/>
      <c r="I516" s="1103" t="s">
        <v>2277</v>
      </c>
      <c r="J516" s="35"/>
      <c r="K516" s="35"/>
      <c r="L516" s="35"/>
      <c r="M516" s="35"/>
      <c r="N516" s="35"/>
      <c r="O516" s="35"/>
      <c r="P516" s="35"/>
      <c r="Q516" s="35"/>
      <c r="R516" s="35"/>
      <c r="S516" s="35"/>
      <c r="T516" s="35"/>
      <c r="U516" s="35"/>
      <c r="V516" s="35"/>
      <c r="W516" s="35"/>
      <c r="X516" s="35"/>
      <c r="Y516" s="35"/>
      <c r="AC516" s="2109" t="s">
        <v>119</v>
      </c>
      <c r="AD516" s="2109"/>
      <c r="AE516" s="2109"/>
      <c r="AF516" s="2109"/>
      <c r="AG516" s="1399"/>
      <c r="AH516" s="2110"/>
      <c r="AI516" s="2110"/>
      <c r="AJ516" s="2110"/>
      <c r="AK516" s="2111"/>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820"/>
      <c r="C517" s="1821"/>
      <c r="D517" s="1821"/>
      <c r="E517" s="1821"/>
      <c r="F517" s="1821"/>
      <c r="G517" s="1821"/>
      <c r="H517" s="1822"/>
      <c r="I517" s="644" t="s">
        <v>2278</v>
      </c>
      <c r="J517" s="35"/>
      <c r="K517" s="35"/>
      <c r="L517" s="35"/>
      <c r="M517" s="35"/>
      <c r="N517" s="35"/>
      <c r="O517" s="35"/>
      <c r="P517" s="35"/>
      <c r="Q517" s="35"/>
      <c r="R517" s="35"/>
      <c r="S517" s="35"/>
      <c r="T517" s="35"/>
      <c r="U517" s="35"/>
      <c r="V517" s="35"/>
      <c r="W517" s="35"/>
      <c r="X517" s="35"/>
      <c r="Y517" s="35"/>
      <c r="AC517" s="1777">
        <v>1</v>
      </c>
      <c r="AD517" s="1778"/>
      <c r="AE517" s="1778"/>
      <c r="AF517" s="1779"/>
      <c r="AG517" s="1399"/>
      <c r="AH517" s="2110"/>
      <c r="AI517" s="2110"/>
      <c r="AJ517" s="2110"/>
      <c r="AK517" s="2111"/>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820"/>
      <c r="C518" s="1821"/>
      <c r="D518" s="1821"/>
      <c r="E518" s="1821"/>
      <c r="F518" s="1821"/>
      <c r="G518" s="1821"/>
      <c r="H518" s="1822"/>
      <c r="I518" s="644" t="s">
        <v>2279</v>
      </c>
      <c r="J518" s="35"/>
      <c r="K518" s="35"/>
      <c r="L518" s="35"/>
      <c r="M518" s="35"/>
      <c r="N518" s="35"/>
      <c r="O518" s="35"/>
      <c r="P518" s="35"/>
      <c r="Q518" s="35"/>
      <c r="R518" s="35"/>
      <c r="S518" s="35"/>
      <c r="T518" s="35"/>
      <c r="U518" s="35"/>
      <c r="V518" s="35"/>
      <c r="W518" s="35"/>
      <c r="X518" s="35"/>
      <c r="Y518" s="35"/>
      <c r="AC518" s="1434"/>
      <c r="AD518" s="1435"/>
      <c r="AE518" s="1435"/>
      <c r="AF518" s="1436"/>
      <c r="AG518" s="1398"/>
      <c r="AH518" s="1401"/>
      <c r="AI518" s="1401"/>
      <c r="AJ518" s="1401"/>
      <c r="AK518" s="1437"/>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820"/>
      <c r="C519" s="1821"/>
      <c r="D519" s="1821"/>
      <c r="E519" s="1821"/>
      <c r="F519" s="1821"/>
      <c r="G519" s="1821"/>
      <c r="H519" s="1822"/>
      <c r="I519" s="1438" t="s">
        <v>2280</v>
      </c>
      <c r="J519" s="94"/>
      <c r="K519" s="94"/>
      <c r="L519" s="94"/>
      <c r="M519" s="94"/>
      <c r="N519" s="94"/>
      <c r="O519" s="94"/>
      <c r="P519" s="94"/>
      <c r="Q519" s="94"/>
      <c r="R519" s="94"/>
      <c r="S519" s="94"/>
      <c r="T519" s="94"/>
      <c r="U519" s="94"/>
      <c r="V519" s="94"/>
      <c r="W519" s="94"/>
      <c r="X519" s="94"/>
      <c r="Y519" s="94"/>
      <c r="Z519" s="94"/>
      <c r="AA519" s="94"/>
      <c r="AB519" s="94"/>
      <c r="AC519" s="2118">
        <v>0.1</v>
      </c>
      <c r="AD519" s="2119"/>
      <c r="AE519" s="2119"/>
      <c r="AF519" s="2120"/>
      <c r="AG519" s="1395"/>
      <c r="AH519" s="2026"/>
      <c r="AI519" s="2026"/>
      <c r="AJ519" s="2026"/>
      <c r="AK519" s="2027"/>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817" t="s">
        <v>745</v>
      </c>
      <c r="C520" s="1818"/>
      <c r="D520" s="1818"/>
      <c r="E520" s="1818"/>
      <c r="F520" s="1818"/>
      <c r="G520" s="1818"/>
      <c r="H520" s="1819"/>
      <c r="I520" s="86" t="s">
        <v>746</v>
      </c>
      <c r="J520" s="86"/>
      <c r="K520" s="86"/>
      <c r="L520" s="86"/>
      <c r="M520" s="86"/>
      <c r="N520" s="86"/>
      <c r="O520" s="86"/>
      <c r="P520" s="86"/>
      <c r="Q520" s="86"/>
      <c r="R520" s="86"/>
      <c r="S520" s="86"/>
      <c r="T520" s="86"/>
      <c r="U520" s="86"/>
      <c r="V520" s="86"/>
      <c r="W520" s="86"/>
      <c r="X520" s="35"/>
      <c r="Y520" s="35"/>
      <c r="AC520" s="1984">
        <v>6</v>
      </c>
      <c r="AD520" s="1809"/>
      <c r="AE520" s="1809"/>
      <c r="AF520" s="1809"/>
      <c r="AG520" s="89" t="s">
        <v>276</v>
      </c>
      <c r="AH520" s="1729">
        <v>2021</v>
      </c>
      <c r="AI520" s="1729"/>
      <c r="AJ520" s="1729"/>
      <c r="AK520" s="1730"/>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820"/>
      <c r="C521" s="1821"/>
      <c r="D521" s="1821"/>
      <c r="E521" s="1821"/>
      <c r="F521" s="1821"/>
      <c r="G521" s="1821"/>
      <c r="H521" s="1822"/>
      <c r="I521" s="35" t="s">
        <v>747</v>
      </c>
      <c r="J521" s="35"/>
      <c r="K521" s="35"/>
      <c r="L521" s="35"/>
      <c r="M521" s="35"/>
      <c r="N521" s="35"/>
      <c r="O521" s="35"/>
      <c r="P521" s="35"/>
      <c r="Q521" s="35"/>
      <c r="R521" s="35"/>
      <c r="S521" s="35"/>
      <c r="T521" s="35"/>
      <c r="U521" s="35"/>
      <c r="V521" s="35"/>
      <c r="W521" s="35"/>
      <c r="X521" s="35"/>
      <c r="Y521" s="35"/>
      <c r="AC521" s="1984">
        <v>6</v>
      </c>
      <c r="AD521" s="1809"/>
      <c r="AE521" s="1809"/>
      <c r="AF521" s="1809"/>
      <c r="AG521" s="89" t="s">
        <v>276</v>
      </c>
      <c r="AH521" s="1729">
        <v>2021</v>
      </c>
      <c r="AI521" s="1729"/>
      <c r="AJ521" s="1729"/>
      <c r="AK521" s="1730"/>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820"/>
      <c r="C522" s="1821"/>
      <c r="D522" s="1821"/>
      <c r="E522" s="1821"/>
      <c r="F522" s="1821"/>
      <c r="G522" s="1821"/>
      <c r="H522" s="1822"/>
      <c r="I522" s="94" t="s">
        <v>748</v>
      </c>
      <c r="J522" s="94"/>
      <c r="K522" s="94"/>
      <c r="L522" s="94"/>
      <c r="M522" s="94"/>
      <c r="N522" s="94"/>
      <c r="O522" s="94"/>
      <c r="P522" s="94"/>
      <c r="Q522" s="94"/>
      <c r="R522" s="94"/>
      <c r="S522" s="94"/>
      <c r="T522" s="94"/>
      <c r="U522" s="94"/>
      <c r="V522" s="94"/>
      <c r="W522" s="94"/>
      <c r="X522" s="94"/>
      <c r="Y522" s="94"/>
      <c r="Z522" s="94"/>
      <c r="AA522" s="94"/>
      <c r="AB522" s="94"/>
      <c r="AC522" s="1984">
        <v>3</v>
      </c>
      <c r="AD522" s="1809"/>
      <c r="AE522" s="1809"/>
      <c r="AF522" s="1809"/>
      <c r="AG522" s="79" t="s">
        <v>276</v>
      </c>
      <c r="AH522" s="1729">
        <v>2022</v>
      </c>
      <c r="AI522" s="1729"/>
      <c r="AJ522" s="1729"/>
      <c r="AK522" s="1730"/>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817" t="s">
        <v>749</v>
      </c>
      <c r="C523" s="1818"/>
      <c r="D523" s="1818"/>
      <c r="E523" s="1818"/>
      <c r="F523" s="1818"/>
      <c r="G523" s="1818"/>
      <c r="H523" s="1819"/>
      <c r="I523" s="86" t="s">
        <v>746</v>
      </c>
      <c r="J523" s="86"/>
      <c r="K523" s="86"/>
      <c r="L523" s="86"/>
      <c r="M523" s="86"/>
      <c r="N523" s="86"/>
      <c r="O523" s="86"/>
      <c r="P523" s="86"/>
      <c r="Q523" s="86"/>
      <c r="R523" s="86"/>
      <c r="S523" s="86"/>
      <c r="T523" s="86"/>
      <c r="U523" s="86"/>
      <c r="V523" s="86"/>
      <c r="W523" s="86"/>
      <c r="X523" s="86"/>
      <c r="Y523" s="86"/>
      <c r="Z523" s="86"/>
      <c r="AA523" s="86"/>
      <c r="AB523" s="86"/>
      <c r="AC523" s="1842" t="s">
        <v>136</v>
      </c>
      <c r="AD523" s="1843"/>
      <c r="AE523" s="1843"/>
      <c r="AF523" s="1843"/>
      <c r="AG523" s="360" t="s">
        <v>276</v>
      </c>
      <c r="AH523" s="1729"/>
      <c r="AI523" s="1729"/>
      <c r="AJ523" s="1729"/>
      <c r="AK523" s="1730"/>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820"/>
      <c r="C524" s="1821"/>
      <c r="D524" s="1821"/>
      <c r="E524" s="1821"/>
      <c r="F524" s="1821"/>
      <c r="G524" s="1821"/>
      <c r="H524" s="1822"/>
      <c r="I524" s="35" t="s">
        <v>747</v>
      </c>
      <c r="J524" s="35"/>
      <c r="K524" s="35"/>
      <c r="L524" s="35"/>
      <c r="M524" s="35"/>
      <c r="N524" s="35"/>
      <c r="O524" s="35"/>
      <c r="P524" s="35"/>
      <c r="Q524" s="35"/>
      <c r="R524" s="35"/>
      <c r="S524" s="35"/>
      <c r="T524" s="35"/>
      <c r="U524" s="35"/>
      <c r="V524" s="35"/>
      <c r="W524" s="35"/>
      <c r="X524" s="35"/>
      <c r="Y524" s="35"/>
      <c r="Z524" s="35"/>
      <c r="AA524" s="35"/>
      <c r="AB524" s="35"/>
      <c r="AC524" s="1984" t="s">
        <v>136</v>
      </c>
      <c r="AD524" s="1809"/>
      <c r="AE524" s="1809"/>
      <c r="AF524" s="1809"/>
      <c r="AG524" s="89" t="s">
        <v>276</v>
      </c>
      <c r="AH524" s="1729"/>
      <c r="AI524" s="1729"/>
      <c r="AJ524" s="1729"/>
      <c r="AK524" s="1730"/>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823"/>
      <c r="C525" s="1824"/>
      <c r="D525" s="1824"/>
      <c r="E525" s="1824"/>
      <c r="F525" s="1824"/>
      <c r="G525" s="1824"/>
      <c r="H525" s="1825"/>
      <c r="I525" s="94" t="s">
        <v>748</v>
      </c>
      <c r="J525" s="94"/>
      <c r="K525" s="94"/>
      <c r="L525" s="94"/>
      <c r="M525" s="94"/>
      <c r="N525" s="94"/>
      <c r="O525" s="94"/>
      <c r="P525" s="94"/>
      <c r="Q525" s="94"/>
      <c r="R525" s="94"/>
      <c r="S525" s="94"/>
      <c r="T525" s="94"/>
      <c r="U525" s="94"/>
      <c r="V525" s="94"/>
      <c r="W525" s="94"/>
      <c r="X525" s="94"/>
      <c r="Y525" s="94"/>
      <c r="Z525" s="94"/>
      <c r="AA525" s="94"/>
      <c r="AB525" s="94"/>
      <c r="AC525" s="1984" t="s">
        <v>136</v>
      </c>
      <c r="AD525" s="1809"/>
      <c r="AE525" s="1809"/>
      <c r="AF525" s="1809"/>
      <c r="AG525" s="79" t="s">
        <v>276</v>
      </c>
      <c r="AH525" s="1729"/>
      <c r="AI525" s="1729"/>
      <c r="AJ525" s="1729"/>
      <c r="AK525" s="1730"/>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817" t="s">
        <v>750</v>
      </c>
      <c r="C526" s="1818"/>
      <c r="D526" s="1818"/>
      <c r="E526" s="1818"/>
      <c r="F526" s="1818"/>
      <c r="G526" s="1818"/>
      <c r="H526" s="1819"/>
      <c r="I526" s="85" t="s">
        <v>751</v>
      </c>
      <c r="J526" s="86"/>
      <c r="K526" s="86"/>
      <c r="L526" s="86"/>
      <c r="M526" s="86"/>
      <c r="N526" s="86"/>
      <c r="O526" s="1696" t="s">
        <v>2440</v>
      </c>
      <c r="P526" s="1696"/>
      <c r="Q526" s="1696"/>
      <c r="R526" s="1696"/>
      <c r="S526" s="1696"/>
      <c r="T526" s="1696"/>
      <c r="U526" s="1696"/>
      <c r="V526" s="1696"/>
      <c r="W526" s="1696"/>
      <c r="X526" s="1696"/>
      <c r="Y526" s="1696"/>
      <c r="Z526" s="1696"/>
      <c r="AA526" s="1696"/>
      <c r="AB526" s="108"/>
      <c r="AC526" s="1842">
        <v>6</v>
      </c>
      <c r="AD526" s="1843"/>
      <c r="AE526" s="1843"/>
      <c r="AF526" s="1843"/>
      <c r="AG526" s="360" t="s">
        <v>276</v>
      </c>
      <c r="AH526" s="1729">
        <v>2021</v>
      </c>
      <c r="AI526" s="1729"/>
      <c r="AJ526" s="1729"/>
      <c r="AK526" s="1730"/>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820"/>
      <c r="C527" s="1821"/>
      <c r="D527" s="1821"/>
      <c r="E527" s="1821"/>
      <c r="F527" s="1821"/>
      <c r="G527" s="1821"/>
      <c r="H527" s="1822"/>
      <c r="I527" s="317" t="s">
        <v>752</v>
      </c>
      <c r="J527" s="35"/>
      <c r="K527" s="35"/>
      <c r="L527" s="35"/>
      <c r="M527" s="35"/>
      <c r="N527" s="35"/>
      <c r="O527" s="35"/>
      <c r="P527" s="35"/>
      <c r="Q527" s="35"/>
      <c r="R527" s="35"/>
      <c r="S527" s="35"/>
      <c r="T527" s="35"/>
      <c r="U527" s="35"/>
      <c r="V527" s="35"/>
      <c r="W527" s="35"/>
      <c r="X527" s="35"/>
      <c r="Y527" s="35"/>
      <c r="Z527" s="35"/>
      <c r="AA527" s="35"/>
      <c r="AB527" s="115"/>
      <c r="AC527" s="1984" t="s">
        <v>136</v>
      </c>
      <c r="AD527" s="1809"/>
      <c r="AE527" s="1809"/>
      <c r="AF527" s="1809"/>
      <c r="AG527" s="89" t="s">
        <v>276</v>
      </c>
      <c r="AH527" s="1729"/>
      <c r="AI527" s="1729"/>
      <c r="AJ527" s="1729"/>
      <c r="AK527" s="1730"/>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820"/>
      <c r="C528" s="1821"/>
      <c r="D528" s="1821"/>
      <c r="E528" s="1821"/>
      <c r="F528" s="1821"/>
      <c r="G528" s="1821"/>
      <c r="H528" s="1822"/>
      <c r="I528" s="93" t="s">
        <v>753</v>
      </c>
      <c r="J528" s="94"/>
      <c r="K528" s="94"/>
      <c r="L528" s="94"/>
      <c r="M528" s="94"/>
      <c r="N528" s="94"/>
      <c r="O528" s="94"/>
      <c r="P528" s="94"/>
      <c r="Q528" s="94"/>
      <c r="R528" s="94"/>
      <c r="S528" s="94"/>
      <c r="T528" s="94"/>
      <c r="U528" s="94"/>
      <c r="V528" s="94"/>
      <c r="W528" s="94"/>
      <c r="X528" s="94"/>
      <c r="Y528" s="94"/>
      <c r="Z528" s="94"/>
      <c r="AA528" s="94"/>
      <c r="AB528" s="95"/>
      <c r="AC528" s="1984">
        <v>6</v>
      </c>
      <c r="AD528" s="1809"/>
      <c r="AE528" s="1809"/>
      <c r="AF528" s="1809"/>
      <c r="AG528" s="79" t="s">
        <v>276</v>
      </c>
      <c r="AH528" s="1729">
        <v>2021</v>
      </c>
      <c r="AI528" s="1729"/>
      <c r="AJ528" s="1729"/>
      <c r="AK528" s="1730"/>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820"/>
      <c r="C529" s="1821"/>
      <c r="D529" s="1821"/>
      <c r="E529" s="1821"/>
      <c r="F529" s="1821"/>
      <c r="G529" s="1821"/>
      <c r="H529" s="1822"/>
      <c r="I529" s="86" t="s">
        <v>754</v>
      </c>
      <c r="J529" s="86"/>
      <c r="K529" s="86"/>
      <c r="L529" s="86"/>
      <c r="M529" s="86"/>
      <c r="N529" s="86"/>
      <c r="O529" s="1697" t="s">
        <v>2441</v>
      </c>
      <c r="P529" s="1697"/>
      <c r="Q529" s="1697"/>
      <c r="R529" s="1697"/>
      <c r="S529" s="1697"/>
      <c r="T529" s="1697"/>
      <c r="U529" s="1697"/>
      <c r="V529" s="1697"/>
      <c r="W529" s="1697"/>
      <c r="X529" s="1697"/>
      <c r="Y529" s="1697"/>
      <c r="Z529" s="1697"/>
      <c r="AA529" s="1697"/>
      <c r="AC529" s="1984" t="s">
        <v>136</v>
      </c>
      <c r="AD529" s="1809"/>
      <c r="AE529" s="1809"/>
      <c r="AF529" s="1809"/>
      <c r="AG529" s="89" t="s">
        <v>276</v>
      </c>
      <c r="AH529" s="1729" t="s">
        <v>255</v>
      </c>
      <c r="AI529" s="1729"/>
      <c r="AJ529" s="1729"/>
      <c r="AK529" s="1730"/>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820"/>
      <c r="C530" s="1821"/>
      <c r="D530" s="1821"/>
      <c r="E530" s="1821"/>
      <c r="F530" s="1821"/>
      <c r="G530" s="1821"/>
      <c r="H530" s="1822"/>
      <c r="I530" s="35" t="s">
        <v>752</v>
      </c>
      <c r="J530" s="35"/>
      <c r="K530" s="35"/>
      <c r="L530" s="35"/>
      <c r="M530" s="35"/>
      <c r="N530" s="35"/>
      <c r="O530" s="35"/>
      <c r="P530" s="35"/>
      <c r="Q530" s="35"/>
      <c r="R530" s="35"/>
      <c r="S530" s="35"/>
      <c r="T530" s="35"/>
      <c r="U530" s="35"/>
      <c r="V530" s="35"/>
      <c r="W530" s="35"/>
      <c r="X530" s="35"/>
      <c r="Y530" s="35"/>
      <c r="AC530" s="1984">
        <v>9</v>
      </c>
      <c r="AD530" s="1809"/>
      <c r="AE530" s="1809"/>
      <c r="AF530" s="1809"/>
      <c r="AG530" s="89" t="s">
        <v>276</v>
      </c>
      <c r="AH530" s="1729">
        <v>2020</v>
      </c>
      <c r="AI530" s="1729"/>
      <c r="AJ530" s="1729"/>
      <c r="AK530" s="1730"/>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820"/>
      <c r="C531" s="1821"/>
      <c r="D531" s="1821"/>
      <c r="E531" s="1821"/>
      <c r="F531" s="1821"/>
      <c r="G531" s="1821"/>
      <c r="H531" s="1822"/>
      <c r="I531" s="94" t="s">
        <v>753</v>
      </c>
      <c r="J531" s="94"/>
      <c r="K531" s="94"/>
      <c r="L531" s="94"/>
      <c r="M531" s="94"/>
      <c r="N531" s="94"/>
      <c r="O531" s="94"/>
      <c r="P531" s="94"/>
      <c r="Q531" s="94"/>
      <c r="R531" s="94"/>
      <c r="S531" s="94"/>
      <c r="T531" s="94"/>
      <c r="U531" s="94"/>
      <c r="V531" s="94"/>
      <c r="W531" s="94"/>
      <c r="X531" s="94"/>
      <c r="Y531" s="94"/>
      <c r="Z531" s="94"/>
      <c r="AA531" s="94"/>
      <c r="AB531" s="94"/>
      <c r="AC531" s="1984">
        <v>3</v>
      </c>
      <c r="AD531" s="1809"/>
      <c r="AE531" s="1809"/>
      <c r="AF531" s="1809"/>
      <c r="AG531" s="79" t="s">
        <v>276</v>
      </c>
      <c r="AH531" s="1729">
        <v>2022</v>
      </c>
      <c r="AI531" s="1729"/>
      <c r="AJ531" s="1729"/>
      <c r="AK531" s="1730"/>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820"/>
      <c r="C532" s="1821"/>
      <c r="D532" s="1821"/>
      <c r="E532" s="1821"/>
      <c r="F532" s="1821"/>
      <c r="G532" s="1821"/>
      <c r="H532" s="1822"/>
      <c r="I532" s="86" t="s">
        <v>754</v>
      </c>
      <c r="J532" s="86"/>
      <c r="K532" s="86"/>
      <c r="L532" s="86"/>
      <c r="M532" s="86"/>
      <c r="N532" s="86"/>
      <c r="O532" s="1697" t="s">
        <v>2507</v>
      </c>
      <c r="P532" s="1697"/>
      <c r="Q532" s="1697"/>
      <c r="R532" s="1697"/>
      <c r="S532" s="1697"/>
      <c r="T532" s="1697"/>
      <c r="U532" s="1697"/>
      <c r="V532" s="1697"/>
      <c r="W532" s="1697"/>
      <c r="X532" s="1697"/>
      <c r="Y532" s="1697"/>
      <c r="Z532" s="1697"/>
      <c r="AA532" s="1697"/>
      <c r="AC532" s="1984">
        <v>6</v>
      </c>
      <c r="AD532" s="1809"/>
      <c r="AE532" s="1809"/>
      <c r="AF532" s="1809"/>
      <c r="AG532" s="89" t="s">
        <v>276</v>
      </c>
      <c r="AH532" s="1729">
        <v>2021</v>
      </c>
      <c r="AI532" s="1729"/>
      <c r="AJ532" s="1729"/>
      <c r="AK532" s="1730"/>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820"/>
      <c r="C533" s="1821"/>
      <c r="D533" s="1821"/>
      <c r="E533" s="1821"/>
      <c r="F533" s="1821"/>
      <c r="G533" s="1821"/>
      <c r="H533" s="1822"/>
      <c r="I533" s="35" t="s">
        <v>752</v>
      </c>
      <c r="J533" s="35"/>
      <c r="K533" s="35"/>
      <c r="L533" s="35"/>
      <c r="M533" s="35"/>
      <c r="N533" s="35"/>
      <c r="O533" s="35"/>
      <c r="P533" s="35"/>
      <c r="Q533" s="35"/>
      <c r="R533" s="35"/>
      <c r="S533" s="35"/>
      <c r="T533" s="35"/>
      <c r="U533" s="35"/>
      <c r="V533" s="35"/>
      <c r="W533" s="35"/>
      <c r="X533" s="35"/>
      <c r="Y533" s="35"/>
      <c r="AC533" s="1984" t="s">
        <v>136</v>
      </c>
      <c r="AD533" s="1809"/>
      <c r="AE533" s="1809"/>
      <c r="AF533" s="1809"/>
      <c r="AG533" s="89" t="s">
        <v>276</v>
      </c>
      <c r="AH533" s="1729"/>
      <c r="AI533" s="1729"/>
      <c r="AJ533" s="1729"/>
      <c r="AK533" s="1730"/>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820"/>
      <c r="C534" s="1821"/>
      <c r="D534" s="1821"/>
      <c r="E534" s="1821"/>
      <c r="F534" s="1821"/>
      <c r="G534" s="1821"/>
      <c r="H534" s="1822"/>
      <c r="I534" s="94" t="s">
        <v>753</v>
      </c>
      <c r="J534" s="94"/>
      <c r="K534" s="94"/>
      <c r="L534" s="94"/>
      <c r="M534" s="94"/>
      <c r="N534" s="94"/>
      <c r="O534" s="94"/>
      <c r="P534" s="94"/>
      <c r="Q534" s="94"/>
      <c r="R534" s="94"/>
      <c r="S534" s="94"/>
      <c r="T534" s="94"/>
      <c r="U534" s="94"/>
      <c r="V534" s="94"/>
      <c r="W534" s="94"/>
      <c r="X534" s="94"/>
      <c r="Y534" s="94"/>
      <c r="Z534" s="94"/>
      <c r="AA534" s="94"/>
      <c r="AB534" s="94"/>
      <c r="AC534" s="1984">
        <v>3</v>
      </c>
      <c r="AD534" s="1809"/>
      <c r="AE534" s="1809"/>
      <c r="AF534" s="1809"/>
      <c r="AG534" s="79" t="s">
        <v>276</v>
      </c>
      <c r="AH534" s="1729">
        <v>2022</v>
      </c>
      <c r="AI534" s="1729"/>
      <c r="AJ534" s="1729"/>
      <c r="AK534" s="1730"/>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820"/>
      <c r="C535" s="1821"/>
      <c r="D535" s="1821"/>
      <c r="E535" s="1821"/>
      <c r="F535" s="1821"/>
      <c r="G535" s="1821"/>
      <c r="H535" s="1822"/>
      <c r="I535" s="86" t="s">
        <v>754</v>
      </c>
      <c r="J535" s="86"/>
      <c r="K535" s="86"/>
      <c r="L535" s="86"/>
      <c r="M535" s="86"/>
      <c r="N535" s="86"/>
      <c r="O535" s="1697" t="s">
        <v>622</v>
      </c>
      <c r="P535" s="1697"/>
      <c r="Q535" s="1697"/>
      <c r="R535" s="1697"/>
      <c r="S535" s="1697"/>
      <c r="T535" s="1697"/>
      <c r="U535" s="1697"/>
      <c r="V535" s="1697"/>
      <c r="W535" s="1697"/>
      <c r="X535" s="1697"/>
      <c r="Y535" s="1697"/>
      <c r="Z535" s="1697"/>
      <c r="AA535" s="1697"/>
      <c r="AC535" s="1984" t="s">
        <v>136</v>
      </c>
      <c r="AD535" s="1809"/>
      <c r="AE535" s="1809"/>
      <c r="AF535" s="1809"/>
      <c r="AG535" s="89" t="s">
        <v>276</v>
      </c>
      <c r="AH535" s="1729"/>
      <c r="AI535" s="1729"/>
      <c r="AJ535" s="1729"/>
      <c r="AK535" s="1730"/>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820"/>
      <c r="C536" s="1821"/>
      <c r="D536" s="1821"/>
      <c r="E536" s="1821"/>
      <c r="F536" s="1821"/>
      <c r="G536" s="1821"/>
      <c r="H536" s="1822"/>
      <c r="I536" s="35" t="s">
        <v>752</v>
      </c>
      <c r="J536" s="35"/>
      <c r="K536" s="35"/>
      <c r="L536" s="35"/>
      <c r="M536" s="35"/>
      <c r="N536" s="35"/>
      <c r="O536" s="35"/>
      <c r="P536" s="35"/>
      <c r="Q536" s="35"/>
      <c r="R536" s="35"/>
      <c r="S536" s="35"/>
      <c r="T536" s="35"/>
      <c r="U536" s="35"/>
      <c r="V536" s="35"/>
      <c r="W536" s="35"/>
      <c r="X536" s="35"/>
      <c r="Y536" s="35"/>
      <c r="AC536" s="1984" t="s">
        <v>136</v>
      </c>
      <c r="AD536" s="1809"/>
      <c r="AE536" s="1809"/>
      <c r="AF536" s="1809"/>
      <c r="AG536" s="89" t="s">
        <v>276</v>
      </c>
      <c r="AH536" s="1729"/>
      <c r="AI536" s="1729"/>
      <c r="AJ536" s="1729"/>
      <c r="AK536" s="1730"/>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820"/>
      <c r="C537" s="1821"/>
      <c r="D537" s="1821"/>
      <c r="E537" s="1821"/>
      <c r="F537" s="1821"/>
      <c r="G537" s="1821"/>
      <c r="H537" s="1822"/>
      <c r="I537" s="94" t="s">
        <v>753</v>
      </c>
      <c r="J537" s="94"/>
      <c r="K537" s="94"/>
      <c r="L537" s="94"/>
      <c r="M537" s="94"/>
      <c r="N537" s="94"/>
      <c r="O537" s="94"/>
      <c r="P537" s="94"/>
      <c r="Q537" s="94"/>
      <c r="R537" s="94"/>
      <c r="S537" s="94"/>
      <c r="T537" s="94"/>
      <c r="U537" s="94"/>
      <c r="V537" s="94"/>
      <c r="W537" s="94"/>
      <c r="X537" s="94"/>
      <c r="Y537" s="94"/>
      <c r="Z537" s="94"/>
      <c r="AA537" s="94"/>
      <c r="AB537" s="94"/>
      <c r="AC537" s="1984" t="s">
        <v>136</v>
      </c>
      <c r="AD537" s="1809"/>
      <c r="AE537" s="1809"/>
      <c r="AF537" s="1809"/>
      <c r="AG537" s="79" t="s">
        <v>276</v>
      </c>
      <c r="AH537" s="1729"/>
      <c r="AI537" s="1729"/>
      <c r="AJ537" s="1729"/>
      <c r="AK537" s="1730"/>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820"/>
      <c r="C538" s="1821"/>
      <c r="D538" s="1821"/>
      <c r="E538" s="1821"/>
      <c r="F538" s="1821"/>
      <c r="G538" s="1821"/>
      <c r="H538" s="1822"/>
      <c r="I538" s="86" t="s">
        <v>754</v>
      </c>
      <c r="J538" s="86"/>
      <c r="K538" s="86"/>
      <c r="L538" s="86"/>
      <c r="M538" s="86"/>
      <c r="N538" s="86"/>
      <c r="O538" s="1697" t="s">
        <v>622</v>
      </c>
      <c r="P538" s="1697"/>
      <c r="Q538" s="1697"/>
      <c r="R538" s="1697"/>
      <c r="S538" s="1697"/>
      <c r="T538" s="1697"/>
      <c r="U538" s="1697"/>
      <c r="V538" s="1697"/>
      <c r="W538" s="1697"/>
      <c r="X538" s="1697"/>
      <c r="Y538" s="1697"/>
      <c r="Z538" s="1697"/>
      <c r="AA538" s="1697"/>
      <c r="AC538" s="1984" t="s">
        <v>136</v>
      </c>
      <c r="AD538" s="1809"/>
      <c r="AE538" s="1809"/>
      <c r="AF538" s="1809"/>
      <c r="AG538" s="89" t="s">
        <v>276</v>
      </c>
      <c r="AH538" s="1729"/>
      <c r="AI538" s="1729"/>
      <c r="AJ538" s="1729"/>
      <c r="AK538" s="1730"/>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820"/>
      <c r="C539" s="1821"/>
      <c r="D539" s="1821"/>
      <c r="E539" s="1821"/>
      <c r="F539" s="1821"/>
      <c r="G539" s="1821"/>
      <c r="H539" s="1822"/>
      <c r="I539" s="35" t="s">
        <v>752</v>
      </c>
      <c r="J539" s="35"/>
      <c r="K539" s="35"/>
      <c r="L539" s="35"/>
      <c r="M539" s="35"/>
      <c r="N539" s="35"/>
      <c r="O539" s="35"/>
      <c r="P539" s="35"/>
      <c r="Q539" s="35"/>
      <c r="R539" s="35"/>
      <c r="S539" s="35"/>
      <c r="T539" s="35"/>
      <c r="U539" s="35"/>
      <c r="V539" s="35"/>
      <c r="W539" s="35"/>
      <c r="X539" s="35"/>
      <c r="Y539" s="35"/>
      <c r="AC539" s="1984" t="s">
        <v>136</v>
      </c>
      <c r="AD539" s="1809"/>
      <c r="AE539" s="1809"/>
      <c r="AF539" s="1809"/>
      <c r="AG539" s="79" t="s">
        <v>276</v>
      </c>
      <c r="AH539" s="1729"/>
      <c r="AI539" s="1729"/>
      <c r="AJ539" s="1729"/>
      <c r="AK539" s="1730"/>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820"/>
      <c r="C540" s="1821"/>
      <c r="D540" s="1821"/>
      <c r="E540" s="1821"/>
      <c r="F540" s="1821"/>
      <c r="G540" s="1821"/>
      <c r="H540" s="1822"/>
      <c r="I540" s="94" t="s">
        <v>753</v>
      </c>
      <c r="J540" s="94"/>
      <c r="K540" s="94"/>
      <c r="L540" s="94"/>
      <c r="M540" s="94"/>
      <c r="N540" s="94"/>
      <c r="O540" s="94"/>
      <c r="P540" s="94"/>
      <c r="Q540" s="94"/>
      <c r="R540" s="94"/>
      <c r="S540" s="94"/>
      <c r="T540" s="94"/>
      <c r="U540" s="94"/>
      <c r="V540" s="94"/>
      <c r="W540" s="94"/>
      <c r="X540" s="94"/>
      <c r="Y540" s="94"/>
      <c r="Z540" s="94"/>
      <c r="AA540" s="94"/>
      <c r="AB540" s="94"/>
      <c r="AC540" s="1984" t="s">
        <v>136</v>
      </c>
      <c r="AD540" s="1809"/>
      <c r="AE540" s="1809"/>
      <c r="AF540" s="1809"/>
      <c r="AG540" s="89" t="s">
        <v>276</v>
      </c>
      <c r="AH540" s="1729"/>
      <c r="AI540" s="1729"/>
      <c r="AJ540" s="1729"/>
      <c r="AK540" s="1730"/>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820"/>
      <c r="C541" s="1821"/>
      <c r="D541" s="1821"/>
      <c r="E541" s="1821"/>
      <c r="F541" s="1821"/>
      <c r="G541" s="1821"/>
      <c r="H541" s="1822"/>
      <c r="I541" s="86" t="s">
        <v>754</v>
      </c>
      <c r="J541" s="86"/>
      <c r="K541" s="86"/>
      <c r="L541" s="86"/>
      <c r="M541" s="86"/>
      <c r="N541" s="86"/>
      <c r="O541" s="1697" t="s">
        <v>622</v>
      </c>
      <c r="P541" s="1697"/>
      <c r="Q541" s="1697"/>
      <c r="R541" s="1697"/>
      <c r="S541" s="1697"/>
      <c r="T541" s="1697"/>
      <c r="U541" s="1697"/>
      <c r="V541" s="1697"/>
      <c r="W541" s="1697"/>
      <c r="X541" s="1697"/>
      <c r="Y541" s="1697"/>
      <c r="Z541" s="1697"/>
      <c r="AA541" s="1697"/>
      <c r="AC541" s="1984" t="s">
        <v>136</v>
      </c>
      <c r="AD541" s="1809"/>
      <c r="AE541" s="1809"/>
      <c r="AF541" s="1809"/>
      <c r="AG541" s="79" t="s">
        <v>276</v>
      </c>
      <c r="AH541" s="1729"/>
      <c r="AI541" s="1729"/>
      <c r="AJ541" s="1729"/>
      <c r="AK541" s="1730"/>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820"/>
      <c r="C542" s="1821"/>
      <c r="D542" s="1821"/>
      <c r="E542" s="1821"/>
      <c r="F542" s="1821"/>
      <c r="G542" s="1821"/>
      <c r="H542" s="1822"/>
      <c r="I542" s="35" t="s">
        <v>752</v>
      </c>
      <c r="J542" s="35"/>
      <c r="K542" s="35"/>
      <c r="L542" s="35"/>
      <c r="M542" s="35"/>
      <c r="N542" s="35"/>
      <c r="O542" s="35"/>
      <c r="P542" s="35"/>
      <c r="Q542" s="35"/>
      <c r="R542" s="35"/>
      <c r="S542" s="35"/>
      <c r="T542" s="35"/>
      <c r="U542" s="35"/>
      <c r="V542" s="35"/>
      <c r="W542" s="35"/>
      <c r="X542" s="35"/>
      <c r="Y542" s="35"/>
      <c r="AC542" s="1984" t="s">
        <v>136</v>
      </c>
      <c r="AD542" s="1809"/>
      <c r="AE542" s="1809"/>
      <c r="AF542" s="1809"/>
      <c r="AG542" s="89" t="s">
        <v>276</v>
      </c>
      <c r="AH542" s="1729"/>
      <c r="AI542" s="1729"/>
      <c r="AJ542" s="1729"/>
      <c r="AK542" s="1730"/>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820"/>
      <c r="C543" s="1821"/>
      <c r="D543" s="1821"/>
      <c r="E543" s="1821"/>
      <c r="F543" s="1821"/>
      <c r="G543" s="1821"/>
      <c r="H543" s="1822"/>
      <c r="I543" s="94" t="s">
        <v>753</v>
      </c>
      <c r="J543" s="94"/>
      <c r="K543" s="94"/>
      <c r="L543" s="94"/>
      <c r="M543" s="94"/>
      <c r="N543" s="94"/>
      <c r="O543" s="94"/>
      <c r="P543" s="94"/>
      <c r="Q543" s="94"/>
      <c r="R543" s="94"/>
      <c r="S543" s="94"/>
      <c r="T543" s="94"/>
      <c r="U543" s="94"/>
      <c r="V543" s="94"/>
      <c r="W543" s="94"/>
      <c r="X543" s="94"/>
      <c r="Y543" s="94"/>
      <c r="Z543" s="94"/>
      <c r="AA543" s="94"/>
      <c r="AB543" s="94"/>
      <c r="AC543" s="1984" t="s">
        <v>136</v>
      </c>
      <c r="AD543" s="1809"/>
      <c r="AE543" s="1809"/>
      <c r="AF543" s="1809"/>
      <c r="AG543" s="79" t="s">
        <v>276</v>
      </c>
      <c r="AH543" s="1729"/>
      <c r="AI543" s="1729"/>
      <c r="AJ543" s="1729"/>
      <c r="AK543" s="1730"/>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820"/>
      <c r="C544" s="1821"/>
      <c r="D544" s="1821"/>
      <c r="E544" s="1821"/>
      <c r="F544" s="1821"/>
      <c r="G544" s="1821"/>
      <c r="H544" s="1822"/>
      <c r="I544" s="86" t="s">
        <v>802</v>
      </c>
      <c r="J544" s="86"/>
      <c r="K544" s="86"/>
      <c r="L544" s="86"/>
      <c r="M544" s="86"/>
      <c r="N544" s="86"/>
      <c r="O544" s="86"/>
      <c r="P544" s="86"/>
      <c r="Q544" s="86"/>
      <c r="R544" s="86"/>
      <c r="S544" s="86"/>
      <c r="T544" s="86"/>
      <c r="U544" s="86"/>
      <c r="V544" s="86"/>
      <c r="W544" s="86"/>
      <c r="X544" s="35"/>
      <c r="Y544" s="35"/>
      <c r="AC544" s="1984">
        <v>3</v>
      </c>
      <c r="AD544" s="1809"/>
      <c r="AE544" s="1809"/>
      <c r="AF544" s="1809"/>
      <c r="AG544" s="79" t="s">
        <v>276</v>
      </c>
      <c r="AH544" s="1729">
        <v>2022</v>
      </c>
      <c r="AI544" s="1729"/>
      <c r="AJ544" s="1729"/>
      <c r="AK544" s="1730"/>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4.1" customHeight="1">
      <c r="B545" s="1820"/>
      <c r="C545" s="1821"/>
      <c r="D545" s="1821"/>
      <c r="E545" s="1821"/>
      <c r="F545" s="1821"/>
      <c r="G545" s="1821"/>
      <c r="H545" s="1822"/>
      <c r="I545" s="35" t="s">
        <v>803</v>
      </c>
      <c r="J545" s="35"/>
      <c r="K545" s="35"/>
      <c r="L545" s="35"/>
      <c r="M545" s="35"/>
      <c r="N545" s="35"/>
      <c r="O545" s="35"/>
      <c r="P545" s="35"/>
      <c r="Q545" s="35"/>
      <c r="R545" s="35"/>
      <c r="S545" s="35"/>
      <c r="T545" s="35"/>
      <c r="U545" s="35"/>
      <c r="V545" s="35"/>
      <c r="W545" s="35"/>
      <c r="X545" s="35"/>
      <c r="Y545" s="35"/>
      <c r="AC545" s="1984">
        <v>3</v>
      </c>
      <c r="AD545" s="1809"/>
      <c r="AE545" s="1809"/>
      <c r="AF545" s="1809"/>
      <c r="AG545" s="89" t="s">
        <v>276</v>
      </c>
      <c r="AH545" s="1729">
        <v>2022</v>
      </c>
      <c r="AI545" s="1729"/>
      <c r="AJ545" s="1729"/>
      <c r="AK545" s="1730"/>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820"/>
      <c r="C546" s="1821"/>
      <c r="D546" s="1821"/>
      <c r="E546" s="1821"/>
      <c r="F546" s="1821"/>
      <c r="G546" s="1821"/>
      <c r="H546" s="1822"/>
      <c r="I546" s="35" t="s">
        <v>804</v>
      </c>
      <c r="J546" s="35"/>
      <c r="K546" s="35"/>
      <c r="L546" s="35"/>
      <c r="M546" s="35"/>
      <c r="N546" s="35"/>
      <c r="O546" s="35"/>
      <c r="P546" s="35"/>
      <c r="Q546" s="35"/>
      <c r="R546" s="35"/>
      <c r="S546" s="35"/>
      <c r="T546" s="35"/>
      <c r="U546" s="35"/>
      <c r="V546" s="35"/>
      <c r="W546" s="35"/>
      <c r="X546" s="35"/>
      <c r="Y546" s="35"/>
      <c r="AC546" s="1984">
        <v>6</v>
      </c>
      <c r="AD546" s="1809"/>
      <c r="AE546" s="1809"/>
      <c r="AF546" s="1809"/>
      <c r="AG546" s="79" t="s">
        <v>276</v>
      </c>
      <c r="AH546" s="1729">
        <v>2023</v>
      </c>
      <c r="AI546" s="1729"/>
      <c r="AJ546" s="1729"/>
      <c r="AK546" s="1730"/>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820"/>
      <c r="C547" s="1821"/>
      <c r="D547" s="1821"/>
      <c r="E547" s="1821"/>
      <c r="F547" s="1821"/>
      <c r="G547" s="1821"/>
      <c r="H547" s="1822"/>
      <c r="I547" s="35" t="s">
        <v>805</v>
      </c>
      <c r="J547" s="35"/>
      <c r="K547" s="35"/>
      <c r="L547" s="35"/>
      <c r="M547" s="35"/>
      <c r="N547" s="35"/>
      <c r="O547" s="35"/>
      <c r="P547" s="35"/>
      <c r="Q547" s="35"/>
      <c r="R547" s="35"/>
      <c r="S547" s="35"/>
      <c r="T547" s="35"/>
      <c r="U547" s="35"/>
      <c r="V547" s="35"/>
      <c r="W547" s="35"/>
      <c r="X547" s="35"/>
      <c r="Y547" s="35"/>
      <c r="AC547" s="1984">
        <v>6</v>
      </c>
      <c r="AD547" s="1809"/>
      <c r="AE547" s="1809"/>
      <c r="AF547" s="1809"/>
      <c r="AG547" s="79" t="s">
        <v>276</v>
      </c>
      <c r="AH547" s="1729">
        <v>2023</v>
      </c>
      <c r="AI547" s="1729"/>
      <c r="AJ547" s="1729"/>
      <c r="AK547" s="1730"/>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823"/>
      <c r="C548" s="1824"/>
      <c r="D548" s="1824"/>
      <c r="E548" s="1824"/>
      <c r="F548" s="1824"/>
      <c r="G548" s="1824"/>
      <c r="H548" s="1825"/>
      <c r="I548" s="94" t="s">
        <v>1519</v>
      </c>
      <c r="J548" s="94"/>
      <c r="K548" s="94"/>
      <c r="L548" s="94"/>
      <c r="M548" s="94"/>
      <c r="N548" s="94"/>
      <c r="O548" s="94"/>
      <c r="P548" s="94"/>
      <c r="Q548" s="94"/>
      <c r="R548" s="94"/>
      <c r="S548" s="94"/>
      <c r="T548" s="94"/>
      <c r="U548" s="94"/>
      <c r="V548" s="94"/>
      <c r="W548" s="94"/>
      <c r="X548" s="94"/>
      <c r="Y548" s="94"/>
      <c r="Z548" s="94"/>
      <c r="AA548" s="94"/>
      <c r="AB548" s="94"/>
      <c r="AC548" s="1984">
        <v>9</v>
      </c>
      <c r="AD548" s="1809"/>
      <c r="AE548" s="1809"/>
      <c r="AF548" s="1809"/>
      <c r="AG548" s="79" t="s">
        <v>276</v>
      </c>
      <c r="AH548" s="1729">
        <v>2023</v>
      </c>
      <c r="AI548" s="1729"/>
      <c r="AJ548" s="1729"/>
      <c r="AK548" s="1730"/>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53" t="s">
        <v>547</v>
      </c>
      <c r="B550" s="1553"/>
      <c r="C550" s="1553"/>
      <c r="D550" s="1553"/>
      <c r="E550" s="1553"/>
      <c r="F550" s="1553"/>
      <c r="G550" s="1553"/>
      <c r="H550" s="1553"/>
      <c r="I550" s="1553"/>
      <c r="J550" s="1553"/>
      <c r="K550" s="1553"/>
      <c r="L550" s="1553"/>
      <c r="M550" s="1553"/>
      <c r="N550" s="1553"/>
      <c r="O550" s="1553"/>
      <c r="P550" s="1553"/>
      <c r="Q550" s="1553"/>
      <c r="R550" s="1553"/>
      <c r="S550" s="1553"/>
      <c r="T550" s="1553"/>
      <c r="U550" s="1553"/>
      <c r="V550" s="1553"/>
      <c r="W550" s="1553"/>
      <c r="X550" s="1553"/>
      <c r="Y550" s="1553"/>
      <c r="Z550" s="1553"/>
      <c r="AA550" s="1553"/>
      <c r="AB550" s="1553"/>
      <c r="AC550" s="1553"/>
      <c r="AD550" s="1553"/>
      <c r="AE550" s="1553"/>
      <c r="AF550" s="1553"/>
      <c r="AG550" s="1553"/>
      <c r="AH550" s="1553"/>
      <c r="AI550" s="1553"/>
      <c r="AJ550" s="1553"/>
      <c r="AK550" s="1553"/>
      <c r="AL550" s="1553"/>
      <c r="AM550" s="1553"/>
      <c r="AN550" s="1553"/>
      <c r="AO550" s="1553"/>
      <c r="AP550" s="1553"/>
      <c r="AQ550" s="1553"/>
      <c r="AR550" s="1553"/>
      <c r="AS550" s="1553"/>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53"/>
      <c r="B551" s="1553"/>
      <c r="C551" s="1553"/>
      <c r="D551" s="1553"/>
      <c r="E551" s="1553"/>
      <c r="F551" s="1553"/>
      <c r="G551" s="1553"/>
      <c r="H551" s="1553"/>
      <c r="I551" s="1553"/>
      <c r="J551" s="1553"/>
      <c r="K551" s="1553"/>
      <c r="L551" s="1553"/>
      <c r="M551" s="1553"/>
      <c r="N551" s="1553"/>
      <c r="O551" s="1553"/>
      <c r="P551" s="1553"/>
      <c r="Q551" s="1553"/>
      <c r="R551" s="1553"/>
      <c r="S551" s="1553"/>
      <c r="T551" s="1553"/>
      <c r="U551" s="1553"/>
      <c r="V551" s="1553"/>
      <c r="W551" s="1553"/>
      <c r="X551" s="1553"/>
      <c r="Y551" s="1553"/>
      <c r="Z551" s="1553"/>
      <c r="AA551" s="1553"/>
      <c r="AB551" s="1553"/>
      <c r="AC551" s="1553"/>
      <c r="AD551" s="1553"/>
      <c r="AE551" s="1553"/>
      <c r="AF551" s="1553"/>
      <c r="AG551" s="1553"/>
      <c r="AH551" s="1553"/>
      <c r="AI551" s="1553"/>
      <c r="AJ551" s="1553"/>
      <c r="AK551" s="1553"/>
      <c r="AL551" s="1553"/>
      <c r="AM551" s="1553"/>
      <c r="AN551" s="1553"/>
      <c r="AO551" s="1553"/>
      <c r="AP551" s="1553"/>
      <c r="AQ551" s="1553"/>
      <c r="AR551" s="1553"/>
      <c r="AS551" s="1553"/>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719</v>
      </c>
      <c r="B553" s="63"/>
      <c r="C553" s="63" t="s">
        <v>806</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2281</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439"/>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817" t="s">
        <v>807</v>
      </c>
      <c r="C557" s="1818"/>
      <c r="D557" s="1818"/>
      <c r="E557" s="1818"/>
      <c r="F557" s="1818"/>
      <c r="G557" s="1818"/>
      <c r="H557" s="1818"/>
      <c r="I557" s="1818"/>
      <c r="J557" s="1818"/>
      <c r="K557" s="1818"/>
      <c r="L557" s="1818"/>
      <c r="M557" s="1818"/>
      <c r="N557" s="1818"/>
      <c r="O557" s="1818"/>
      <c r="P557" s="1819"/>
      <c r="Q557" s="1817" t="s">
        <v>489</v>
      </c>
      <c r="R557" s="1818"/>
      <c r="S557" s="1819"/>
      <c r="T557" s="1817" t="s">
        <v>2282</v>
      </c>
      <c r="U557" s="1818"/>
      <c r="V557" s="1819"/>
      <c r="W557" s="1817" t="s">
        <v>808</v>
      </c>
      <c r="X557" s="1818"/>
      <c r="Y557" s="1819"/>
      <c r="Z557" s="1817" t="s">
        <v>2287</v>
      </c>
      <c r="AA557" s="1818"/>
      <c r="AB557" s="1818"/>
      <c r="AC557" s="1818"/>
      <c r="AD557" s="1819"/>
      <c r="AE557" s="1817" t="s">
        <v>2284</v>
      </c>
      <c r="AF557" s="1818"/>
      <c r="AG557" s="1818"/>
      <c r="AH557" s="1819"/>
      <c r="AI557" s="1817" t="s">
        <v>2288</v>
      </c>
      <c r="AJ557" s="1818"/>
      <c r="AK557" s="1818"/>
      <c r="AL557" s="1819"/>
      <c r="AM557" s="1817" t="s">
        <v>809</v>
      </c>
      <c r="AN557" s="1818"/>
      <c r="AO557" s="1818"/>
      <c r="AP557" s="1818"/>
      <c r="AQ557" s="1818"/>
      <c r="AR557" s="1818"/>
      <c r="AS557" s="1819"/>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820"/>
      <c r="C558" s="1821"/>
      <c r="D558" s="1821"/>
      <c r="E558" s="1821"/>
      <c r="F558" s="1821"/>
      <c r="G558" s="1821"/>
      <c r="H558" s="1821"/>
      <c r="I558" s="1821"/>
      <c r="J558" s="1821"/>
      <c r="K558" s="1821"/>
      <c r="L558" s="1821"/>
      <c r="M558" s="1821"/>
      <c r="N558" s="1821"/>
      <c r="O558" s="1821"/>
      <c r="P558" s="1822"/>
      <c r="Q558" s="1820"/>
      <c r="R558" s="1821"/>
      <c r="S558" s="1822"/>
      <c r="T558" s="1820"/>
      <c r="U558" s="1821"/>
      <c r="V558" s="1822"/>
      <c r="W558" s="1820"/>
      <c r="X558" s="1821"/>
      <c r="Y558" s="1822"/>
      <c r="Z558" s="1820"/>
      <c r="AA558" s="1821"/>
      <c r="AB558" s="1821"/>
      <c r="AC558" s="1821"/>
      <c r="AD558" s="1822"/>
      <c r="AE558" s="1820"/>
      <c r="AF558" s="1821"/>
      <c r="AG558" s="1821"/>
      <c r="AH558" s="1822"/>
      <c r="AI558" s="1820"/>
      <c r="AJ558" s="1821"/>
      <c r="AK558" s="1821"/>
      <c r="AL558" s="1822"/>
      <c r="AM558" s="1820"/>
      <c r="AN558" s="1821"/>
      <c r="AO558" s="1821"/>
      <c r="AP558" s="1821"/>
      <c r="AQ558" s="1821"/>
      <c r="AR558" s="1821"/>
      <c r="AS558" s="182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823"/>
      <c r="C559" s="1824"/>
      <c r="D559" s="1824"/>
      <c r="E559" s="1824"/>
      <c r="F559" s="1824"/>
      <c r="G559" s="1824"/>
      <c r="H559" s="1824"/>
      <c r="I559" s="1824"/>
      <c r="J559" s="1824"/>
      <c r="K559" s="1824"/>
      <c r="L559" s="1824"/>
      <c r="M559" s="1824"/>
      <c r="N559" s="1824"/>
      <c r="O559" s="1824"/>
      <c r="P559" s="1825"/>
      <c r="Q559" s="1823"/>
      <c r="R559" s="1824"/>
      <c r="S559" s="1825"/>
      <c r="T559" s="1823"/>
      <c r="U559" s="1824"/>
      <c r="V559" s="1825"/>
      <c r="W559" s="1823"/>
      <c r="X559" s="1824"/>
      <c r="Y559" s="1825"/>
      <c r="Z559" s="1823"/>
      <c r="AA559" s="1824"/>
      <c r="AB559" s="1824"/>
      <c r="AC559" s="1824"/>
      <c r="AD559" s="1825"/>
      <c r="AE559" s="1823"/>
      <c r="AF559" s="1824"/>
      <c r="AG559" s="1824"/>
      <c r="AH559" s="1825"/>
      <c r="AI559" s="1823"/>
      <c r="AJ559" s="1824"/>
      <c r="AK559" s="1824"/>
      <c r="AL559" s="1825"/>
      <c r="AM559" s="1823"/>
      <c r="AN559" s="1824"/>
      <c r="AO559" s="1824"/>
      <c r="AP559" s="1824"/>
      <c r="AQ559" s="1824"/>
      <c r="AR559" s="1824"/>
      <c r="AS559" s="1825"/>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1004</v>
      </c>
      <c r="C560" s="1701" t="s">
        <v>2524</v>
      </c>
      <c r="D560" s="1701"/>
      <c r="E560" s="1701"/>
      <c r="F560" s="1701"/>
      <c r="G560" s="1701"/>
      <c r="H560" s="1701"/>
      <c r="I560" s="1701"/>
      <c r="J560" s="1701"/>
      <c r="K560" s="1701"/>
      <c r="L560" s="1701"/>
      <c r="M560" s="1701"/>
      <c r="N560" s="1701"/>
      <c r="O560" s="1701"/>
      <c r="P560" s="2040"/>
      <c r="Q560" s="1855">
        <v>22</v>
      </c>
      <c r="R560" s="1855"/>
      <c r="S560" s="1978"/>
      <c r="T560" s="1977">
        <v>22</v>
      </c>
      <c r="U560" s="1855"/>
      <c r="V560" s="1978"/>
      <c r="W560" s="2042">
        <v>3.3000000000000002E-2</v>
      </c>
      <c r="X560" s="2043"/>
      <c r="Y560" s="2044"/>
      <c r="Z560" s="2045" t="s">
        <v>2475</v>
      </c>
      <c r="AA560" s="2045"/>
      <c r="AB560" s="2045"/>
      <c r="AC560" s="2045"/>
      <c r="AD560" s="2045"/>
      <c r="AE560" s="2046">
        <v>1</v>
      </c>
      <c r="AF560" s="2047"/>
      <c r="AG560" s="2047"/>
      <c r="AH560" s="2048"/>
      <c r="AI560" s="2049" t="s">
        <v>2484</v>
      </c>
      <c r="AJ560" s="2050"/>
      <c r="AK560" s="2050"/>
      <c r="AL560" s="2051"/>
      <c r="AM560" s="1709">
        <v>18958605</v>
      </c>
      <c r="AN560" s="1710"/>
      <c r="AO560" s="1710"/>
      <c r="AP560" s="1710"/>
      <c r="AQ560" s="1710"/>
      <c r="AR560" s="1710"/>
      <c r="AS560" s="1711"/>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1005</v>
      </c>
      <c r="C561" s="1701" t="s">
        <v>2508</v>
      </c>
      <c r="D561" s="1701"/>
      <c r="E561" s="1701"/>
      <c r="F561" s="1701"/>
      <c r="G561" s="1701"/>
      <c r="H561" s="1701"/>
      <c r="I561" s="1701"/>
      <c r="J561" s="1701"/>
      <c r="K561" s="1701"/>
      <c r="L561" s="1701"/>
      <c r="M561" s="1701"/>
      <c r="N561" s="1701"/>
      <c r="O561" s="1701"/>
      <c r="P561" s="2040"/>
      <c r="Q561" s="1977">
        <v>22</v>
      </c>
      <c r="R561" s="1855"/>
      <c r="S561" s="1978"/>
      <c r="T561" s="1977">
        <v>22</v>
      </c>
      <c r="U561" s="1855"/>
      <c r="V561" s="1978"/>
      <c r="W561" s="2042">
        <v>0.04</v>
      </c>
      <c r="X561" s="2043"/>
      <c r="Y561" s="2044"/>
      <c r="Z561" s="2045" t="s">
        <v>2476</v>
      </c>
      <c r="AA561" s="2045"/>
      <c r="AB561" s="2045"/>
      <c r="AC561" s="2045"/>
      <c r="AD561" s="2045"/>
      <c r="AE561" s="2046">
        <v>2</v>
      </c>
      <c r="AF561" s="2047"/>
      <c r="AG561" s="2047"/>
      <c r="AH561" s="2048"/>
      <c r="AI561" s="2049" t="s">
        <v>2485</v>
      </c>
      <c r="AJ561" s="2050"/>
      <c r="AK561" s="2050"/>
      <c r="AL561" s="2051"/>
      <c r="AM561" s="1709">
        <v>1800000</v>
      </c>
      <c r="AN561" s="1710"/>
      <c r="AO561" s="1710"/>
      <c r="AP561" s="1710"/>
      <c r="AQ561" s="1710"/>
      <c r="AR561" s="1710"/>
      <c r="AS561" s="1711"/>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1011</v>
      </c>
      <c r="C562" s="1701" t="s">
        <v>2472</v>
      </c>
      <c r="D562" s="1701"/>
      <c r="E562" s="1701"/>
      <c r="F562" s="1701"/>
      <c r="G562" s="1701"/>
      <c r="H562" s="1701"/>
      <c r="I562" s="1701"/>
      <c r="J562" s="1701"/>
      <c r="K562" s="1701"/>
      <c r="L562" s="1701"/>
      <c r="M562" s="1701"/>
      <c r="N562" s="1701"/>
      <c r="O562" s="1701"/>
      <c r="P562" s="2040"/>
      <c r="Q562" s="1977">
        <v>22</v>
      </c>
      <c r="R562" s="1855"/>
      <c r="S562" s="1978"/>
      <c r="T562" s="1977">
        <v>22</v>
      </c>
      <c r="U562" s="1855"/>
      <c r="V562" s="1978"/>
      <c r="W562" s="2042">
        <v>0.03</v>
      </c>
      <c r="X562" s="2043"/>
      <c r="Y562" s="2044"/>
      <c r="Z562" s="2045" t="s">
        <v>2476</v>
      </c>
      <c r="AA562" s="2045"/>
      <c r="AB562" s="2045"/>
      <c r="AC562" s="2045"/>
      <c r="AD562" s="2045"/>
      <c r="AE562" s="2046">
        <v>3</v>
      </c>
      <c r="AF562" s="2047"/>
      <c r="AG562" s="2047"/>
      <c r="AH562" s="2048"/>
      <c r="AI562" s="2049" t="s">
        <v>2485</v>
      </c>
      <c r="AJ562" s="2050"/>
      <c r="AK562" s="2050"/>
      <c r="AL562" s="2051"/>
      <c r="AM562" s="1709">
        <v>2700000</v>
      </c>
      <c r="AN562" s="1710"/>
      <c r="AO562" s="1710"/>
      <c r="AP562" s="1710"/>
      <c r="AQ562" s="1710"/>
      <c r="AR562" s="1710"/>
      <c r="AS562" s="1711"/>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480</v>
      </c>
      <c r="C563" s="1701" t="s">
        <v>2477</v>
      </c>
      <c r="D563" s="1701"/>
      <c r="E563" s="1701"/>
      <c r="F563" s="1701"/>
      <c r="G563" s="1701"/>
      <c r="H563" s="1701"/>
      <c r="I563" s="1701"/>
      <c r="J563" s="1701"/>
      <c r="K563" s="1701"/>
      <c r="L563" s="1701"/>
      <c r="M563" s="1701"/>
      <c r="N563" s="1701"/>
      <c r="O563" s="1701"/>
      <c r="P563" s="2040"/>
      <c r="Q563" s="1977"/>
      <c r="R563" s="1855"/>
      <c r="S563" s="1978"/>
      <c r="T563" s="1977"/>
      <c r="U563" s="1855"/>
      <c r="V563" s="1978"/>
      <c r="W563" s="2042"/>
      <c r="X563" s="2043"/>
      <c r="Y563" s="2044"/>
      <c r="Z563" s="2045" t="s">
        <v>136</v>
      </c>
      <c r="AA563" s="2045"/>
      <c r="AB563" s="2045"/>
      <c r="AC563" s="2045"/>
      <c r="AD563" s="2045"/>
      <c r="AE563" s="2046"/>
      <c r="AF563" s="2047"/>
      <c r="AG563" s="2047"/>
      <c r="AH563" s="2048"/>
      <c r="AI563" s="2049" t="s">
        <v>531</v>
      </c>
      <c r="AJ563" s="2050"/>
      <c r="AK563" s="2050"/>
      <c r="AL563" s="2051"/>
      <c r="AM563" s="1709">
        <v>1592720</v>
      </c>
      <c r="AN563" s="1710"/>
      <c r="AO563" s="1710"/>
      <c r="AP563" s="1710"/>
      <c r="AQ563" s="1710"/>
      <c r="AR563" s="1710"/>
      <c r="AS563" s="1711"/>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188</v>
      </c>
      <c r="C564" s="1701" t="s">
        <v>2478</v>
      </c>
      <c r="D564" s="1701"/>
      <c r="E564" s="1701"/>
      <c r="F564" s="1701"/>
      <c r="G564" s="1701"/>
      <c r="H564" s="1701"/>
      <c r="I564" s="1701"/>
      <c r="J564" s="1701"/>
      <c r="K564" s="1701"/>
      <c r="L564" s="1701"/>
      <c r="M564" s="1701"/>
      <c r="N564" s="1701"/>
      <c r="O564" s="1701"/>
      <c r="P564" s="2040"/>
      <c r="Q564" s="1977"/>
      <c r="R564" s="1855"/>
      <c r="S564" s="1978"/>
      <c r="T564" s="1977"/>
      <c r="U564" s="1855"/>
      <c r="V564" s="1978"/>
      <c r="W564" s="2042"/>
      <c r="X564" s="2043"/>
      <c r="Y564" s="2044"/>
      <c r="Z564" s="2045" t="s">
        <v>136</v>
      </c>
      <c r="AA564" s="2045"/>
      <c r="AB564" s="2045"/>
      <c r="AC564" s="2045"/>
      <c r="AD564" s="2045"/>
      <c r="AE564" s="2046"/>
      <c r="AF564" s="2047"/>
      <c r="AG564" s="2047"/>
      <c r="AH564" s="2048"/>
      <c r="AI564" s="2049" t="s">
        <v>865</v>
      </c>
      <c r="AJ564" s="2050"/>
      <c r="AK564" s="2050"/>
      <c r="AL564" s="2051"/>
      <c r="AM564" s="1709">
        <f>59541+79239</f>
        <v>138780</v>
      </c>
      <c r="AN564" s="1710"/>
      <c r="AO564" s="1710"/>
      <c r="AP564" s="1710"/>
      <c r="AQ564" s="1710"/>
      <c r="AR564" s="1710"/>
      <c r="AS564" s="1711"/>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483</v>
      </c>
      <c r="C565" s="1701" t="s">
        <v>2479</v>
      </c>
      <c r="D565" s="1701"/>
      <c r="E565" s="1701"/>
      <c r="F565" s="1701"/>
      <c r="G565" s="1701"/>
      <c r="H565" s="1701"/>
      <c r="I565" s="1701"/>
      <c r="J565" s="1701"/>
      <c r="K565" s="1701"/>
      <c r="L565" s="1701"/>
      <c r="M565" s="1701"/>
      <c r="N565" s="1701"/>
      <c r="O565" s="1701"/>
      <c r="P565" s="2040"/>
      <c r="Q565" s="1977"/>
      <c r="R565" s="1855"/>
      <c r="S565" s="1978"/>
      <c r="T565" s="1977"/>
      <c r="U565" s="1855"/>
      <c r="V565" s="1978"/>
      <c r="W565" s="2042"/>
      <c r="X565" s="2043"/>
      <c r="Y565" s="2044"/>
      <c r="Z565" s="2045" t="s">
        <v>136</v>
      </c>
      <c r="AA565" s="2045"/>
      <c r="AB565" s="2045"/>
      <c r="AC565" s="2045"/>
      <c r="AD565" s="2045"/>
      <c r="AE565" s="2046"/>
      <c r="AF565" s="2047"/>
      <c r="AG565" s="2047"/>
      <c r="AH565" s="2048"/>
      <c r="AI565" s="2049" t="s">
        <v>2483</v>
      </c>
      <c r="AJ565" s="2050"/>
      <c r="AK565" s="2050"/>
      <c r="AL565" s="2051"/>
      <c r="AM565" s="1709">
        <v>2104036</v>
      </c>
      <c r="AN565" s="1710"/>
      <c r="AO565" s="1710"/>
      <c r="AP565" s="1710"/>
      <c r="AQ565" s="1710"/>
      <c r="AR565" s="1710"/>
      <c r="AS565" s="1711"/>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810</v>
      </c>
      <c r="C566" s="1701"/>
      <c r="D566" s="1701"/>
      <c r="E566" s="1701"/>
      <c r="F566" s="1701"/>
      <c r="G566" s="1701"/>
      <c r="H566" s="1701"/>
      <c r="I566" s="1701"/>
      <c r="J566" s="1701"/>
      <c r="K566" s="1701"/>
      <c r="L566" s="1701"/>
      <c r="M566" s="1701"/>
      <c r="N566" s="1701"/>
      <c r="O566" s="1701"/>
      <c r="P566" s="2040"/>
      <c r="Q566" s="1977"/>
      <c r="R566" s="1855"/>
      <c r="S566" s="1978"/>
      <c r="T566" s="1977"/>
      <c r="U566" s="1855"/>
      <c r="V566" s="1978"/>
      <c r="W566" s="2042"/>
      <c r="X566" s="2043"/>
      <c r="Y566" s="2044"/>
      <c r="Z566" s="2045" t="s">
        <v>2268</v>
      </c>
      <c r="AA566" s="2045"/>
      <c r="AB566" s="2045"/>
      <c r="AC566" s="2045"/>
      <c r="AD566" s="2045"/>
      <c r="AE566" s="2046"/>
      <c r="AF566" s="2047"/>
      <c r="AG566" s="2047"/>
      <c r="AH566" s="2048"/>
      <c r="AI566" s="2049"/>
      <c r="AJ566" s="2050"/>
      <c r="AK566" s="2050"/>
      <c r="AL566" s="2051"/>
      <c r="AM566" s="1709"/>
      <c r="AN566" s="1710"/>
      <c r="AO566" s="1710"/>
      <c r="AP566" s="1710"/>
      <c r="AQ566" s="1710"/>
      <c r="AR566" s="1710"/>
      <c r="AS566" s="1711"/>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811</v>
      </c>
      <c r="C567" s="1701"/>
      <c r="D567" s="1701"/>
      <c r="E567" s="1701"/>
      <c r="F567" s="1701"/>
      <c r="G567" s="1701"/>
      <c r="H567" s="1701"/>
      <c r="I567" s="1701"/>
      <c r="J567" s="1701"/>
      <c r="K567" s="1701"/>
      <c r="L567" s="1701"/>
      <c r="M567" s="1701"/>
      <c r="N567" s="1701"/>
      <c r="O567" s="1701"/>
      <c r="P567" s="2040"/>
      <c r="Q567" s="1977"/>
      <c r="R567" s="1855"/>
      <c r="S567" s="1978"/>
      <c r="T567" s="1977"/>
      <c r="U567" s="1855"/>
      <c r="V567" s="1978"/>
      <c r="W567" s="2042"/>
      <c r="X567" s="2043"/>
      <c r="Y567" s="2044"/>
      <c r="Z567" s="2045" t="s">
        <v>2268</v>
      </c>
      <c r="AA567" s="2045"/>
      <c r="AB567" s="2045"/>
      <c r="AC567" s="2045"/>
      <c r="AD567" s="2045"/>
      <c r="AE567" s="2046"/>
      <c r="AF567" s="2047"/>
      <c r="AG567" s="2047"/>
      <c r="AH567" s="2048"/>
      <c r="AI567" s="2049"/>
      <c r="AJ567" s="2050"/>
      <c r="AK567" s="2050"/>
      <c r="AL567" s="2051"/>
      <c r="AM567" s="1709"/>
      <c r="AN567" s="1710"/>
      <c r="AO567" s="1710"/>
      <c r="AP567" s="1710"/>
      <c r="AQ567" s="1710"/>
      <c r="AR567" s="1710"/>
      <c r="AS567" s="1711"/>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606</v>
      </c>
      <c r="C568" s="1701"/>
      <c r="D568" s="1701"/>
      <c r="E568" s="1701"/>
      <c r="F568" s="1701"/>
      <c r="G568" s="1701"/>
      <c r="H568" s="1701"/>
      <c r="I568" s="1701"/>
      <c r="J568" s="1701"/>
      <c r="K568" s="1701"/>
      <c r="L568" s="1701"/>
      <c r="M568" s="1701"/>
      <c r="N568" s="1701"/>
      <c r="O568" s="1701"/>
      <c r="P568" s="2040"/>
      <c r="Q568" s="1977"/>
      <c r="R568" s="1855"/>
      <c r="S568" s="1978"/>
      <c r="T568" s="1977"/>
      <c r="U568" s="1855"/>
      <c r="V568" s="1978"/>
      <c r="W568" s="2042"/>
      <c r="X568" s="2043"/>
      <c r="Y568" s="2044"/>
      <c r="Z568" s="2045" t="s">
        <v>2268</v>
      </c>
      <c r="AA568" s="2045"/>
      <c r="AB568" s="2045"/>
      <c r="AC568" s="2045"/>
      <c r="AD568" s="2045"/>
      <c r="AE568" s="2046"/>
      <c r="AF568" s="2047"/>
      <c r="AG568" s="2047"/>
      <c r="AH568" s="2048"/>
      <c r="AI568" s="2049"/>
      <c r="AJ568" s="2050"/>
      <c r="AK568" s="2050"/>
      <c r="AL568" s="2051"/>
      <c r="AM568" s="1709"/>
      <c r="AN568" s="1710"/>
      <c r="AO568" s="1710"/>
      <c r="AP568" s="1710"/>
      <c r="AQ568" s="1710"/>
      <c r="AR568" s="1710"/>
      <c r="AS568" s="1711"/>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191</v>
      </c>
      <c r="C569" s="1701"/>
      <c r="D569" s="1701"/>
      <c r="E569" s="1701"/>
      <c r="F569" s="1701"/>
      <c r="G569" s="1701"/>
      <c r="H569" s="1701"/>
      <c r="I569" s="1701"/>
      <c r="J569" s="1701"/>
      <c r="K569" s="1701"/>
      <c r="L569" s="1701"/>
      <c r="M569" s="1701"/>
      <c r="N569" s="1701"/>
      <c r="O569" s="1701"/>
      <c r="P569" s="2040"/>
      <c r="Q569" s="1977"/>
      <c r="R569" s="1855"/>
      <c r="S569" s="1978"/>
      <c r="T569" s="1977"/>
      <c r="U569" s="1855"/>
      <c r="V569" s="1978"/>
      <c r="W569" s="2042"/>
      <c r="X569" s="2043"/>
      <c r="Y569" s="2044"/>
      <c r="Z569" s="2045" t="s">
        <v>2268</v>
      </c>
      <c r="AA569" s="2045"/>
      <c r="AB569" s="2045"/>
      <c r="AC569" s="2045"/>
      <c r="AD569" s="2045"/>
      <c r="AE569" s="2046"/>
      <c r="AF569" s="2047"/>
      <c r="AG569" s="2047"/>
      <c r="AH569" s="2048"/>
      <c r="AI569" s="2049"/>
      <c r="AJ569" s="2050"/>
      <c r="AK569" s="2050"/>
      <c r="AL569" s="2051"/>
      <c r="AM569" s="1709"/>
      <c r="AN569" s="1710"/>
      <c r="AO569" s="1710"/>
      <c r="AP569" s="1710"/>
      <c r="AQ569" s="1710"/>
      <c r="AR569" s="1710"/>
      <c r="AS569" s="1711"/>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701"/>
      <c r="D570" s="1701"/>
      <c r="E570" s="1701"/>
      <c r="F570" s="1701"/>
      <c r="G570" s="1701"/>
      <c r="H570" s="1701"/>
      <c r="I570" s="1701"/>
      <c r="J570" s="1701"/>
      <c r="K570" s="1701"/>
      <c r="L570" s="1701"/>
      <c r="M570" s="1701"/>
      <c r="N570" s="1701"/>
      <c r="O570" s="1701"/>
      <c r="P570" s="2040"/>
      <c r="Q570" s="1977"/>
      <c r="R570" s="1855"/>
      <c r="S570" s="1978"/>
      <c r="T570" s="1977"/>
      <c r="U570" s="1855"/>
      <c r="V570" s="1978"/>
      <c r="W570" s="2042"/>
      <c r="X570" s="2043"/>
      <c r="Y570" s="2044"/>
      <c r="Z570" s="2045" t="s">
        <v>2268</v>
      </c>
      <c r="AA570" s="2045"/>
      <c r="AB570" s="2045"/>
      <c r="AC570" s="2045"/>
      <c r="AD570" s="2045"/>
      <c r="AE570" s="2046"/>
      <c r="AF570" s="2047"/>
      <c r="AG570" s="2047"/>
      <c r="AH570" s="2048"/>
      <c r="AI570" s="2049"/>
      <c r="AJ570" s="2050"/>
      <c r="AK570" s="2050"/>
      <c r="AL570" s="2051"/>
      <c r="AM570" s="1709"/>
      <c r="AN570" s="1710"/>
      <c r="AO570" s="1710"/>
      <c r="AP570" s="1710"/>
      <c r="AQ570" s="1710"/>
      <c r="AR570" s="1710"/>
      <c r="AS570" s="1711"/>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701"/>
      <c r="D571" s="1701"/>
      <c r="E571" s="1701"/>
      <c r="F571" s="1701"/>
      <c r="G571" s="1701"/>
      <c r="H571" s="1701"/>
      <c r="I571" s="1701"/>
      <c r="J571" s="1701"/>
      <c r="K571" s="1701"/>
      <c r="L571" s="1701"/>
      <c r="M571" s="1701"/>
      <c r="N571" s="1701"/>
      <c r="O571" s="1701"/>
      <c r="P571" s="2040"/>
      <c r="Q571" s="1977"/>
      <c r="R571" s="1855"/>
      <c r="S571" s="1978"/>
      <c r="T571" s="1977"/>
      <c r="U571" s="1855"/>
      <c r="V571" s="1978"/>
      <c r="W571" s="2042"/>
      <c r="X571" s="2043"/>
      <c r="Y571" s="2044"/>
      <c r="Z571" s="2045" t="s">
        <v>2268</v>
      </c>
      <c r="AA571" s="2045"/>
      <c r="AB571" s="2045"/>
      <c r="AC571" s="2045"/>
      <c r="AD571" s="2045"/>
      <c r="AE571" s="2046"/>
      <c r="AF571" s="2047"/>
      <c r="AG571" s="2047"/>
      <c r="AH571" s="2048"/>
      <c r="AI571" s="2049"/>
      <c r="AJ571" s="2050"/>
      <c r="AK571" s="2050"/>
      <c r="AL571" s="2051"/>
      <c r="AM571" s="1709"/>
      <c r="AN571" s="1710"/>
      <c r="AO571" s="1710"/>
      <c r="AP571" s="1710"/>
      <c r="AQ571" s="1710"/>
      <c r="AR571" s="1710"/>
      <c r="AS571" s="1711"/>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95" t="s">
        <v>401</v>
      </c>
      <c r="C572" s="1796"/>
      <c r="D572" s="1796"/>
      <c r="E572" s="1796"/>
      <c r="F572" s="1796"/>
      <c r="G572" s="1796"/>
      <c r="H572" s="1796"/>
      <c r="I572" s="1796"/>
      <c r="J572" s="1796"/>
      <c r="K572" s="1796"/>
      <c r="L572" s="1796"/>
      <c r="M572" s="1796"/>
      <c r="N572" s="1796"/>
      <c r="O572" s="1796"/>
      <c r="P572" s="1796"/>
      <c r="Q572" s="1796"/>
      <c r="R572" s="1796"/>
      <c r="S572" s="1796"/>
      <c r="T572" s="1796"/>
      <c r="U572" s="2087"/>
      <c r="V572" s="1796"/>
      <c r="W572" s="1796"/>
      <c r="X572" s="1796"/>
      <c r="Y572" s="1796"/>
      <c r="Z572" s="1796"/>
      <c r="AA572" s="1796"/>
      <c r="AB572" s="1796"/>
      <c r="AC572" s="1796"/>
      <c r="AD572" s="1796"/>
      <c r="AE572" s="1796"/>
      <c r="AF572" s="1796"/>
      <c r="AG572" s="1796"/>
      <c r="AH572" s="1796"/>
      <c r="AI572" s="1796"/>
      <c r="AJ572" s="1796"/>
      <c r="AK572" s="1796"/>
      <c r="AL572" s="1797"/>
      <c r="AM572" s="1716">
        <f>SUM(AM560:AS571)</f>
        <v>27294141</v>
      </c>
      <c r="AN572" s="1717"/>
      <c r="AO572" s="1717"/>
      <c r="AP572" s="1717"/>
      <c r="AQ572" s="1717"/>
      <c r="AR572" s="1717"/>
      <c r="AS572" s="1718"/>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6"/>
      <c r="AF573" s="1396"/>
      <c r="AG573" s="1396"/>
      <c r="AH573" s="1396"/>
      <c r="AI573" s="1396"/>
      <c r="AJ573" s="1396"/>
      <c r="AK573" s="1396"/>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1004</v>
      </c>
      <c r="B574" s="16" t="s">
        <v>93</v>
      </c>
      <c r="G574" s="1850" t="str">
        <f>C560</f>
        <v>US Bank Construction Loan</v>
      </c>
      <c r="H574" s="1850"/>
      <c r="I574" s="1850"/>
      <c r="J574" s="1850"/>
      <c r="K574" s="1850"/>
      <c r="L574" s="1850"/>
      <c r="M574" s="1850"/>
      <c r="N574" s="1850"/>
      <c r="O574" s="1850"/>
      <c r="P574" s="1850"/>
      <c r="Q574" s="1850"/>
      <c r="R574" s="1850"/>
      <c r="S574" s="18"/>
      <c r="T574" s="101" t="s">
        <v>1005</v>
      </c>
      <c r="U574" s="16" t="s">
        <v>93</v>
      </c>
      <c r="Z574" s="1850" t="str">
        <f>C561</f>
        <v>Housing Relinquished Fund Corp Loan</v>
      </c>
      <c r="AA574" s="1850"/>
      <c r="AB574" s="1850"/>
      <c r="AC574" s="1850"/>
      <c r="AD574" s="1850"/>
      <c r="AE574" s="1850"/>
      <c r="AF574" s="1850"/>
      <c r="AG574" s="1850"/>
      <c r="AH574" s="1850"/>
      <c r="AI574" s="1850"/>
      <c r="AJ574" s="1850"/>
      <c r="AK574" s="1850"/>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416</v>
      </c>
      <c r="G575" s="1697" t="s">
        <v>2518</v>
      </c>
      <c r="H575" s="1697"/>
      <c r="I575" s="1697"/>
      <c r="J575" s="1697"/>
      <c r="K575" s="1697"/>
      <c r="L575" s="1697"/>
      <c r="M575" s="1697"/>
      <c r="N575" s="1697"/>
      <c r="O575" s="1697"/>
      <c r="P575" s="1697"/>
      <c r="Q575" s="1697"/>
      <c r="R575" s="1697"/>
      <c r="S575" s="18"/>
      <c r="T575" s="46"/>
      <c r="U575" s="16" t="s">
        <v>416</v>
      </c>
      <c r="Z575" s="1697" t="s">
        <v>2391</v>
      </c>
      <c r="AA575" s="1697"/>
      <c r="AB575" s="1697"/>
      <c r="AC575" s="1697"/>
      <c r="AD575" s="1697"/>
      <c r="AE575" s="1697"/>
      <c r="AF575" s="1697"/>
      <c r="AG575" s="1697"/>
      <c r="AH575" s="1697"/>
      <c r="AI575" s="1697"/>
      <c r="AJ575" s="1697"/>
      <c r="AK575" s="1697"/>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479</v>
      </c>
      <c r="G576" s="1697" t="s">
        <v>121</v>
      </c>
      <c r="H576" s="1697"/>
      <c r="I576" s="1697"/>
      <c r="J576" s="1697"/>
      <c r="K576" s="1697"/>
      <c r="L576" s="1697"/>
      <c r="M576" s="1697"/>
      <c r="N576" s="1697"/>
      <c r="O576" s="1697"/>
      <c r="P576" s="1697"/>
      <c r="Q576" s="1697"/>
      <c r="R576" s="1697"/>
      <c r="S576" s="102"/>
      <c r="T576" s="46"/>
      <c r="U576" s="16" t="s">
        <v>479</v>
      </c>
      <c r="Z576" s="1696" t="s">
        <v>439</v>
      </c>
      <c r="AA576" s="1696"/>
      <c r="AB576" s="1696"/>
      <c r="AC576" s="1696"/>
      <c r="AD576" s="1696"/>
      <c r="AE576" s="1696"/>
      <c r="AF576" s="1696"/>
      <c r="AG576" s="1696"/>
      <c r="AH576" s="1696"/>
      <c r="AI576" s="1696"/>
      <c r="AJ576" s="1696"/>
      <c r="AK576" s="1696"/>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915</v>
      </c>
      <c r="G577" s="1697" t="s">
        <v>2513</v>
      </c>
      <c r="H577" s="1697"/>
      <c r="I577" s="1697"/>
      <c r="J577" s="1697"/>
      <c r="K577" s="1697"/>
      <c r="L577" s="1697"/>
      <c r="M577" s="1697"/>
      <c r="N577" s="1697"/>
      <c r="O577" s="1697"/>
      <c r="P577" s="1697"/>
      <c r="Q577" s="1697"/>
      <c r="R577" s="1697"/>
      <c r="S577" s="18"/>
      <c r="T577" s="46"/>
      <c r="U577" s="16" t="s">
        <v>915</v>
      </c>
      <c r="Z577" s="1696" t="s">
        <v>2434</v>
      </c>
      <c r="AA577" s="1696"/>
      <c r="AB577" s="1696"/>
      <c r="AC577" s="1696"/>
      <c r="AD577" s="1696"/>
      <c r="AE577" s="1696"/>
      <c r="AF577" s="1696"/>
      <c r="AG577" s="1696"/>
      <c r="AH577" s="1696"/>
      <c r="AI577" s="1696"/>
      <c r="AJ577" s="1696"/>
      <c r="AK577" s="1696"/>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716</v>
      </c>
      <c r="G578" s="1688" t="s">
        <v>2514</v>
      </c>
      <c r="H578" s="1689"/>
      <c r="I578" s="1689"/>
      <c r="J578" s="1689"/>
      <c r="K578" s="1689"/>
      <c r="L578" s="1689"/>
      <c r="O578" s="149" t="s">
        <v>900</v>
      </c>
      <c r="P578" s="1702"/>
      <c r="Q578" s="1702"/>
      <c r="R578" s="1702"/>
      <c r="S578" s="20"/>
      <c r="T578" s="46"/>
      <c r="U578" s="16" t="s">
        <v>716</v>
      </c>
      <c r="Z578" s="1688" t="s">
        <v>2500</v>
      </c>
      <c r="AA578" s="1689"/>
      <c r="AB578" s="1689"/>
      <c r="AC578" s="1689"/>
      <c r="AD578" s="1689"/>
      <c r="AE578" s="1689"/>
      <c r="AH578" s="149" t="s">
        <v>900</v>
      </c>
      <c r="AI578" s="1702"/>
      <c r="AJ578" s="1702"/>
      <c r="AK578" s="1702"/>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916</v>
      </c>
      <c r="H579" s="1697" t="s">
        <v>2471</v>
      </c>
      <c r="I579" s="1697"/>
      <c r="J579" s="1697"/>
      <c r="K579" s="1697"/>
      <c r="L579" s="1697"/>
      <c r="M579" s="1697"/>
      <c r="N579" s="1697"/>
      <c r="O579" s="1697"/>
      <c r="P579" s="1697"/>
      <c r="Q579" s="1697"/>
      <c r="R579" s="1697"/>
      <c r="S579" s="18"/>
      <c r="T579" s="46"/>
      <c r="U579" s="16" t="s">
        <v>916</v>
      </c>
      <c r="AA579" s="1697" t="s">
        <v>2509</v>
      </c>
      <c r="AB579" s="1697"/>
      <c r="AC579" s="1697"/>
      <c r="AD579" s="1697"/>
      <c r="AE579" s="1697"/>
      <c r="AF579" s="1697"/>
      <c r="AG579" s="1697"/>
      <c r="AH579" s="1697"/>
      <c r="AI579" s="1697"/>
      <c r="AJ579" s="1697"/>
      <c r="AK579" s="1697"/>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918</v>
      </c>
      <c r="N580" s="1694" t="s">
        <v>119</v>
      </c>
      <c r="O580" s="1694"/>
      <c r="T580" s="46"/>
      <c r="U580" s="16" t="s">
        <v>918</v>
      </c>
      <c r="AG580" s="1694" t="s">
        <v>119</v>
      </c>
      <c r="AH580" s="1694"/>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1011</v>
      </c>
      <c r="B582" s="16" t="s">
        <v>93</v>
      </c>
      <c r="G582" s="1850" t="str">
        <f>C562</f>
        <v>City of Fresno Loan</v>
      </c>
      <c r="H582" s="1850"/>
      <c r="I582" s="1850"/>
      <c r="J582" s="1850"/>
      <c r="K582" s="1850"/>
      <c r="L582" s="1850"/>
      <c r="M582" s="1850"/>
      <c r="N582" s="1850"/>
      <c r="O582" s="1850"/>
      <c r="P582" s="1850"/>
      <c r="Q582" s="1850"/>
      <c r="R582" s="1850"/>
      <c r="T582" s="101" t="s">
        <v>480</v>
      </c>
      <c r="U582" s="16" t="s">
        <v>93</v>
      </c>
      <c r="Z582" s="1850" t="str">
        <f>C563</f>
        <v xml:space="preserve">Cost Deferred Until Conversion </v>
      </c>
      <c r="AA582" s="1850"/>
      <c r="AB582" s="1850"/>
      <c r="AC582" s="1850"/>
      <c r="AD582" s="1850"/>
      <c r="AE582" s="1850"/>
      <c r="AF582" s="1850"/>
      <c r="AG582" s="1850"/>
      <c r="AH582" s="1850"/>
      <c r="AI582" s="1850"/>
      <c r="AJ582" s="1850"/>
      <c r="AK582" s="1850"/>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416</v>
      </c>
      <c r="G583" s="1697" t="s">
        <v>2522</v>
      </c>
      <c r="H583" s="1697"/>
      <c r="I583" s="1697"/>
      <c r="J583" s="1697"/>
      <c r="K583" s="1697"/>
      <c r="L583" s="1697"/>
      <c r="M583" s="1697"/>
      <c r="N583" s="1697"/>
      <c r="O583" s="1697"/>
      <c r="P583" s="1697"/>
      <c r="Q583" s="1697"/>
      <c r="R583" s="1697"/>
      <c r="T583" s="46"/>
      <c r="U583" s="16" t="s">
        <v>416</v>
      </c>
      <c r="Z583" s="1697" t="s">
        <v>2391</v>
      </c>
      <c r="AA583" s="1697"/>
      <c r="AB583" s="1697"/>
      <c r="AC583" s="1697"/>
      <c r="AD583" s="1697"/>
      <c r="AE583" s="1697"/>
      <c r="AF583" s="1697"/>
      <c r="AG583" s="1697"/>
      <c r="AH583" s="1697"/>
      <c r="AI583" s="1697"/>
      <c r="AJ583" s="1697"/>
      <c r="AK583" s="1697"/>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479</v>
      </c>
      <c r="G584" s="1696" t="s">
        <v>439</v>
      </c>
      <c r="H584" s="1696"/>
      <c r="I584" s="1696"/>
      <c r="J584" s="1696"/>
      <c r="K584" s="1696"/>
      <c r="L584" s="1696"/>
      <c r="M584" s="1696"/>
      <c r="N584" s="1696"/>
      <c r="O584" s="1696"/>
      <c r="P584" s="1696"/>
      <c r="Q584" s="1696"/>
      <c r="R584" s="1696"/>
      <c r="T584" s="46"/>
      <c r="U584" s="16" t="s">
        <v>479</v>
      </c>
      <c r="Z584" s="1696" t="s">
        <v>439</v>
      </c>
      <c r="AA584" s="1696"/>
      <c r="AB584" s="1696"/>
      <c r="AC584" s="1696"/>
      <c r="AD584" s="1696"/>
      <c r="AE584" s="1696"/>
      <c r="AF584" s="1696"/>
      <c r="AG584" s="1696"/>
      <c r="AH584" s="1696"/>
      <c r="AI584" s="1696"/>
      <c r="AJ584" s="1696"/>
      <c r="AK584" s="169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915</v>
      </c>
      <c r="G585" s="1696" t="s">
        <v>2515</v>
      </c>
      <c r="H585" s="1696"/>
      <c r="I585" s="1696"/>
      <c r="J585" s="1696"/>
      <c r="K585" s="1696"/>
      <c r="L585" s="1696"/>
      <c r="M585" s="1696"/>
      <c r="N585" s="1696"/>
      <c r="O585" s="1696"/>
      <c r="P585" s="1696"/>
      <c r="Q585" s="1696"/>
      <c r="R585" s="1696"/>
      <c r="T585" s="46"/>
      <c r="U585" s="16" t="s">
        <v>915</v>
      </c>
      <c r="Z585" s="1696" t="s">
        <v>2434</v>
      </c>
      <c r="AA585" s="1696"/>
      <c r="AB585" s="1696"/>
      <c r="AC585" s="1696"/>
      <c r="AD585" s="1696"/>
      <c r="AE585" s="1696"/>
      <c r="AF585" s="1696"/>
      <c r="AG585" s="1696"/>
      <c r="AH585" s="1696"/>
      <c r="AI585" s="1696"/>
      <c r="AJ585" s="1696"/>
      <c r="AK585" s="1696"/>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716</v>
      </c>
      <c r="G586" s="1688" t="s">
        <v>2516</v>
      </c>
      <c r="H586" s="1689"/>
      <c r="I586" s="1689"/>
      <c r="J586" s="1689"/>
      <c r="K586" s="1689"/>
      <c r="L586" s="1689"/>
      <c r="O586" s="149" t="s">
        <v>900</v>
      </c>
      <c r="P586" s="1702"/>
      <c r="Q586" s="1702"/>
      <c r="R586" s="1702"/>
      <c r="T586" s="46"/>
      <c r="U586" s="16" t="s">
        <v>716</v>
      </c>
      <c r="Z586" s="1688" t="s">
        <v>2500</v>
      </c>
      <c r="AA586" s="1689"/>
      <c r="AB586" s="1689"/>
      <c r="AC586" s="1689"/>
      <c r="AD586" s="1689"/>
      <c r="AE586" s="1689"/>
      <c r="AH586" s="149" t="s">
        <v>900</v>
      </c>
      <c r="AI586" s="1702"/>
      <c r="AJ586" s="1702"/>
      <c r="AK586" s="1702"/>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916</v>
      </c>
      <c r="H587" s="1697" t="s">
        <v>2509</v>
      </c>
      <c r="I587" s="1697"/>
      <c r="J587" s="1697"/>
      <c r="K587" s="1697"/>
      <c r="L587" s="1697"/>
      <c r="M587" s="1697"/>
      <c r="N587" s="1697"/>
      <c r="O587" s="1697"/>
      <c r="P587" s="1697"/>
      <c r="Q587" s="1697"/>
      <c r="R587" s="1697"/>
      <c r="T587" s="46"/>
      <c r="U587" s="16" t="s">
        <v>916</v>
      </c>
      <c r="AA587" s="1697" t="s">
        <v>2510</v>
      </c>
      <c r="AB587" s="1697"/>
      <c r="AC587" s="1697"/>
      <c r="AD587" s="1697"/>
      <c r="AE587" s="1697"/>
      <c r="AF587" s="1697"/>
      <c r="AG587" s="1697"/>
      <c r="AH587" s="1697"/>
      <c r="AI587" s="1697"/>
      <c r="AJ587" s="1697"/>
      <c r="AK587" s="1697"/>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918</v>
      </c>
      <c r="N588" s="1729" t="s">
        <v>119</v>
      </c>
      <c r="O588" s="1729"/>
      <c r="T588" s="46"/>
      <c r="U588" s="16" t="s">
        <v>918</v>
      </c>
      <c r="AG588" s="1729" t="s">
        <v>119</v>
      </c>
      <c r="AH588" s="1729"/>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188</v>
      </c>
      <c r="B590" s="16" t="s">
        <v>93</v>
      </c>
      <c r="G590" s="1850" t="str">
        <f>C564</f>
        <v>Accrued/Deferred Interest</v>
      </c>
      <c r="H590" s="1850"/>
      <c r="I590" s="1850"/>
      <c r="J590" s="1850"/>
      <c r="K590" s="1850"/>
      <c r="L590" s="1850"/>
      <c r="M590" s="1850"/>
      <c r="N590" s="1850"/>
      <c r="O590" s="1850"/>
      <c r="P590" s="1850"/>
      <c r="Q590" s="1850"/>
      <c r="R590" s="1850"/>
      <c r="T590" s="101" t="s">
        <v>483</v>
      </c>
      <c r="U590" s="16" t="s">
        <v>93</v>
      </c>
      <c r="Z590" s="1850" t="str">
        <f>C565</f>
        <v>LP Equity</v>
      </c>
      <c r="AA590" s="1850"/>
      <c r="AB590" s="1850"/>
      <c r="AC590" s="1850"/>
      <c r="AD590" s="1850"/>
      <c r="AE590" s="1850"/>
      <c r="AF590" s="1850"/>
      <c r="AG590" s="1850"/>
      <c r="AH590" s="1850"/>
      <c r="AI590" s="1850"/>
      <c r="AJ590" s="1850"/>
      <c r="AK590" s="1850"/>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416</v>
      </c>
      <c r="G591" s="1697" t="s">
        <v>2391</v>
      </c>
      <c r="H591" s="1697"/>
      <c r="I591" s="1697"/>
      <c r="J591" s="1697"/>
      <c r="K591" s="1697"/>
      <c r="L591" s="1697"/>
      <c r="M591" s="1697"/>
      <c r="N591" s="1697"/>
      <c r="O591" s="1697"/>
      <c r="P591" s="1697"/>
      <c r="Q591" s="1697"/>
      <c r="R591" s="1697"/>
      <c r="T591" s="46"/>
      <c r="U591" s="16" t="s">
        <v>416</v>
      </c>
      <c r="Z591" s="1697" t="s">
        <v>2420</v>
      </c>
      <c r="AA591" s="1697"/>
      <c r="AB591" s="1697"/>
      <c r="AC591" s="1697"/>
      <c r="AD591" s="1697"/>
      <c r="AE591" s="1697"/>
      <c r="AF591" s="1697"/>
      <c r="AG591" s="1697"/>
      <c r="AH591" s="1697"/>
      <c r="AI591" s="1697"/>
      <c r="AJ591" s="1697"/>
      <c r="AK591" s="1697"/>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479</v>
      </c>
      <c r="G592" s="1697" t="s">
        <v>439</v>
      </c>
      <c r="H592" s="1697"/>
      <c r="I592" s="1697"/>
      <c r="J592" s="1697"/>
      <c r="K592" s="1697"/>
      <c r="L592" s="1697"/>
      <c r="M592" s="1697"/>
      <c r="N592" s="1697"/>
      <c r="O592" s="1697"/>
      <c r="P592" s="1697"/>
      <c r="Q592" s="1697"/>
      <c r="R592" s="1697"/>
      <c r="T592" s="46"/>
      <c r="U592" s="16" t="s">
        <v>479</v>
      </c>
      <c r="Z592" s="1696"/>
      <c r="AA592" s="1696"/>
      <c r="AB592" s="1696"/>
      <c r="AC592" s="1696"/>
      <c r="AD592" s="1696"/>
      <c r="AE592" s="1696"/>
      <c r="AF592" s="1696"/>
      <c r="AG592" s="1696"/>
      <c r="AH592" s="1696"/>
      <c r="AI592" s="1696"/>
      <c r="AJ592" s="1696"/>
      <c r="AK592" s="1696"/>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915</v>
      </c>
      <c r="G593" s="1697" t="s">
        <v>2434</v>
      </c>
      <c r="H593" s="1697"/>
      <c r="I593" s="1697"/>
      <c r="J593" s="1697"/>
      <c r="K593" s="1697"/>
      <c r="L593" s="1697"/>
      <c r="M593" s="1697"/>
      <c r="N593" s="1697"/>
      <c r="O593" s="1697"/>
      <c r="P593" s="1697"/>
      <c r="Q593" s="1697"/>
      <c r="R593" s="1697"/>
      <c r="T593" s="46"/>
      <c r="U593" s="16" t="s">
        <v>915</v>
      </c>
      <c r="Z593" s="1696"/>
      <c r="AA593" s="1696"/>
      <c r="AB593" s="1696"/>
      <c r="AC593" s="1696"/>
      <c r="AD593" s="1696"/>
      <c r="AE593" s="1696"/>
      <c r="AF593" s="1696"/>
      <c r="AG593" s="1696"/>
      <c r="AH593" s="1696"/>
      <c r="AI593" s="1696"/>
      <c r="AJ593" s="1696"/>
      <c r="AK593" s="1696"/>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716</v>
      </c>
      <c r="G594" s="1688" t="s">
        <v>2500</v>
      </c>
      <c r="H594" s="1689"/>
      <c r="I594" s="1689"/>
      <c r="J594" s="1689"/>
      <c r="K594" s="1689"/>
      <c r="L594" s="1689"/>
      <c r="O594" s="149" t="s">
        <v>900</v>
      </c>
      <c r="P594" s="1702"/>
      <c r="Q594" s="1702"/>
      <c r="R594" s="1702"/>
      <c r="T594" s="46"/>
      <c r="U594" s="16" t="s">
        <v>716</v>
      </c>
      <c r="Z594" s="1689"/>
      <c r="AA594" s="1689"/>
      <c r="AB594" s="1689"/>
      <c r="AC594" s="1689"/>
      <c r="AD594" s="1689"/>
      <c r="AE594" s="1689"/>
      <c r="AH594" s="149" t="s">
        <v>900</v>
      </c>
      <c r="AI594" s="1702"/>
      <c r="AJ594" s="1702"/>
      <c r="AK594" s="1702"/>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916</v>
      </c>
      <c r="H595" s="1697" t="s">
        <v>865</v>
      </c>
      <c r="I595" s="1697"/>
      <c r="J595" s="1697"/>
      <c r="K595" s="1697"/>
      <c r="L595" s="1697"/>
      <c r="M595" s="1697"/>
      <c r="N595" s="1697"/>
      <c r="O595" s="1697"/>
      <c r="P595" s="1697"/>
      <c r="Q595" s="1697"/>
      <c r="R595" s="1697"/>
      <c r="T595" s="46"/>
      <c r="U595" s="16" t="s">
        <v>916</v>
      </c>
      <c r="AA595" s="1697"/>
      <c r="AB595" s="1697"/>
      <c r="AC595" s="1697"/>
      <c r="AD595" s="1697"/>
      <c r="AE595" s="1697"/>
      <c r="AF595" s="1697"/>
      <c r="AG595" s="1697"/>
      <c r="AH595" s="1697"/>
      <c r="AI595" s="1697"/>
      <c r="AJ595" s="1697"/>
      <c r="AK595" s="1697"/>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918</v>
      </c>
      <c r="N596" s="1729" t="s">
        <v>119</v>
      </c>
      <c r="O596" s="1729"/>
      <c r="T596" s="46"/>
      <c r="U596" s="16" t="s">
        <v>918</v>
      </c>
      <c r="AG596" s="1729" t="s">
        <v>531</v>
      </c>
      <c r="AH596" s="1729"/>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810</v>
      </c>
      <c r="B598" s="16" t="s">
        <v>93</v>
      </c>
      <c r="G598" s="1850">
        <f>C566</f>
        <v>0</v>
      </c>
      <c r="H598" s="1850"/>
      <c r="I598" s="1850"/>
      <c r="J598" s="1850"/>
      <c r="K598" s="1850"/>
      <c r="L598" s="1850"/>
      <c r="M598" s="1850"/>
      <c r="N598" s="1850"/>
      <c r="O598" s="1850"/>
      <c r="P598" s="1850"/>
      <c r="Q598" s="1850"/>
      <c r="R598" s="1850"/>
      <c r="T598" s="101" t="s">
        <v>811</v>
      </c>
      <c r="U598" s="16" t="s">
        <v>93</v>
      </c>
      <c r="Z598" s="1850">
        <f>C567</f>
        <v>0</v>
      </c>
      <c r="AA598" s="1850"/>
      <c r="AB598" s="1850"/>
      <c r="AC598" s="1850"/>
      <c r="AD598" s="1850"/>
      <c r="AE598" s="1850"/>
      <c r="AF598" s="1850"/>
      <c r="AG598" s="1850"/>
      <c r="AH598" s="1850"/>
      <c r="AI598" s="1850"/>
      <c r="AJ598" s="1850"/>
      <c r="AK598" s="1850"/>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416</v>
      </c>
      <c r="G599" s="1697"/>
      <c r="H599" s="1697"/>
      <c r="I599" s="1697"/>
      <c r="J599" s="1697"/>
      <c r="K599" s="1697"/>
      <c r="L599" s="1697"/>
      <c r="M599" s="1697"/>
      <c r="N599" s="1697"/>
      <c r="O599" s="1697"/>
      <c r="P599" s="1697"/>
      <c r="Q599" s="1697"/>
      <c r="R599" s="1697"/>
      <c r="T599" s="46"/>
      <c r="U599" s="16" t="s">
        <v>416</v>
      </c>
      <c r="Z599" s="1697"/>
      <c r="AA599" s="1697"/>
      <c r="AB599" s="1697"/>
      <c r="AC599" s="1697"/>
      <c r="AD599" s="1697"/>
      <c r="AE599" s="1697"/>
      <c r="AF599" s="1697"/>
      <c r="AG599" s="1697"/>
      <c r="AH599" s="1697"/>
      <c r="AI599" s="1697"/>
      <c r="AJ599" s="1697"/>
      <c r="AK599" s="1697"/>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479</v>
      </c>
      <c r="C600" s="16"/>
      <c r="D600" s="16"/>
      <c r="E600" s="16"/>
      <c r="F600" s="16"/>
      <c r="G600" s="1697"/>
      <c r="H600" s="1697"/>
      <c r="I600" s="1697"/>
      <c r="J600" s="1697"/>
      <c r="K600" s="1697"/>
      <c r="L600" s="1697"/>
      <c r="M600" s="1697"/>
      <c r="N600" s="1697"/>
      <c r="O600" s="1697"/>
      <c r="P600" s="1697"/>
      <c r="Q600" s="1697"/>
      <c r="R600" s="1697"/>
      <c r="S600" s="16"/>
      <c r="T600" s="46"/>
      <c r="U600" s="16" t="s">
        <v>479</v>
      </c>
      <c r="V600" s="16"/>
      <c r="W600" s="16"/>
      <c r="X600" s="16"/>
      <c r="Y600" s="16"/>
      <c r="Z600" s="1696"/>
      <c r="AA600" s="1696"/>
      <c r="AB600" s="1696"/>
      <c r="AC600" s="1696"/>
      <c r="AD600" s="1696"/>
      <c r="AE600" s="1696"/>
      <c r="AF600" s="1696"/>
      <c r="AG600" s="1696"/>
      <c r="AH600" s="1696"/>
      <c r="AI600" s="1696"/>
      <c r="AJ600" s="1696"/>
      <c r="AK600" s="1696"/>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947</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915</v>
      </c>
      <c r="C601" s="16"/>
      <c r="D601" s="16"/>
      <c r="E601" s="16"/>
      <c r="F601" s="16"/>
      <c r="G601" s="1697"/>
      <c r="H601" s="1697"/>
      <c r="I601" s="1697"/>
      <c r="J601" s="1697"/>
      <c r="K601" s="1697"/>
      <c r="L601" s="1697"/>
      <c r="M601" s="1697"/>
      <c r="N601" s="1697"/>
      <c r="O601" s="1697"/>
      <c r="P601" s="1697"/>
      <c r="Q601" s="1697"/>
      <c r="R601" s="1697"/>
      <c r="S601" s="16"/>
      <c r="T601" s="46"/>
      <c r="U601" s="16" t="s">
        <v>915</v>
      </c>
      <c r="V601" s="16"/>
      <c r="W601" s="16"/>
      <c r="X601" s="16"/>
      <c r="Y601" s="16"/>
      <c r="Z601" s="1696"/>
      <c r="AA601" s="1696"/>
      <c r="AB601" s="1696"/>
      <c r="AC601" s="1696"/>
      <c r="AD601" s="1696"/>
      <c r="AE601" s="1696"/>
      <c r="AF601" s="1696"/>
      <c r="AG601" s="1696"/>
      <c r="AH601" s="1696"/>
      <c r="AI601" s="1696"/>
      <c r="AJ601" s="1696"/>
      <c r="AK601" s="1696"/>
      <c r="AL601" s="16"/>
      <c r="AM601" s="72"/>
      <c r="AN601" s="72"/>
      <c r="AO601" s="72"/>
      <c r="AP601" s="72"/>
      <c r="AQ601" s="72"/>
      <c r="AR601" s="72"/>
      <c r="AS601" s="72"/>
      <c r="AT601" s="72"/>
      <c r="AU601" s="72"/>
      <c r="AV601" s="72"/>
      <c r="AW601" s="72"/>
      <c r="AX601" s="72"/>
      <c r="AY601" s="72"/>
      <c r="AZ601" s="72"/>
      <c r="BN601" s="1440" t="s">
        <v>468</v>
      </c>
      <c r="BO601" s="1440"/>
      <c r="BP601" s="1440"/>
      <c r="BQ601" s="1441"/>
      <c r="BR601" s="1442"/>
      <c r="BS601" s="1440" t="s">
        <v>491</v>
      </c>
      <c r="BT601" s="1440"/>
      <c r="BU601" s="1440"/>
      <c r="BV601" s="1441"/>
      <c r="BW601" s="1442"/>
      <c r="BX601" s="1442" t="s">
        <v>853</v>
      </c>
      <c r="BY601" s="1440"/>
      <c r="BZ601" s="1440"/>
      <c r="CA601" s="1440"/>
      <c r="CB601" s="1440"/>
      <c r="CC601" s="1440" t="s">
        <v>854</v>
      </c>
      <c r="CD601" s="1440"/>
      <c r="CE601" s="1440"/>
      <c r="CF601" s="1440"/>
      <c r="CG601" s="1440"/>
      <c r="CH601" s="1440" t="s">
        <v>867</v>
      </c>
      <c r="CI601" s="1440"/>
      <c r="CJ601" s="1440"/>
      <c r="CK601" s="1440"/>
      <c r="CL601" s="1440"/>
      <c r="CM601" s="1440" t="s">
        <v>383</v>
      </c>
      <c r="CN601" s="1440"/>
      <c r="CO601" s="1440"/>
      <c r="CP601" s="1441"/>
      <c r="CQ601" s="1442"/>
      <c r="CS601" s="72" t="s">
        <v>983</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716</v>
      </c>
      <c r="C602" s="16"/>
      <c r="D602" s="16"/>
      <c r="E602" s="16"/>
      <c r="F602" s="16"/>
      <c r="G602" s="1689"/>
      <c r="H602" s="1689"/>
      <c r="I602" s="1689"/>
      <c r="J602" s="1689"/>
      <c r="K602" s="1689"/>
      <c r="L602" s="1689"/>
      <c r="M602" s="16"/>
      <c r="N602" s="16"/>
      <c r="O602" s="149" t="s">
        <v>900</v>
      </c>
      <c r="P602" s="1702"/>
      <c r="Q602" s="1702"/>
      <c r="R602" s="1702"/>
      <c r="S602" s="16"/>
      <c r="T602" s="46"/>
      <c r="U602" s="16" t="s">
        <v>716</v>
      </c>
      <c r="V602" s="16"/>
      <c r="W602" s="16"/>
      <c r="X602" s="16"/>
      <c r="Y602" s="16"/>
      <c r="Z602" s="1689"/>
      <c r="AA602" s="1689"/>
      <c r="AB602" s="1689"/>
      <c r="AC602" s="1689"/>
      <c r="AD602" s="1689"/>
      <c r="AE602" s="1689"/>
      <c r="AF602" s="16"/>
      <c r="AG602" s="16"/>
      <c r="AH602" s="149" t="s">
        <v>900</v>
      </c>
      <c r="AI602" s="1702"/>
      <c r="AJ602" s="1702"/>
      <c r="AK602" s="1702"/>
      <c r="AL602" s="16"/>
      <c r="AZ602" s="8" t="s">
        <v>490</v>
      </c>
      <c r="BA602" s="72"/>
      <c r="BB602" s="72"/>
      <c r="BC602" s="72"/>
      <c r="BD602" s="72"/>
      <c r="BE602" s="334" t="s">
        <v>392</v>
      </c>
      <c r="BF602" s="335"/>
      <c r="BG602" s="1810"/>
      <c r="BH602" s="1813"/>
      <c r="BI602" s="334" t="s">
        <v>393</v>
      </c>
      <c r="BJ602" s="335"/>
      <c r="BK602" s="1810"/>
      <c r="BL602" s="1813"/>
      <c r="BN602" s="1810">
        <f t="shared" ref="BN602:BN626" si="0">IF(B706="SRO/Studio",G706,0)</f>
        <v>0</v>
      </c>
      <c r="BO602" s="1811"/>
      <c r="BP602" s="1811"/>
      <c r="BQ602" s="1811"/>
      <c r="BR602" s="1812"/>
      <c r="BS602" s="1810">
        <f t="shared" ref="BS602:BS626" si="1">IF(B706="1 Bedroom",G706,0)</f>
        <v>7</v>
      </c>
      <c r="BT602" s="1811"/>
      <c r="BU602" s="1811"/>
      <c r="BV602" s="1811"/>
      <c r="BW602" s="1813"/>
      <c r="BX602" s="1810">
        <f t="shared" ref="BX602:BX626" si="2">IF(B706="2 Bedrooms",G706,0)</f>
        <v>0</v>
      </c>
      <c r="BY602" s="1811"/>
      <c r="BZ602" s="1811"/>
      <c r="CA602" s="1811"/>
      <c r="CB602" s="1813"/>
      <c r="CC602" s="1810">
        <f t="shared" ref="CC602:CC626" si="3">IF(B706="3 Bedrooms",G706,0)</f>
        <v>0</v>
      </c>
      <c r="CD602" s="1811"/>
      <c r="CE602" s="1811"/>
      <c r="CF602" s="1811"/>
      <c r="CG602" s="1813"/>
      <c r="CH602" s="1810">
        <f t="shared" ref="CH602:CH626" si="4">IF(B706="4 Bedrooms",G706,0)</f>
        <v>0</v>
      </c>
      <c r="CI602" s="1811"/>
      <c r="CJ602" s="1811"/>
      <c r="CK602" s="1811"/>
      <c r="CL602" s="1813"/>
      <c r="CM602" s="2158">
        <f t="shared" ref="CM602:CM626" si="5">IF(B706="5 Bedrooms",G706,0)</f>
        <v>0</v>
      </c>
      <c r="CN602" s="2159"/>
      <c r="CO602" s="2159"/>
      <c r="CP602" s="2159"/>
      <c r="CQ602" s="1812"/>
      <c r="CS602" s="1440" t="s">
        <v>468</v>
      </c>
      <c r="CT602" s="1440"/>
      <c r="CU602" s="1440"/>
      <c r="CV602" s="1440"/>
      <c r="CW602" s="1440"/>
      <c r="CX602" s="1440" t="s">
        <v>491</v>
      </c>
      <c r="CY602" s="1440"/>
      <c r="CZ602" s="1441"/>
      <c r="DA602" s="1443"/>
      <c r="DB602" s="1442"/>
      <c r="DC602" s="1440" t="s">
        <v>853</v>
      </c>
      <c r="DD602" s="1440"/>
      <c r="DE602" s="1440"/>
      <c r="DF602" s="1440"/>
      <c r="DG602" s="1440"/>
      <c r="DH602" s="1440" t="s">
        <v>854</v>
      </c>
      <c r="DI602" s="1440"/>
      <c r="DJ602" s="1440"/>
      <c r="DK602" s="1440"/>
      <c r="DL602" s="1440"/>
      <c r="DM602" s="1440" t="s">
        <v>867</v>
      </c>
      <c r="DN602" s="1440"/>
      <c r="DO602" s="1440"/>
      <c r="DP602" s="1440"/>
      <c r="DQ602" s="1440"/>
      <c r="DR602" s="1440" t="s">
        <v>383</v>
      </c>
      <c r="DS602" s="1440"/>
      <c r="DT602" s="1440"/>
      <c r="DU602" s="1440"/>
      <c r="DV602" s="1440"/>
    </row>
    <row r="603" spans="1:126" s="8" customFormat="1" ht="12.75">
      <c r="A603" s="46"/>
      <c r="B603" s="16" t="s">
        <v>916</v>
      </c>
      <c r="C603" s="16"/>
      <c r="D603" s="16"/>
      <c r="E603" s="16"/>
      <c r="F603" s="16"/>
      <c r="G603" s="16"/>
      <c r="H603" s="1697"/>
      <c r="I603" s="1697"/>
      <c r="J603" s="1697"/>
      <c r="K603" s="1697"/>
      <c r="L603" s="1697"/>
      <c r="M603" s="1697"/>
      <c r="N603" s="1697"/>
      <c r="O603" s="1697"/>
      <c r="P603" s="1697"/>
      <c r="Q603" s="1697"/>
      <c r="R603" s="1697"/>
      <c r="S603" s="16"/>
      <c r="T603" s="46"/>
      <c r="U603" s="16" t="s">
        <v>916</v>
      </c>
      <c r="V603" s="16"/>
      <c r="W603" s="16"/>
      <c r="X603" s="16"/>
      <c r="Y603" s="16"/>
      <c r="Z603" s="16"/>
      <c r="AA603" s="1697"/>
      <c r="AB603" s="1697"/>
      <c r="AC603" s="1697"/>
      <c r="AD603" s="1697"/>
      <c r="AE603" s="1697"/>
      <c r="AF603" s="1697"/>
      <c r="AG603" s="1697"/>
      <c r="AH603" s="1697"/>
      <c r="AI603" s="1697"/>
      <c r="AJ603" s="1697"/>
      <c r="AK603" s="1697"/>
      <c r="AL603" s="16"/>
      <c r="AZ603" s="8" t="s">
        <v>491</v>
      </c>
      <c r="BA603" s="72"/>
      <c r="BB603" s="72"/>
      <c r="BC603" s="72"/>
      <c r="BD603" s="72"/>
      <c r="BE603" s="1814">
        <f>IF(AND(AH706&lt;=0.5,AH706&gt;=0.36),1,0)</f>
        <v>0</v>
      </c>
      <c r="BF603" s="1815"/>
      <c r="BG603" s="1810">
        <f t="shared" ref="BG603:BG627" si="6">IF(BE603=1,G706,0)</f>
        <v>0</v>
      </c>
      <c r="BH603" s="1813"/>
      <c r="BI603" s="1814">
        <f>IF(AND(AH706&lt;=0.35,AH706&gt;0),1,0)</f>
        <v>1</v>
      </c>
      <c r="BJ603" s="1815"/>
      <c r="BK603" s="1810">
        <f t="shared" ref="BK603:BK627" si="7">IF(BI603=1,G706,0)</f>
        <v>7</v>
      </c>
      <c r="BL603" s="1813"/>
      <c r="BN603" s="1810">
        <f t="shared" si="0"/>
        <v>0</v>
      </c>
      <c r="BO603" s="1811"/>
      <c r="BP603" s="1811"/>
      <c r="BQ603" s="1811"/>
      <c r="BR603" s="1812"/>
      <c r="BS603" s="1810">
        <f t="shared" si="1"/>
        <v>0</v>
      </c>
      <c r="BT603" s="1811"/>
      <c r="BU603" s="1811"/>
      <c r="BV603" s="1811"/>
      <c r="BW603" s="1813"/>
      <c r="BX603" s="1810">
        <f t="shared" si="2"/>
        <v>0</v>
      </c>
      <c r="BY603" s="1811"/>
      <c r="BZ603" s="1811"/>
      <c r="CA603" s="1811"/>
      <c r="CB603" s="1813"/>
      <c r="CC603" s="1810">
        <f t="shared" si="3"/>
        <v>0</v>
      </c>
      <c r="CD603" s="1811"/>
      <c r="CE603" s="1811"/>
      <c r="CF603" s="1811"/>
      <c r="CG603" s="1813"/>
      <c r="CH603" s="1810">
        <f t="shared" si="4"/>
        <v>0</v>
      </c>
      <c r="CI603" s="1811"/>
      <c r="CJ603" s="1811"/>
      <c r="CK603" s="1811"/>
      <c r="CL603" s="1813"/>
      <c r="CM603" s="1810">
        <f t="shared" si="5"/>
        <v>0</v>
      </c>
      <c r="CN603" s="1811"/>
      <c r="CO603" s="1811"/>
      <c r="CP603" s="1811"/>
      <c r="CQ603" s="1813"/>
      <c r="CS603" s="2155">
        <f>IF(AND(B706="SRO/Studio",AH706&lt;=0.3),G706,0)</f>
        <v>0</v>
      </c>
      <c r="CT603" s="2156"/>
      <c r="CU603" s="2156"/>
      <c r="CV603" s="2156"/>
      <c r="CW603" s="2157"/>
      <c r="CX603" s="2155">
        <f>IF(AND(B706="1 Bedroom",AH706&lt;=0.3),G706,0)</f>
        <v>7</v>
      </c>
      <c r="CY603" s="2156"/>
      <c r="CZ603" s="2156"/>
      <c r="DA603" s="2156"/>
      <c r="DB603" s="2157"/>
      <c r="DC603" s="2155">
        <f>IF(AND(B706="2 Bedrooms",AH706&lt;=0.3),G706,0)</f>
        <v>0</v>
      </c>
      <c r="DD603" s="2156"/>
      <c r="DE603" s="2156"/>
      <c r="DF603" s="2156"/>
      <c r="DG603" s="2157"/>
      <c r="DH603" s="2155">
        <f>IF(AND(B706="3 Bedrooms",AH706&lt;=0.3),G706,0)</f>
        <v>0</v>
      </c>
      <c r="DI603" s="2156"/>
      <c r="DJ603" s="2156"/>
      <c r="DK603" s="2156"/>
      <c r="DL603" s="2157"/>
      <c r="DM603" s="2155">
        <f>IF(AND(B706="4 Bedrooms",AH706&lt;=0.3),G706,0)</f>
        <v>0</v>
      </c>
      <c r="DN603" s="2156"/>
      <c r="DO603" s="2156"/>
      <c r="DP603" s="2156"/>
      <c r="DQ603" s="2157"/>
      <c r="DR603" s="2155">
        <f>IF(AND(B706="5 Bedrooms",AH706&lt;=0.3),G706,0)</f>
        <v>0</v>
      </c>
      <c r="DS603" s="2156"/>
      <c r="DT603" s="2156"/>
      <c r="DU603" s="2156"/>
      <c r="DV603" s="2157"/>
    </row>
    <row r="604" spans="1:126" s="8" customFormat="1" ht="12.75">
      <c r="A604" s="46"/>
      <c r="B604" s="16" t="s">
        <v>918</v>
      </c>
      <c r="C604" s="16"/>
      <c r="D604" s="16"/>
      <c r="E604" s="16"/>
      <c r="F604" s="16"/>
      <c r="G604" s="16"/>
      <c r="H604" s="16"/>
      <c r="I604" s="16"/>
      <c r="J604" s="16"/>
      <c r="K604" s="16"/>
      <c r="L604" s="16"/>
      <c r="M604" s="16"/>
      <c r="N604" s="1729" t="s">
        <v>531</v>
      </c>
      <c r="O604" s="1729"/>
      <c r="P604" s="16"/>
      <c r="Q604" s="16"/>
      <c r="R604" s="16"/>
      <c r="S604" s="16"/>
      <c r="T604" s="46"/>
      <c r="U604" s="16" t="s">
        <v>918</v>
      </c>
      <c r="V604" s="16"/>
      <c r="W604" s="16"/>
      <c r="X604" s="16"/>
      <c r="Y604" s="16"/>
      <c r="Z604" s="16"/>
      <c r="AA604" s="16"/>
      <c r="AB604" s="16"/>
      <c r="AC604" s="16"/>
      <c r="AD604" s="16"/>
      <c r="AE604" s="16"/>
      <c r="AF604" s="16"/>
      <c r="AG604" s="1729" t="s">
        <v>531</v>
      </c>
      <c r="AH604" s="1729"/>
      <c r="AI604" s="16"/>
      <c r="AJ604" s="16"/>
      <c r="AK604" s="16"/>
      <c r="AL604" s="16"/>
      <c r="AZ604" s="8" t="s">
        <v>853</v>
      </c>
      <c r="BA604" s="72"/>
      <c r="BB604" s="72"/>
      <c r="BC604" s="72"/>
      <c r="BD604" s="72"/>
      <c r="BE604" s="1814">
        <f t="shared" ref="BE604:BE627" si="8">IF(AND(AH707&lt;=0.5,AH707&gt;=0.36),1,0)</f>
        <v>0</v>
      </c>
      <c r="BF604" s="1815"/>
      <c r="BG604" s="1810">
        <f t="shared" si="6"/>
        <v>0</v>
      </c>
      <c r="BH604" s="1813"/>
      <c r="BI604" s="1814">
        <f t="shared" ref="BI604:BI627" si="9">IF(AND(AH707&lt;=0.35,AH707&gt;0),1,0)</f>
        <v>0</v>
      </c>
      <c r="BJ604" s="1815"/>
      <c r="BK604" s="1810">
        <f t="shared" si="7"/>
        <v>0</v>
      </c>
      <c r="BL604" s="1813"/>
      <c r="BN604" s="1810">
        <f t="shared" si="0"/>
        <v>0</v>
      </c>
      <c r="BO604" s="1811"/>
      <c r="BP604" s="1811"/>
      <c r="BQ604" s="1811"/>
      <c r="BR604" s="1812"/>
      <c r="BS604" s="1810">
        <f t="shared" si="1"/>
        <v>1</v>
      </c>
      <c r="BT604" s="1811"/>
      <c r="BU604" s="1811"/>
      <c r="BV604" s="1811"/>
      <c r="BW604" s="1813"/>
      <c r="BX604" s="1810">
        <f t="shared" si="2"/>
        <v>0</v>
      </c>
      <c r="BY604" s="1811"/>
      <c r="BZ604" s="1811"/>
      <c r="CA604" s="1811"/>
      <c r="CB604" s="1813"/>
      <c r="CC604" s="1810">
        <f t="shared" si="3"/>
        <v>0</v>
      </c>
      <c r="CD604" s="1811"/>
      <c r="CE604" s="1811"/>
      <c r="CF604" s="1811"/>
      <c r="CG604" s="1813"/>
      <c r="CH604" s="1810">
        <f t="shared" si="4"/>
        <v>0</v>
      </c>
      <c r="CI604" s="1811"/>
      <c r="CJ604" s="1811"/>
      <c r="CK604" s="1811"/>
      <c r="CL604" s="1813"/>
      <c r="CM604" s="1810">
        <f t="shared" si="5"/>
        <v>0</v>
      </c>
      <c r="CN604" s="1811"/>
      <c r="CO604" s="1811"/>
      <c r="CP604" s="1811"/>
      <c r="CQ604" s="1813"/>
      <c r="CS604" s="2155">
        <f t="shared" ref="CS604:CS627" si="10">IF(AND(B707="SRO/Studio",AH707&lt;=0.3),G707,0)</f>
        <v>0</v>
      </c>
      <c r="CT604" s="2156"/>
      <c r="CU604" s="2156"/>
      <c r="CV604" s="2156"/>
      <c r="CW604" s="2157"/>
      <c r="CX604" s="2155">
        <f t="shared" ref="CX604:CX627" si="11">IF(AND(B707="1 Bedroom",AH707&lt;=0.3),G707,0)</f>
        <v>0</v>
      </c>
      <c r="CY604" s="2156"/>
      <c r="CZ604" s="2156"/>
      <c r="DA604" s="2156"/>
      <c r="DB604" s="2157"/>
      <c r="DC604" s="2155">
        <f t="shared" ref="DC604:DC627" si="12">IF(AND(B707="2 Bedrooms",AH707&lt;=0.3),G707,0)</f>
        <v>0</v>
      </c>
      <c r="DD604" s="2156"/>
      <c r="DE604" s="2156"/>
      <c r="DF604" s="2156"/>
      <c r="DG604" s="2157"/>
      <c r="DH604" s="2155">
        <f t="shared" ref="DH604:DH627" si="13">IF(AND(B707="3 Bedrooms",AH707&lt;=0.3),G707,0)</f>
        <v>0</v>
      </c>
      <c r="DI604" s="2156"/>
      <c r="DJ604" s="2156"/>
      <c r="DK604" s="2156"/>
      <c r="DL604" s="2157"/>
      <c r="DM604" s="2155">
        <f t="shared" ref="DM604:DM627" si="14">IF(AND(B707="4 Bedrooms",AH707&lt;=0.3),G707,0)</f>
        <v>0</v>
      </c>
      <c r="DN604" s="2156"/>
      <c r="DO604" s="2156"/>
      <c r="DP604" s="2156"/>
      <c r="DQ604" s="2157"/>
      <c r="DR604" s="2155">
        <f t="shared" ref="DR604:DR627" si="15">IF(AND(B707="5 Bedrooms",AH707&lt;=0.3),G707,0)</f>
        <v>0</v>
      </c>
      <c r="DS604" s="2156"/>
      <c r="DT604" s="2156"/>
      <c r="DU604" s="2156"/>
      <c r="DV604" s="2157"/>
    </row>
    <row r="605" spans="1:126" ht="12.75">
      <c r="AZ605" s="8" t="s">
        <v>854</v>
      </c>
      <c r="BA605" s="72"/>
      <c r="BB605" s="72"/>
      <c r="BC605" s="72"/>
      <c r="BD605" s="72"/>
      <c r="BE605" s="1814">
        <f t="shared" si="8"/>
        <v>0</v>
      </c>
      <c r="BF605" s="1815"/>
      <c r="BG605" s="1810">
        <f t="shared" si="6"/>
        <v>0</v>
      </c>
      <c r="BH605" s="1813"/>
      <c r="BI605" s="1814">
        <f t="shared" si="9"/>
        <v>1</v>
      </c>
      <c r="BJ605" s="1815"/>
      <c r="BK605" s="1810">
        <f t="shared" si="7"/>
        <v>1</v>
      </c>
      <c r="BL605" s="1813"/>
      <c r="BN605" s="1810">
        <f t="shared" si="0"/>
        <v>0</v>
      </c>
      <c r="BO605" s="1811"/>
      <c r="BP605" s="1811"/>
      <c r="BQ605" s="1811"/>
      <c r="BR605" s="1812"/>
      <c r="BS605" s="1810">
        <f t="shared" si="1"/>
        <v>0</v>
      </c>
      <c r="BT605" s="1811"/>
      <c r="BU605" s="1811"/>
      <c r="BV605" s="1811"/>
      <c r="BW605" s="1813"/>
      <c r="BX605" s="1810">
        <f t="shared" si="2"/>
        <v>7</v>
      </c>
      <c r="BY605" s="1811"/>
      <c r="BZ605" s="1811"/>
      <c r="CA605" s="1811"/>
      <c r="CB605" s="1813"/>
      <c r="CC605" s="1810">
        <f t="shared" si="3"/>
        <v>0</v>
      </c>
      <c r="CD605" s="1811"/>
      <c r="CE605" s="1811"/>
      <c r="CF605" s="1811"/>
      <c r="CG605" s="1813"/>
      <c r="CH605" s="1810">
        <f t="shared" si="4"/>
        <v>0</v>
      </c>
      <c r="CI605" s="1811"/>
      <c r="CJ605" s="1811"/>
      <c r="CK605" s="1811"/>
      <c r="CL605" s="1813"/>
      <c r="CM605" s="1810">
        <f t="shared" si="5"/>
        <v>0</v>
      </c>
      <c r="CN605" s="1811"/>
      <c r="CO605" s="1811"/>
      <c r="CP605" s="1811"/>
      <c r="CQ605" s="1813"/>
      <c r="CS605" s="2155">
        <f t="shared" si="10"/>
        <v>0</v>
      </c>
      <c r="CT605" s="2156"/>
      <c r="CU605" s="2156"/>
      <c r="CV605" s="2156"/>
      <c r="CW605" s="2157"/>
      <c r="CX605" s="2155">
        <f t="shared" si="11"/>
        <v>1</v>
      </c>
      <c r="CY605" s="2156"/>
      <c r="CZ605" s="2156"/>
      <c r="DA605" s="2156"/>
      <c r="DB605" s="2157"/>
      <c r="DC605" s="2155">
        <f t="shared" si="12"/>
        <v>0</v>
      </c>
      <c r="DD605" s="2156"/>
      <c r="DE605" s="2156"/>
      <c r="DF605" s="2156"/>
      <c r="DG605" s="2157"/>
      <c r="DH605" s="2155">
        <f t="shared" si="13"/>
        <v>0</v>
      </c>
      <c r="DI605" s="2156"/>
      <c r="DJ605" s="2156"/>
      <c r="DK605" s="2156"/>
      <c r="DL605" s="2157"/>
      <c r="DM605" s="2155">
        <f t="shared" si="14"/>
        <v>0</v>
      </c>
      <c r="DN605" s="2156"/>
      <c r="DO605" s="2156"/>
      <c r="DP605" s="2156"/>
      <c r="DQ605" s="2157"/>
      <c r="DR605" s="2155">
        <f t="shared" si="15"/>
        <v>0</v>
      </c>
      <c r="DS605" s="2156"/>
      <c r="DT605" s="2156"/>
      <c r="DU605" s="2156"/>
      <c r="DV605" s="2157"/>
    </row>
    <row r="606" spans="1:126" ht="12.75">
      <c r="A606" s="101" t="s">
        <v>606</v>
      </c>
      <c r="B606" s="16" t="s">
        <v>93</v>
      </c>
      <c r="G606" s="1850">
        <f>C568</f>
        <v>0</v>
      </c>
      <c r="H606" s="1850"/>
      <c r="I606" s="1850"/>
      <c r="J606" s="1850"/>
      <c r="K606" s="1850"/>
      <c r="L606" s="1850"/>
      <c r="M606" s="1850"/>
      <c r="N606" s="1850"/>
      <c r="O606" s="1850"/>
      <c r="P606" s="1850"/>
      <c r="Q606" s="1850"/>
      <c r="R606" s="1850"/>
      <c r="T606" s="101" t="s">
        <v>191</v>
      </c>
      <c r="U606" s="16" t="s">
        <v>93</v>
      </c>
      <c r="Z606" s="1850">
        <f>C569</f>
        <v>0</v>
      </c>
      <c r="AA606" s="1850"/>
      <c r="AB606" s="1850"/>
      <c r="AC606" s="1850"/>
      <c r="AD606" s="1850"/>
      <c r="AE606" s="1850"/>
      <c r="AF606" s="1850"/>
      <c r="AG606" s="1850"/>
      <c r="AH606" s="1850"/>
      <c r="AI606" s="1850"/>
      <c r="AJ606" s="1850"/>
      <c r="AK606" s="1850"/>
      <c r="AZ606" s="8" t="s">
        <v>855</v>
      </c>
      <c r="BA606" s="72"/>
      <c r="BB606" s="72"/>
      <c r="BC606" s="72"/>
      <c r="BD606" s="72"/>
      <c r="BE606" s="1814">
        <f t="shared" si="8"/>
        <v>0</v>
      </c>
      <c r="BF606" s="1815"/>
      <c r="BG606" s="1810">
        <f t="shared" si="6"/>
        <v>0</v>
      </c>
      <c r="BH606" s="1813"/>
      <c r="BI606" s="1814">
        <f t="shared" si="9"/>
        <v>1</v>
      </c>
      <c r="BJ606" s="1815"/>
      <c r="BK606" s="1810">
        <f t="shared" si="7"/>
        <v>7</v>
      </c>
      <c r="BL606" s="1813"/>
      <c r="BN606" s="1810">
        <f t="shared" si="0"/>
        <v>0</v>
      </c>
      <c r="BO606" s="1811"/>
      <c r="BP606" s="1811"/>
      <c r="BQ606" s="1811"/>
      <c r="BR606" s="1812"/>
      <c r="BS606" s="1810">
        <f t="shared" si="1"/>
        <v>0</v>
      </c>
      <c r="BT606" s="1811"/>
      <c r="BU606" s="1811"/>
      <c r="BV606" s="1811"/>
      <c r="BW606" s="1813"/>
      <c r="BX606" s="1810">
        <f t="shared" si="2"/>
        <v>0</v>
      </c>
      <c r="BY606" s="1811"/>
      <c r="BZ606" s="1811"/>
      <c r="CA606" s="1811"/>
      <c r="CB606" s="1813"/>
      <c r="CC606" s="1810">
        <f t="shared" si="3"/>
        <v>2</v>
      </c>
      <c r="CD606" s="1811"/>
      <c r="CE606" s="1811"/>
      <c r="CF606" s="1811"/>
      <c r="CG606" s="1813"/>
      <c r="CH606" s="1810">
        <f t="shared" si="4"/>
        <v>0</v>
      </c>
      <c r="CI606" s="1811"/>
      <c r="CJ606" s="1811"/>
      <c r="CK606" s="1811"/>
      <c r="CL606" s="1813"/>
      <c r="CM606" s="1810">
        <f t="shared" si="5"/>
        <v>0</v>
      </c>
      <c r="CN606" s="1811"/>
      <c r="CO606" s="1811"/>
      <c r="CP606" s="1811"/>
      <c r="CQ606" s="1813"/>
      <c r="CS606" s="2155">
        <f t="shared" si="10"/>
        <v>0</v>
      </c>
      <c r="CT606" s="2156"/>
      <c r="CU606" s="2156"/>
      <c r="CV606" s="2156"/>
      <c r="CW606" s="2157"/>
      <c r="CX606" s="2155">
        <f t="shared" si="11"/>
        <v>0</v>
      </c>
      <c r="CY606" s="2156"/>
      <c r="CZ606" s="2156"/>
      <c r="DA606" s="2156"/>
      <c r="DB606" s="2157"/>
      <c r="DC606" s="2155">
        <f t="shared" si="12"/>
        <v>7</v>
      </c>
      <c r="DD606" s="2156"/>
      <c r="DE606" s="2156"/>
      <c r="DF606" s="2156"/>
      <c r="DG606" s="2157"/>
      <c r="DH606" s="2155">
        <f t="shared" si="13"/>
        <v>0</v>
      </c>
      <c r="DI606" s="2156"/>
      <c r="DJ606" s="2156"/>
      <c r="DK606" s="2156"/>
      <c r="DL606" s="2157"/>
      <c r="DM606" s="2155">
        <f t="shared" si="14"/>
        <v>0</v>
      </c>
      <c r="DN606" s="2156"/>
      <c r="DO606" s="2156"/>
      <c r="DP606" s="2156"/>
      <c r="DQ606" s="2157"/>
      <c r="DR606" s="2155">
        <f t="shared" si="15"/>
        <v>0</v>
      </c>
      <c r="DS606" s="2156"/>
      <c r="DT606" s="2156"/>
      <c r="DU606" s="2156"/>
      <c r="DV606" s="2157"/>
    </row>
    <row r="607" spans="1:126" ht="12.75">
      <c r="A607" s="46"/>
      <c r="B607" s="16" t="s">
        <v>416</v>
      </c>
      <c r="G607" s="1697"/>
      <c r="H607" s="1697"/>
      <c r="I607" s="1697"/>
      <c r="J607" s="1697"/>
      <c r="K607" s="1697"/>
      <c r="L607" s="1697"/>
      <c r="M607" s="1697"/>
      <c r="N607" s="1697"/>
      <c r="O607" s="1697"/>
      <c r="P607" s="1697"/>
      <c r="Q607" s="1697"/>
      <c r="R607" s="1697"/>
      <c r="T607" s="46"/>
      <c r="U607" s="16" t="s">
        <v>416</v>
      </c>
      <c r="Z607" s="1697"/>
      <c r="AA607" s="1697"/>
      <c r="AB607" s="1697"/>
      <c r="AC607" s="1697"/>
      <c r="AD607" s="1697"/>
      <c r="AE607" s="1697"/>
      <c r="AF607" s="1697"/>
      <c r="AG607" s="1697"/>
      <c r="AH607" s="1697"/>
      <c r="AI607" s="1697"/>
      <c r="AJ607" s="1697"/>
      <c r="AK607" s="1697"/>
      <c r="AZ607" s="8" t="s">
        <v>383</v>
      </c>
      <c r="BA607" s="72"/>
      <c r="BB607" s="72"/>
      <c r="BC607" s="72"/>
      <c r="BD607" s="72"/>
      <c r="BE607" s="1814">
        <f t="shared" si="8"/>
        <v>0</v>
      </c>
      <c r="BF607" s="1815"/>
      <c r="BG607" s="1810">
        <f t="shared" si="6"/>
        <v>0</v>
      </c>
      <c r="BH607" s="1813"/>
      <c r="BI607" s="1814">
        <f t="shared" si="9"/>
        <v>1</v>
      </c>
      <c r="BJ607" s="1815"/>
      <c r="BK607" s="1810">
        <f t="shared" si="7"/>
        <v>2</v>
      </c>
      <c r="BL607" s="1813"/>
      <c r="BN607" s="1810">
        <f t="shared" si="0"/>
        <v>0</v>
      </c>
      <c r="BO607" s="1811"/>
      <c r="BP607" s="1811"/>
      <c r="BQ607" s="1811"/>
      <c r="BR607" s="1812"/>
      <c r="BS607" s="1810">
        <f t="shared" si="1"/>
        <v>0</v>
      </c>
      <c r="BT607" s="1811"/>
      <c r="BU607" s="1811"/>
      <c r="BV607" s="1811"/>
      <c r="BW607" s="1813"/>
      <c r="BX607" s="1810">
        <f t="shared" si="2"/>
        <v>0</v>
      </c>
      <c r="BY607" s="1811"/>
      <c r="BZ607" s="1811"/>
      <c r="CA607" s="1811"/>
      <c r="CB607" s="1813"/>
      <c r="CC607" s="1810">
        <f t="shared" si="3"/>
        <v>0</v>
      </c>
      <c r="CD607" s="1811"/>
      <c r="CE607" s="1811"/>
      <c r="CF607" s="1811"/>
      <c r="CG607" s="1813"/>
      <c r="CH607" s="1810">
        <f t="shared" si="4"/>
        <v>0</v>
      </c>
      <c r="CI607" s="1811"/>
      <c r="CJ607" s="1811"/>
      <c r="CK607" s="1811"/>
      <c r="CL607" s="1813"/>
      <c r="CM607" s="1810">
        <f t="shared" si="5"/>
        <v>0</v>
      </c>
      <c r="CN607" s="1811"/>
      <c r="CO607" s="1811"/>
      <c r="CP607" s="1811"/>
      <c r="CQ607" s="1813"/>
      <c r="CS607" s="2155">
        <f t="shared" si="10"/>
        <v>0</v>
      </c>
      <c r="CT607" s="2156"/>
      <c r="CU607" s="2156"/>
      <c r="CV607" s="2156"/>
      <c r="CW607" s="2157"/>
      <c r="CX607" s="2155">
        <f t="shared" si="11"/>
        <v>0</v>
      </c>
      <c r="CY607" s="2156"/>
      <c r="CZ607" s="2156"/>
      <c r="DA607" s="2156"/>
      <c r="DB607" s="2157"/>
      <c r="DC607" s="2155">
        <f t="shared" si="12"/>
        <v>0</v>
      </c>
      <c r="DD607" s="2156"/>
      <c r="DE607" s="2156"/>
      <c r="DF607" s="2156"/>
      <c r="DG607" s="2157"/>
      <c r="DH607" s="2155">
        <f t="shared" si="13"/>
        <v>2</v>
      </c>
      <c r="DI607" s="2156"/>
      <c r="DJ607" s="2156"/>
      <c r="DK607" s="2156"/>
      <c r="DL607" s="2157"/>
      <c r="DM607" s="2155">
        <f t="shared" si="14"/>
        <v>0</v>
      </c>
      <c r="DN607" s="2156"/>
      <c r="DO607" s="2156"/>
      <c r="DP607" s="2156"/>
      <c r="DQ607" s="2157"/>
      <c r="DR607" s="2155">
        <f t="shared" si="15"/>
        <v>0</v>
      </c>
      <c r="DS607" s="2156"/>
      <c r="DT607" s="2156"/>
      <c r="DU607" s="2156"/>
      <c r="DV607" s="2157"/>
    </row>
    <row r="608" spans="1:126" ht="12.75">
      <c r="A608" s="46"/>
      <c r="B608" s="16" t="s">
        <v>479</v>
      </c>
      <c r="G608" s="1697"/>
      <c r="H608" s="1697"/>
      <c r="I608" s="1697"/>
      <c r="J608" s="1697"/>
      <c r="K608" s="1697"/>
      <c r="L608" s="1697"/>
      <c r="M608" s="1697"/>
      <c r="N608" s="1697"/>
      <c r="O608" s="1697"/>
      <c r="P608" s="1697"/>
      <c r="Q608" s="1697"/>
      <c r="R608" s="1697"/>
      <c r="T608" s="46"/>
      <c r="U608" s="16" t="s">
        <v>479</v>
      </c>
      <c r="Z608" s="1696"/>
      <c r="AA608" s="1696"/>
      <c r="AB608" s="1696"/>
      <c r="AC608" s="1696"/>
      <c r="AD608" s="1696"/>
      <c r="AE608" s="1696"/>
      <c r="AF608" s="1696"/>
      <c r="AG608" s="1696"/>
      <c r="AH608" s="1696"/>
      <c r="AI608" s="1696"/>
      <c r="AJ608" s="1696"/>
      <c r="AK608" s="1696"/>
      <c r="AZ608" s="72"/>
      <c r="BA608" s="72"/>
      <c r="BB608" s="72"/>
      <c r="BC608" s="72"/>
      <c r="BD608" s="72"/>
      <c r="BE608" s="1814">
        <f t="shared" si="8"/>
        <v>0</v>
      </c>
      <c r="BF608" s="1815"/>
      <c r="BG608" s="1810">
        <f t="shared" si="6"/>
        <v>0</v>
      </c>
      <c r="BH608" s="1813"/>
      <c r="BI608" s="1814">
        <f t="shared" si="9"/>
        <v>0</v>
      </c>
      <c r="BJ608" s="1815"/>
      <c r="BK608" s="1810">
        <f t="shared" si="7"/>
        <v>0</v>
      </c>
      <c r="BL608" s="1813"/>
      <c r="BN608" s="1810">
        <f t="shared" si="0"/>
        <v>0</v>
      </c>
      <c r="BO608" s="1811"/>
      <c r="BP608" s="1811"/>
      <c r="BQ608" s="1811"/>
      <c r="BR608" s="1812"/>
      <c r="BS608" s="1810">
        <f t="shared" si="1"/>
        <v>0</v>
      </c>
      <c r="BT608" s="1811"/>
      <c r="BU608" s="1811"/>
      <c r="BV608" s="1811"/>
      <c r="BW608" s="1813"/>
      <c r="BX608" s="1810">
        <f t="shared" si="2"/>
        <v>6</v>
      </c>
      <c r="BY608" s="1811"/>
      <c r="BZ608" s="1811"/>
      <c r="CA608" s="1811"/>
      <c r="CB608" s="1813"/>
      <c r="CC608" s="1810">
        <f t="shared" si="3"/>
        <v>0</v>
      </c>
      <c r="CD608" s="1811"/>
      <c r="CE608" s="1811"/>
      <c r="CF608" s="1811"/>
      <c r="CG608" s="1813"/>
      <c r="CH608" s="1810">
        <f t="shared" si="4"/>
        <v>0</v>
      </c>
      <c r="CI608" s="1811"/>
      <c r="CJ608" s="1811"/>
      <c r="CK608" s="1811"/>
      <c r="CL608" s="1813"/>
      <c r="CM608" s="1810">
        <f t="shared" si="5"/>
        <v>0</v>
      </c>
      <c r="CN608" s="1811"/>
      <c r="CO608" s="1811"/>
      <c r="CP608" s="1811"/>
      <c r="CQ608" s="1813"/>
      <c r="CS608" s="2155">
        <f t="shared" si="10"/>
        <v>0</v>
      </c>
      <c r="CT608" s="2156"/>
      <c r="CU608" s="2156"/>
      <c r="CV608" s="2156"/>
      <c r="CW608" s="2157"/>
      <c r="CX608" s="2155">
        <f t="shared" si="11"/>
        <v>0</v>
      </c>
      <c r="CY608" s="2156"/>
      <c r="CZ608" s="2156"/>
      <c r="DA608" s="2156"/>
      <c r="DB608" s="2157"/>
      <c r="DC608" s="2155">
        <f t="shared" si="12"/>
        <v>0</v>
      </c>
      <c r="DD608" s="2156"/>
      <c r="DE608" s="2156"/>
      <c r="DF608" s="2156"/>
      <c r="DG608" s="2157"/>
      <c r="DH608" s="2155">
        <f t="shared" si="13"/>
        <v>0</v>
      </c>
      <c r="DI608" s="2156"/>
      <c r="DJ608" s="2156"/>
      <c r="DK608" s="2156"/>
      <c r="DL608" s="2157"/>
      <c r="DM608" s="2155">
        <f t="shared" si="14"/>
        <v>0</v>
      </c>
      <c r="DN608" s="2156"/>
      <c r="DO608" s="2156"/>
      <c r="DP608" s="2156"/>
      <c r="DQ608" s="2157"/>
      <c r="DR608" s="2155">
        <f t="shared" si="15"/>
        <v>0</v>
      </c>
      <c r="DS608" s="2156"/>
      <c r="DT608" s="2156"/>
      <c r="DU608" s="2156"/>
      <c r="DV608" s="2157"/>
    </row>
    <row r="609" spans="1:126" ht="12.75">
      <c r="A609" s="46"/>
      <c r="B609" s="16" t="s">
        <v>915</v>
      </c>
      <c r="G609" s="1697"/>
      <c r="H609" s="1697"/>
      <c r="I609" s="1697"/>
      <c r="J609" s="1697"/>
      <c r="K609" s="1697"/>
      <c r="L609" s="1697"/>
      <c r="M609" s="1697"/>
      <c r="N609" s="1697"/>
      <c r="O609" s="1697"/>
      <c r="P609" s="1697"/>
      <c r="Q609" s="1697"/>
      <c r="R609" s="1697"/>
      <c r="T609" s="46"/>
      <c r="U609" s="16" t="s">
        <v>915</v>
      </c>
      <c r="Z609" s="1696"/>
      <c r="AA609" s="1696"/>
      <c r="AB609" s="1696"/>
      <c r="AC609" s="1696"/>
      <c r="AD609" s="1696"/>
      <c r="AE609" s="1696"/>
      <c r="AF609" s="1696"/>
      <c r="AG609" s="1696"/>
      <c r="AH609" s="1696"/>
      <c r="AI609" s="1696"/>
      <c r="AJ609" s="1696"/>
      <c r="AK609" s="1696"/>
      <c r="AZ609" s="72"/>
      <c r="BA609" s="72"/>
      <c r="BB609" s="72"/>
      <c r="BC609" s="72"/>
      <c r="BD609" s="72"/>
      <c r="BE609" s="1814">
        <f t="shared" si="8"/>
        <v>1</v>
      </c>
      <c r="BF609" s="1815"/>
      <c r="BG609" s="1810">
        <f t="shared" si="6"/>
        <v>6</v>
      </c>
      <c r="BH609" s="1813"/>
      <c r="BI609" s="1814">
        <f t="shared" si="9"/>
        <v>0</v>
      </c>
      <c r="BJ609" s="1815"/>
      <c r="BK609" s="1810">
        <f t="shared" si="7"/>
        <v>0</v>
      </c>
      <c r="BL609" s="1813"/>
      <c r="BN609" s="1810">
        <f t="shared" si="0"/>
        <v>0</v>
      </c>
      <c r="BO609" s="1811"/>
      <c r="BP609" s="1811"/>
      <c r="BQ609" s="1811"/>
      <c r="BR609" s="1812"/>
      <c r="BS609" s="1810">
        <f t="shared" si="1"/>
        <v>0</v>
      </c>
      <c r="BT609" s="1811"/>
      <c r="BU609" s="1811"/>
      <c r="BV609" s="1811"/>
      <c r="BW609" s="1813"/>
      <c r="BX609" s="1810">
        <f t="shared" si="2"/>
        <v>0</v>
      </c>
      <c r="BY609" s="1811"/>
      <c r="BZ609" s="1811"/>
      <c r="CA609" s="1811"/>
      <c r="CB609" s="1813"/>
      <c r="CC609" s="1810">
        <f t="shared" si="3"/>
        <v>3</v>
      </c>
      <c r="CD609" s="1811"/>
      <c r="CE609" s="1811"/>
      <c r="CF609" s="1811"/>
      <c r="CG609" s="1813"/>
      <c r="CH609" s="1810">
        <f t="shared" si="4"/>
        <v>0</v>
      </c>
      <c r="CI609" s="1811"/>
      <c r="CJ609" s="1811"/>
      <c r="CK609" s="1811"/>
      <c r="CL609" s="1813"/>
      <c r="CM609" s="1810">
        <f t="shared" si="5"/>
        <v>0</v>
      </c>
      <c r="CN609" s="1811"/>
      <c r="CO609" s="1811"/>
      <c r="CP609" s="1811"/>
      <c r="CQ609" s="1813"/>
      <c r="CS609" s="2155">
        <f t="shared" si="10"/>
        <v>0</v>
      </c>
      <c r="CT609" s="2156"/>
      <c r="CU609" s="2156"/>
      <c r="CV609" s="2156"/>
      <c r="CW609" s="2157"/>
      <c r="CX609" s="2155">
        <f t="shared" si="11"/>
        <v>0</v>
      </c>
      <c r="CY609" s="2156"/>
      <c r="CZ609" s="2156"/>
      <c r="DA609" s="2156"/>
      <c r="DB609" s="2157"/>
      <c r="DC609" s="2155">
        <f t="shared" si="12"/>
        <v>0</v>
      </c>
      <c r="DD609" s="2156"/>
      <c r="DE609" s="2156"/>
      <c r="DF609" s="2156"/>
      <c r="DG609" s="2157"/>
      <c r="DH609" s="2155">
        <f t="shared" si="13"/>
        <v>0</v>
      </c>
      <c r="DI609" s="2156"/>
      <c r="DJ609" s="2156"/>
      <c r="DK609" s="2156"/>
      <c r="DL609" s="2157"/>
      <c r="DM609" s="2155">
        <f t="shared" si="14"/>
        <v>0</v>
      </c>
      <c r="DN609" s="2156"/>
      <c r="DO609" s="2156"/>
      <c r="DP609" s="2156"/>
      <c r="DQ609" s="2157"/>
      <c r="DR609" s="2155">
        <f t="shared" si="15"/>
        <v>0</v>
      </c>
      <c r="DS609" s="2156"/>
      <c r="DT609" s="2156"/>
      <c r="DU609" s="2156"/>
      <c r="DV609" s="2157"/>
    </row>
    <row r="610" spans="1:126" ht="12.75">
      <c r="A610" s="46"/>
      <c r="B610" s="16" t="s">
        <v>716</v>
      </c>
      <c r="G610" s="1689"/>
      <c r="H610" s="1689"/>
      <c r="I610" s="1689"/>
      <c r="J610" s="1689"/>
      <c r="K610" s="1689"/>
      <c r="L610" s="1689"/>
      <c r="O610" s="149" t="s">
        <v>900</v>
      </c>
      <c r="P610" s="1702"/>
      <c r="Q610" s="1702"/>
      <c r="R610" s="1702"/>
      <c r="T610" s="46"/>
      <c r="U610" s="16" t="s">
        <v>716</v>
      </c>
      <c r="Z610" s="1689"/>
      <c r="AA610" s="1689"/>
      <c r="AB610" s="1689"/>
      <c r="AC610" s="1689"/>
      <c r="AD610" s="1689"/>
      <c r="AE610" s="1689"/>
      <c r="AH610" s="149" t="s">
        <v>900</v>
      </c>
      <c r="AI610" s="1702"/>
      <c r="AJ610" s="1702"/>
      <c r="AK610" s="1702"/>
      <c r="AZ610" s="72"/>
      <c r="BA610" s="72"/>
      <c r="BB610" s="72"/>
      <c r="BC610" s="72"/>
      <c r="BD610" s="72"/>
      <c r="BE610" s="1814">
        <f t="shared" si="8"/>
        <v>1</v>
      </c>
      <c r="BF610" s="1815"/>
      <c r="BG610" s="1810">
        <f t="shared" si="6"/>
        <v>3</v>
      </c>
      <c r="BH610" s="1813"/>
      <c r="BI610" s="1814">
        <f t="shared" si="9"/>
        <v>0</v>
      </c>
      <c r="BJ610" s="1815"/>
      <c r="BK610" s="1810">
        <f t="shared" si="7"/>
        <v>0</v>
      </c>
      <c r="BL610" s="1813"/>
      <c r="BN610" s="1810">
        <f t="shared" si="0"/>
        <v>0</v>
      </c>
      <c r="BO610" s="1811"/>
      <c r="BP610" s="1811"/>
      <c r="BQ610" s="1811"/>
      <c r="BR610" s="1812"/>
      <c r="BS610" s="1810">
        <f t="shared" si="1"/>
        <v>0</v>
      </c>
      <c r="BT610" s="1811"/>
      <c r="BU610" s="1811"/>
      <c r="BV610" s="1811"/>
      <c r="BW610" s="1813"/>
      <c r="BX610" s="1810">
        <f t="shared" si="2"/>
        <v>0</v>
      </c>
      <c r="BY610" s="1811"/>
      <c r="BZ610" s="1811"/>
      <c r="CA610" s="1811"/>
      <c r="CB610" s="1813"/>
      <c r="CC610" s="1810">
        <f t="shared" si="3"/>
        <v>0</v>
      </c>
      <c r="CD610" s="1811"/>
      <c r="CE610" s="1811"/>
      <c r="CF610" s="1811"/>
      <c r="CG610" s="1813"/>
      <c r="CH610" s="1810">
        <f t="shared" si="4"/>
        <v>0</v>
      </c>
      <c r="CI610" s="1811"/>
      <c r="CJ610" s="1811"/>
      <c r="CK610" s="1811"/>
      <c r="CL610" s="1813"/>
      <c r="CM610" s="1810">
        <f t="shared" si="5"/>
        <v>0</v>
      </c>
      <c r="CN610" s="1811"/>
      <c r="CO610" s="1811"/>
      <c r="CP610" s="1811"/>
      <c r="CQ610" s="1813"/>
      <c r="CS610" s="2155">
        <f t="shared" si="10"/>
        <v>0</v>
      </c>
      <c r="CT610" s="2156"/>
      <c r="CU610" s="2156"/>
      <c r="CV610" s="2156"/>
      <c r="CW610" s="2157"/>
      <c r="CX610" s="2155">
        <f t="shared" si="11"/>
        <v>0</v>
      </c>
      <c r="CY610" s="2156"/>
      <c r="CZ610" s="2156"/>
      <c r="DA610" s="2156"/>
      <c r="DB610" s="2157"/>
      <c r="DC610" s="2155">
        <f t="shared" si="12"/>
        <v>0</v>
      </c>
      <c r="DD610" s="2156"/>
      <c r="DE610" s="2156"/>
      <c r="DF610" s="2156"/>
      <c r="DG610" s="2157"/>
      <c r="DH610" s="2155">
        <f t="shared" si="13"/>
        <v>0</v>
      </c>
      <c r="DI610" s="2156"/>
      <c r="DJ610" s="2156"/>
      <c r="DK610" s="2156"/>
      <c r="DL610" s="2157"/>
      <c r="DM610" s="2155">
        <f t="shared" si="14"/>
        <v>0</v>
      </c>
      <c r="DN610" s="2156"/>
      <c r="DO610" s="2156"/>
      <c r="DP610" s="2156"/>
      <c r="DQ610" s="2157"/>
      <c r="DR610" s="2155">
        <f t="shared" si="15"/>
        <v>0</v>
      </c>
      <c r="DS610" s="2156"/>
      <c r="DT610" s="2156"/>
      <c r="DU610" s="2156"/>
      <c r="DV610" s="2157"/>
    </row>
    <row r="611" spans="1:126" s="8" customFormat="1" ht="12.75">
      <c r="A611" s="46"/>
      <c r="B611" s="16" t="s">
        <v>916</v>
      </c>
      <c r="C611" s="16"/>
      <c r="D611" s="16"/>
      <c r="E611" s="16"/>
      <c r="F611" s="16"/>
      <c r="G611" s="16"/>
      <c r="H611" s="1697"/>
      <c r="I611" s="1697"/>
      <c r="J611" s="1697"/>
      <c r="K611" s="1697"/>
      <c r="L611" s="1697"/>
      <c r="M611" s="1697"/>
      <c r="N611" s="1697"/>
      <c r="O611" s="1697"/>
      <c r="P611" s="1697"/>
      <c r="Q611" s="1697"/>
      <c r="R611" s="1697"/>
      <c r="S611" s="16"/>
      <c r="T611" s="46"/>
      <c r="U611" s="16" t="s">
        <v>916</v>
      </c>
      <c r="V611" s="16"/>
      <c r="W611" s="16"/>
      <c r="X611" s="16"/>
      <c r="Y611" s="16"/>
      <c r="Z611" s="16"/>
      <c r="AA611" s="1697"/>
      <c r="AB611" s="1697"/>
      <c r="AC611" s="1697"/>
      <c r="AD611" s="1697"/>
      <c r="AE611" s="1697"/>
      <c r="AF611" s="1697"/>
      <c r="AG611" s="1697"/>
      <c r="AH611" s="1697"/>
      <c r="AI611" s="1697"/>
      <c r="AJ611" s="1697"/>
      <c r="AK611" s="1697"/>
      <c r="AL611" s="16"/>
      <c r="AZ611" s="72"/>
      <c r="BA611" s="72"/>
      <c r="BB611" s="72"/>
      <c r="BC611" s="72"/>
      <c r="BD611" s="72"/>
      <c r="BE611" s="1814">
        <f t="shared" si="8"/>
        <v>0</v>
      </c>
      <c r="BF611" s="1815"/>
      <c r="BG611" s="1810">
        <f t="shared" si="6"/>
        <v>0</v>
      </c>
      <c r="BH611" s="1813"/>
      <c r="BI611" s="1814">
        <f t="shared" si="9"/>
        <v>0</v>
      </c>
      <c r="BJ611" s="1815"/>
      <c r="BK611" s="1810">
        <f t="shared" si="7"/>
        <v>0</v>
      </c>
      <c r="BL611" s="1813"/>
      <c r="BN611" s="1810">
        <f t="shared" ref="BN611:BN616" si="16">IF(B715="SRO/Studio",G715,0)</f>
        <v>0</v>
      </c>
      <c r="BO611" s="1811"/>
      <c r="BP611" s="1811"/>
      <c r="BQ611" s="1811"/>
      <c r="BR611" s="1812"/>
      <c r="BS611" s="1810">
        <f t="shared" ref="BS611:BS616" si="17">IF(B715="1 Bedroom",G715,0)</f>
        <v>0</v>
      </c>
      <c r="BT611" s="1811"/>
      <c r="BU611" s="1811"/>
      <c r="BV611" s="1811"/>
      <c r="BW611" s="1813"/>
      <c r="BX611" s="1810">
        <f t="shared" ref="BX611:BX616" si="18">IF(B715="2 Bedrooms",G715,0)</f>
        <v>6</v>
      </c>
      <c r="BY611" s="1811"/>
      <c r="BZ611" s="1811"/>
      <c r="CA611" s="1811"/>
      <c r="CB611" s="1813"/>
      <c r="CC611" s="1810">
        <f t="shared" ref="CC611:CC616" si="19">IF(B715="3 Bedrooms",G715,0)</f>
        <v>0</v>
      </c>
      <c r="CD611" s="1811"/>
      <c r="CE611" s="1811"/>
      <c r="CF611" s="1811"/>
      <c r="CG611" s="1813"/>
      <c r="CH611" s="1810">
        <f t="shared" ref="CH611:CH616" si="20">IF(B715="4 Bedrooms",G715,0)</f>
        <v>0</v>
      </c>
      <c r="CI611" s="1811"/>
      <c r="CJ611" s="1811"/>
      <c r="CK611" s="1811"/>
      <c r="CL611" s="1813"/>
      <c r="CM611" s="1810">
        <f t="shared" ref="CM611:CM616" si="21">IF(B715="5 Bedrooms",G715,0)</f>
        <v>0</v>
      </c>
      <c r="CN611" s="1811"/>
      <c r="CO611" s="1811"/>
      <c r="CP611" s="1811"/>
      <c r="CQ611" s="1813"/>
      <c r="CS611" s="2155">
        <f t="shared" si="10"/>
        <v>0</v>
      </c>
      <c r="CT611" s="2156"/>
      <c r="CU611" s="2156"/>
      <c r="CV611" s="2156"/>
      <c r="CW611" s="2157"/>
      <c r="CX611" s="2155">
        <f t="shared" si="11"/>
        <v>0</v>
      </c>
      <c r="CY611" s="2156"/>
      <c r="CZ611" s="2156"/>
      <c r="DA611" s="2156"/>
      <c r="DB611" s="2157"/>
      <c r="DC611" s="2155">
        <f t="shared" si="12"/>
        <v>0</v>
      </c>
      <c r="DD611" s="2156"/>
      <c r="DE611" s="2156"/>
      <c r="DF611" s="2156"/>
      <c r="DG611" s="2157"/>
      <c r="DH611" s="2155">
        <f t="shared" si="13"/>
        <v>0</v>
      </c>
      <c r="DI611" s="2156"/>
      <c r="DJ611" s="2156"/>
      <c r="DK611" s="2156"/>
      <c r="DL611" s="2157"/>
      <c r="DM611" s="2155">
        <f t="shared" si="14"/>
        <v>0</v>
      </c>
      <c r="DN611" s="2156"/>
      <c r="DO611" s="2156"/>
      <c r="DP611" s="2156"/>
      <c r="DQ611" s="2157"/>
      <c r="DR611" s="2155">
        <f t="shared" si="15"/>
        <v>0</v>
      </c>
      <c r="DS611" s="2156"/>
      <c r="DT611" s="2156"/>
      <c r="DU611" s="2156"/>
      <c r="DV611" s="2157"/>
    </row>
    <row r="612" spans="1:126" s="8" customFormat="1" ht="12.75">
      <c r="A612" s="46"/>
      <c r="B612" s="16" t="s">
        <v>918</v>
      </c>
      <c r="C612" s="16"/>
      <c r="D612" s="16"/>
      <c r="E612" s="16"/>
      <c r="F612" s="16"/>
      <c r="G612" s="16"/>
      <c r="H612" s="16"/>
      <c r="I612" s="16"/>
      <c r="J612" s="16"/>
      <c r="K612" s="16"/>
      <c r="L612" s="16"/>
      <c r="M612" s="16"/>
      <c r="N612" s="1729" t="s">
        <v>531</v>
      </c>
      <c r="O612" s="1729"/>
      <c r="P612" s="16"/>
      <c r="Q612" s="16"/>
      <c r="R612" s="16"/>
      <c r="S612" s="16"/>
      <c r="T612" s="46"/>
      <c r="U612" s="16" t="s">
        <v>918</v>
      </c>
      <c r="V612" s="16"/>
      <c r="W612" s="16"/>
      <c r="X612" s="16"/>
      <c r="Y612" s="16"/>
      <c r="Z612" s="16"/>
      <c r="AA612" s="16"/>
      <c r="AB612" s="16"/>
      <c r="AC612" s="16"/>
      <c r="AD612" s="16"/>
      <c r="AE612" s="16"/>
      <c r="AF612" s="16"/>
      <c r="AG612" s="1729" t="s">
        <v>531</v>
      </c>
      <c r="AH612" s="1729"/>
      <c r="AI612" s="16"/>
      <c r="AJ612" s="16"/>
      <c r="AK612" s="16"/>
      <c r="AL612" s="16"/>
      <c r="AZ612" s="72"/>
      <c r="BA612" s="72"/>
      <c r="BB612" s="72"/>
      <c r="BC612" s="72"/>
      <c r="BD612" s="72"/>
      <c r="BE612" s="1814">
        <f t="shared" si="8"/>
        <v>1</v>
      </c>
      <c r="BF612" s="1815"/>
      <c r="BG612" s="1810">
        <f t="shared" ref="BG612:BG617" si="22">IF(BE612=1,G715,0)</f>
        <v>6</v>
      </c>
      <c r="BH612" s="1813"/>
      <c r="BI612" s="1814">
        <f t="shared" si="9"/>
        <v>0</v>
      </c>
      <c r="BJ612" s="1815"/>
      <c r="BK612" s="1810">
        <f t="shared" ref="BK612:BK617" si="23">IF(BI612=1,G715,0)</f>
        <v>0</v>
      </c>
      <c r="BL612" s="1813"/>
      <c r="BN612" s="1810">
        <f t="shared" si="16"/>
        <v>0</v>
      </c>
      <c r="BO612" s="1811"/>
      <c r="BP612" s="1811"/>
      <c r="BQ612" s="1811"/>
      <c r="BR612" s="1812"/>
      <c r="BS612" s="1810">
        <f t="shared" si="17"/>
        <v>0</v>
      </c>
      <c r="BT612" s="1811"/>
      <c r="BU612" s="1811"/>
      <c r="BV612" s="1811"/>
      <c r="BW612" s="1813"/>
      <c r="BX612" s="1810">
        <f t="shared" si="18"/>
        <v>0</v>
      </c>
      <c r="BY612" s="1811"/>
      <c r="BZ612" s="1811"/>
      <c r="CA612" s="1811"/>
      <c r="CB612" s="1813"/>
      <c r="CC612" s="1810">
        <f t="shared" si="19"/>
        <v>2</v>
      </c>
      <c r="CD612" s="1811"/>
      <c r="CE612" s="1811"/>
      <c r="CF612" s="1811"/>
      <c r="CG612" s="1813"/>
      <c r="CH612" s="1810">
        <f t="shared" si="20"/>
        <v>0</v>
      </c>
      <c r="CI612" s="1811"/>
      <c r="CJ612" s="1811"/>
      <c r="CK612" s="1811"/>
      <c r="CL612" s="1813"/>
      <c r="CM612" s="1810">
        <f t="shared" si="21"/>
        <v>0</v>
      </c>
      <c r="CN612" s="1811"/>
      <c r="CO612" s="1811"/>
      <c r="CP612" s="1811"/>
      <c r="CQ612" s="1813"/>
      <c r="CS612" s="2155">
        <f t="shared" ref="CS612:CS617" si="24">IF(AND(B715="SRO/Studio",AH715&lt;=0.3),G715,0)</f>
        <v>0</v>
      </c>
      <c r="CT612" s="2156"/>
      <c r="CU612" s="2156"/>
      <c r="CV612" s="2156"/>
      <c r="CW612" s="2157"/>
      <c r="CX612" s="2155">
        <f t="shared" ref="CX612:CX617" si="25">IF(AND(B715="1 Bedroom",AH715&lt;=0.3),G715,0)</f>
        <v>0</v>
      </c>
      <c r="CY612" s="2156"/>
      <c r="CZ612" s="2156"/>
      <c r="DA612" s="2156"/>
      <c r="DB612" s="2157"/>
      <c r="DC612" s="2155">
        <f t="shared" ref="DC612:DC617" si="26">IF(AND(B715="2 Bedrooms",AH715&lt;=0.3),G715,0)</f>
        <v>0</v>
      </c>
      <c r="DD612" s="2156"/>
      <c r="DE612" s="2156"/>
      <c r="DF612" s="2156"/>
      <c r="DG612" s="2157"/>
      <c r="DH612" s="2155">
        <f t="shared" ref="DH612:DH617" si="27">IF(AND(B715="3 Bedrooms",AH715&lt;=0.3),G715,0)</f>
        <v>0</v>
      </c>
      <c r="DI612" s="2156"/>
      <c r="DJ612" s="2156"/>
      <c r="DK612" s="2156"/>
      <c r="DL612" s="2157"/>
      <c r="DM612" s="2155">
        <f t="shared" ref="DM612:DM617" si="28">IF(AND(B715="4 Bedrooms",AH715&lt;=0.3),G715,0)</f>
        <v>0</v>
      </c>
      <c r="DN612" s="2156"/>
      <c r="DO612" s="2156"/>
      <c r="DP612" s="2156"/>
      <c r="DQ612" s="2157"/>
      <c r="DR612" s="2155">
        <f t="shared" ref="DR612:DR617" si="29">IF(AND(B715="5 Bedrooms",AH715&lt;=0.3),G715,0)</f>
        <v>0</v>
      </c>
      <c r="DS612" s="2156"/>
      <c r="DT612" s="2156"/>
      <c r="DU612" s="2156"/>
      <c r="DV612" s="2157"/>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14">
        <f t="shared" si="8"/>
        <v>1</v>
      </c>
      <c r="BF613" s="1815"/>
      <c r="BG613" s="1810">
        <f t="shared" si="22"/>
        <v>2</v>
      </c>
      <c r="BH613" s="1813"/>
      <c r="BI613" s="1814">
        <f t="shared" si="9"/>
        <v>0</v>
      </c>
      <c r="BJ613" s="1815"/>
      <c r="BK613" s="1810">
        <f t="shared" si="23"/>
        <v>0</v>
      </c>
      <c r="BL613" s="1813"/>
      <c r="BN613" s="1810">
        <f t="shared" si="16"/>
        <v>0</v>
      </c>
      <c r="BO613" s="1811"/>
      <c r="BP613" s="1811"/>
      <c r="BQ613" s="1811"/>
      <c r="BR613" s="1812"/>
      <c r="BS613" s="1810">
        <f t="shared" si="17"/>
        <v>0</v>
      </c>
      <c r="BT613" s="1811"/>
      <c r="BU613" s="1811"/>
      <c r="BV613" s="1811"/>
      <c r="BW613" s="1813"/>
      <c r="BX613" s="1810">
        <f t="shared" si="18"/>
        <v>0</v>
      </c>
      <c r="BY613" s="1811"/>
      <c r="BZ613" s="1811"/>
      <c r="CA613" s="1811"/>
      <c r="CB613" s="1813"/>
      <c r="CC613" s="1810">
        <f t="shared" si="19"/>
        <v>0</v>
      </c>
      <c r="CD613" s="1811"/>
      <c r="CE613" s="1811"/>
      <c r="CF613" s="1811"/>
      <c r="CG613" s="1813"/>
      <c r="CH613" s="1810">
        <f t="shared" si="20"/>
        <v>0</v>
      </c>
      <c r="CI613" s="1811"/>
      <c r="CJ613" s="1811"/>
      <c r="CK613" s="1811"/>
      <c r="CL613" s="1813"/>
      <c r="CM613" s="1810">
        <f t="shared" si="21"/>
        <v>0</v>
      </c>
      <c r="CN613" s="1811"/>
      <c r="CO613" s="1811"/>
      <c r="CP613" s="1811"/>
      <c r="CQ613" s="1813"/>
      <c r="CS613" s="2155">
        <f t="shared" si="24"/>
        <v>0</v>
      </c>
      <c r="CT613" s="2156"/>
      <c r="CU613" s="2156"/>
      <c r="CV613" s="2156"/>
      <c r="CW613" s="2157"/>
      <c r="CX613" s="2155">
        <f t="shared" si="25"/>
        <v>0</v>
      </c>
      <c r="CY613" s="2156"/>
      <c r="CZ613" s="2156"/>
      <c r="DA613" s="2156"/>
      <c r="DB613" s="2157"/>
      <c r="DC613" s="2155">
        <f t="shared" si="26"/>
        <v>0</v>
      </c>
      <c r="DD613" s="2156"/>
      <c r="DE613" s="2156"/>
      <c r="DF613" s="2156"/>
      <c r="DG613" s="2157"/>
      <c r="DH613" s="2155">
        <f t="shared" si="27"/>
        <v>0</v>
      </c>
      <c r="DI613" s="2156"/>
      <c r="DJ613" s="2156"/>
      <c r="DK613" s="2156"/>
      <c r="DL613" s="2157"/>
      <c r="DM613" s="2155">
        <f t="shared" si="28"/>
        <v>0</v>
      </c>
      <c r="DN613" s="2156"/>
      <c r="DO613" s="2156"/>
      <c r="DP613" s="2156"/>
      <c r="DQ613" s="2157"/>
      <c r="DR613" s="2155">
        <f t="shared" si="29"/>
        <v>0</v>
      </c>
      <c r="DS613" s="2156"/>
      <c r="DT613" s="2156"/>
      <c r="DU613" s="2156"/>
      <c r="DV613" s="2157"/>
    </row>
    <row r="614" spans="1:126" ht="12.75">
      <c r="A614" s="101" t="s">
        <v>37</v>
      </c>
      <c r="B614" s="16" t="s">
        <v>93</v>
      </c>
      <c r="G614" s="1850">
        <f>C570</f>
        <v>0</v>
      </c>
      <c r="H614" s="1850"/>
      <c r="I614" s="1850"/>
      <c r="J614" s="1850"/>
      <c r="K614" s="1850"/>
      <c r="L614" s="1850"/>
      <c r="M614" s="1850"/>
      <c r="N614" s="1850"/>
      <c r="O614" s="1850"/>
      <c r="P614" s="1850"/>
      <c r="Q614" s="1850"/>
      <c r="R614" s="1850"/>
      <c r="T614" s="101" t="s">
        <v>38</v>
      </c>
      <c r="U614" s="16" t="s">
        <v>93</v>
      </c>
      <c r="Z614" s="1850">
        <f>C571</f>
        <v>0</v>
      </c>
      <c r="AA614" s="1850"/>
      <c r="AB614" s="1850"/>
      <c r="AC614" s="1850"/>
      <c r="AD614" s="1850"/>
      <c r="AE614" s="1850"/>
      <c r="AF614" s="1850"/>
      <c r="AG614" s="1850"/>
      <c r="AH614" s="1850"/>
      <c r="AI614" s="1850"/>
      <c r="AJ614" s="1850"/>
      <c r="AK614" s="1850"/>
      <c r="AZ614" s="72"/>
      <c r="BA614" s="72"/>
      <c r="BB614" s="72"/>
      <c r="BC614" s="72"/>
      <c r="BD614" s="72"/>
      <c r="BE614" s="1814">
        <f t="shared" si="8"/>
        <v>0</v>
      </c>
      <c r="BF614" s="1815"/>
      <c r="BG614" s="1810">
        <f t="shared" si="22"/>
        <v>0</v>
      </c>
      <c r="BH614" s="1813"/>
      <c r="BI614" s="1814">
        <f t="shared" si="9"/>
        <v>0</v>
      </c>
      <c r="BJ614" s="1815"/>
      <c r="BK614" s="1810">
        <f t="shared" si="23"/>
        <v>0</v>
      </c>
      <c r="BL614" s="1813"/>
      <c r="BN614" s="1810">
        <f t="shared" si="16"/>
        <v>0</v>
      </c>
      <c r="BO614" s="1811"/>
      <c r="BP614" s="1811"/>
      <c r="BQ614" s="1811"/>
      <c r="BR614" s="1812"/>
      <c r="BS614" s="1810">
        <f t="shared" si="17"/>
        <v>0</v>
      </c>
      <c r="BT614" s="1811"/>
      <c r="BU614" s="1811"/>
      <c r="BV614" s="1811"/>
      <c r="BW614" s="1813"/>
      <c r="BX614" s="1810">
        <f t="shared" si="18"/>
        <v>4</v>
      </c>
      <c r="BY614" s="1811"/>
      <c r="BZ614" s="1811"/>
      <c r="CA614" s="1811"/>
      <c r="CB614" s="1813"/>
      <c r="CC614" s="1810">
        <f t="shared" si="19"/>
        <v>0</v>
      </c>
      <c r="CD614" s="1811"/>
      <c r="CE614" s="1811"/>
      <c r="CF614" s="1811"/>
      <c r="CG614" s="1813"/>
      <c r="CH614" s="1810">
        <f t="shared" si="20"/>
        <v>0</v>
      </c>
      <c r="CI614" s="1811"/>
      <c r="CJ614" s="1811"/>
      <c r="CK614" s="1811"/>
      <c r="CL614" s="1813"/>
      <c r="CM614" s="1810">
        <f t="shared" si="21"/>
        <v>0</v>
      </c>
      <c r="CN614" s="1811"/>
      <c r="CO614" s="1811"/>
      <c r="CP614" s="1811"/>
      <c r="CQ614" s="1813"/>
      <c r="CS614" s="2155">
        <f t="shared" si="24"/>
        <v>0</v>
      </c>
      <c r="CT614" s="2156"/>
      <c r="CU614" s="2156"/>
      <c r="CV614" s="2156"/>
      <c r="CW614" s="2157"/>
      <c r="CX614" s="2155">
        <f t="shared" si="25"/>
        <v>0</v>
      </c>
      <c r="CY614" s="2156"/>
      <c r="CZ614" s="2156"/>
      <c r="DA614" s="2156"/>
      <c r="DB614" s="2157"/>
      <c r="DC614" s="2155">
        <f t="shared" si="26"/>
        <v>0</v>
      </c>
      <c r="DD614" s="2156"/>
      <c r="DE614" s="2156"/>
      <c r="DF614" s="2156"/>
      <c r="DG614" s="2157"/>
      <c r="DH614" s="2155">
        <f t="shared" si="27"/>
        <v>0</v>
      </c>
      <c r="DI614" s="2156"/>
      <c r="DJ614" s="2156"/>
      <c r="DK614" s="2156"/>
      <c r="DL614" s="2157"/>
      <c r="DM614" s="2155">
        <f t="shared" si="28"/>
        <v>0</v>
      </c>
      <c r="DN614" s="2156"/>
      <c r="DO614" s="2156"/>
      <c r="DP614" s="2156"/>
      <c r="DQ614" s="2157"/>
      <c r="DR614" s="2155">
        <f t="shared" si="29"/>
        <v>0</v>
      </c>
      <c r="DS614" s="2156"/>
      <c r="DT614" s="2156"/>
      <c r="DU614" s="2156"/>
      <c r="DV614" s="2157"/>
    </row>
    <row r="615" spans="1:126" ht="12.75">
      <c r="B615" s="16" t="s">
        <v>416</v>
      </c>
      <c r="G615" s="1697"/>
      <c r="H615" s="1697"/>
      <c r="I615" s="1697"/>
      <c r="J615" s="1697"/>
      <c r="K615" s="1697"/>
      <c r="L615" s="1697"/>
      <c r="M615" s="1697"/>
      <c r="N615" s="1697"/>
      <c r="O615" s="1697"/>
      <c r="P615" s="1697"/>
      <c r="Q615" s="1697"/>
      <c r="R615" s="1697"/>
      <c r="U615" s="16" t="s">
        <v>416</v>
      </c>
      <c r="Z615" s="1697"/>
      <c r="AA615" s="1697"/>
      <c r="AB615" s="1697"/>
      <c r="AC615" s="1697"/>
      <c r="AD615" s="1697"/>
      <c r="AE615" s="1697"/>
      <c r="AF615" s="1697"/>
      <c r="AG615" s="1697"/>
      <c r="AH615" s="1697"/>
      <c r="AI615" s="1697"/>
      <c r="AJ615" s="1697"/>
      <c r="AK615" s="1697"/>
      <c r="AL615" s="35"/>
      <c r="AZ615" s="72"/>
      <c r="BA615" s="72"/>
      <c r="BB615" s="72"/>
      <c r="BC615" s="72"/>
      <c r="BD615" s="72"/>
      <c r="BE615" s="1814">
        <f t="shared" si="8"/>
        <v>0</v>
      </c>
      <c r="BF615" s="1815"/>
      <c r="BG615" s="1810">
        <f t="shared" si="22"/>
        <v>0</v>
      </c>
      <c r="BH615" s="1813"/>
      <c r="BI615" s="1814">
        <f t="shared" si="9"/>
        <v>0</v>
      </c>
      <c r="BJ615" s="1815"/>
      <c r="BK615" s="1810">
        <f t="shared" si="23"/>
        <v>0</v>
      </c>
      <c r="BL615" s="1813"/>
      <c r="BN615" s="1810">
        <f t="shared" si="16"/>
        <v>0</v>
      </c>
      <c r="BO615" s="1811"/>
      <c r="BP615" s="1811"/>
      <c r="BQ615" s="1811"/>
      <c r="BR615" s="1812"/>
      <c r="BS615" s="1810">
        <f t="shared" si="17"/>
        <v>0</v>
      </c>
      <c r="BT615" s="1811"/>
      <c r="BU615" s="1811"/>
      <c r="BV615" s="1811"/>
      <c r="BW615" s="1813"/>
      <c r="BX615" s="1810">
        <f t="shared" si="18"/>
        <v>0</v>
      </c>
      <c r="BY615" s="1811"/>
      <c r="BZ615" s="1811"/>
      <c r="CA615" s="1811"/>
      <c r="CB615" s="1813"/>
      <c r="CC615" s="1810">
        <f t="shared" si="19"/>
        <v>4</v>
      </c>
      <c r="CD615" s="1811"/>
      <c r="CE615" s="1811"/>
      <c r="CF615" s="1811"/>
      <c r="CG615" s="1813"/>
      <c r="CH615" s="1810">
        <f t="shared" si="20"/>
        <v>0</v>
      </c>
      <c r="CI615" s="1811"/>
      <c r="CJ615" s="1811"/>
      <c r="CK615" s="1811"/>
      <c r="CL615" s="1813"/>
      <c r="CM615" s="1810">
        <f t="shared" si="21"/>
        <v>0</v>
      </c>
      <c r="CN615" s="1811"/>
      <c r="CO615" s="1811"/>
      <c r="CP615" s="1811"/>
      <c r="CQ615" s="1813"/>
      <c r="CS615" s="2155">
        <f t="shared" si="24"/>
        <v>0</v>
      </c>
      <c r="CT615" s="2156"/>
      <c r="CU615" s="2156"/>
      <c r="CV615" s="2156"/>
      <c r="CW615" s="2157"/>
      <c r="CX615" s="2155">
        <f t="shared" si="25"/>
        <v>0</v>
      </c>
      <c r="CY615" s="2156"/>
      <c r="CZ615" s="2156"/>
      <c r="DA615" s="2156"/>
      <c r="DB615" s="2157"/>
      <c r="DC615" s="2155">
        <f t="shared" si="26"/>
        <v>0</v>
      </c>
      <c r="DD615" s="2156"/>
      <c r="DE615" s="2156"/>
      <c r="DF615" s="2156"/>
      <c r="DG615" s="2157"/>
      <c r="DH615" s="2155">
        <f t="shared" si="27"/>
        <v>0</v>
      </c>
      <c r="DI615" s="2156"/>
      <c r="DJ615" s="2156"/>
      <c r="DK615" s="2156"/>
      <c r="DL615" s="2157"/>
      <c r="DM615" s="2155">
        <f t="shared" si="28"/>
        <v>0</v>
      </c>
      <c r="DN615" s="2156"/>
      <c r="DO615" s="2156"/>
      <c r="DP615" s="2156"/>
      <c r="DQ615" s="2157"/>
      <c r="DR615" s="2155">
        <f t="shared" si="29"/>
        <v>0</v>
      </c>
      <c r="DS615" s="2156"/>
      <c r="DT615" s="2156"/>
      <c r="DU615" s="2156"/>
      <c r="DV615" s="2157"/>
    </row>
    <row r="616" spans="1:126" ht="12.75">
      <c r="B616" s="16" t="s">
        <v>479</v>
      </c>
      <c r="G616" s="1697"/>
      <c r="H616" s="1697"/>
      <c r="I616" s="1697"/>
      <c r="J616" s="1697"/>
      <c r="K616" s="1697"/>
      <c r="L616" s="1697"/>
      <c r="M616" s="1697"/>
      <c r="N616" s="1697"/>
      <c r="O616" s="1697"/>
      <c r="P616" s="1697"/>
      <c r="Q616" s="1697"/>
      <c r="R616" s="1697"/>
      <c r="U616" s="16" t="s">
        <v>479</v>
      </c>
      <c r="Z616" s="1696"/>
      <c r="AA616" s="1696"/>
      <c r="AB616" s="1696"/>
      <c r="AC616" s="1696"/>
      <c r="AD616" s="1696"/>
      <c r="AE616" s="1696"/>
      <c r="AF616" s="1696"/>
      <c r="AG616" s="1696"/>
      <c r="AH616" s="1696"/>
      <c r="AI616" s="1696"/>
      <c r="AJ616" s="1696"/>
      <c r="AK616" s="1696"/>
      <c r="AL616" s="487"/>
      <c r="BA616" s="72"/>
      <c r="BB616" s="72"/>
      <c r="BC616" s="72"/>
      <c r="BD616" s="72"/>
      <c r="BE616" s="1814">
        <f t="shared" si="8"/>
        <v>0</v>
      </c>
      <c r="BF616" s="1815"/>
      <c r="BG616" s="1810">
        <f t="shared" si="22"/>
        <v>0</v>
      </c>
      <c r="BH616" s="1813"/>
      <c r="BI616" s="1814">
        <f t="shared" si="9"/>
        <v>0</v>
      </c>
      <c r="BJ616" s="1815"/>
      <c r="BK616" s="1810">
        <f t="shared" si="23"/>
        <v>0</v>
      </c>
      <c r="BL616" s="1813"/>
      <c r="BN616" s="1810">
        <f t="shared" si="16"/>
        <v>0</v>
      </c>
      <c r="BO616" s="1811"/>
      <c r="BP616" s="1811"/>
      <c r="BQ616" s="1811"/>
      <c r="BR616" s="1812"/>
      <c r="BS616" s="1810">
        <f t="shared" si="17"/>
        <v>0</v>
      </c>
      <c r="BT616" s="1811"/>
      <c r="BU616" s="1811"/>
      <c r="BV616" s="1811"/>
      <c r="BW616" s="1813"/>
      <c r="BX616" s="1810">
        <f t="shared" si="18"/>
        <v>0</v>
      </c>
      <c r="BY616" s="1811"/>
      <c r="BZ616" s="1811"/>
      <c r="CA616" s="1811"/>
      <c r="CB616" s="1813"/>
      <c r="CC616" s="1810">
        <f t="shared" si="19"/>
        <v>0</v>
      </c>
      <c r="CD616" s="1811"/>
      <c r="CE616" s="1811"/>
      <c r="CF616" s="1811"/>
      <c r="CG616" s="1813"/>
      <c r="CH616" s="1810">
        <f t="shared" si="20"/>
        <v>0</v>
      </c>
      <c r="CI616" s="1811"/>
      <c r="CJ616" s="1811"/>
      <c r="CK616" s="1811"/>
      <c r="CL616" s="1813"/>
      <c r="CM616" s="1810">
        <f t="shared" si="21"/>
        <v>0</v>
      </c>
      <c r="CN616" s="1811"/>
      <c r="CO616" s="1811"/>
      <c r="CP616" s="1811"/>
      <c r="CQ616" s="1813"/>
      <c r="CS616" s="2155">
        <f t="shared" si="24"/>
        <v>0</v>
      </c>
      <c r="CT616" s="2156"/>
      <c r="CU616" s="2156"/>
      <c r="CV616" s="2156"/>
      <c r="CW616" s="2157"/>
      <c r="CX616" s="2155">
        <f t="shared" si="25"/>
        <v>0</v>
      </c>
      <c r="CY616" s="2156"/>
      <c r="CZ616" s="2156"/>
      <c r="DA616" s="2156"/>
      <c r="DB616" s="2157"/>
      <c r="DC616" s="2155">
        <f t="shared" si="26"/>
        <v>0</v>
      </c>
      <c r="DD616" s="2156"/>
      <c r="DE616" s="2156"/>
      <c r="DF616" s="2156"/>
      <c r="DG616" s="2157"/>
      <c r="DH616" s="2155">
        <f t="shared" si="27"/>
        <v>0</v>
      </c>
      <c r="DI616" s="2156"/>
      <c r="DJ616" s="2156"/>
      <c r="DK616" s="2156"/>
      <c r="DL616" s="2157"/>
      <c r="DM616" s="2155">
        <f t="shared" si="28"/>
        <v>0</v>
      </c>
      <c r="DN616" s="2156"/>
      <c r="DO616" s="2156"/>
      <c r="DP616" s="2156"/>
      <c r="DQ616" s="2157"/>
      <c r="DR616" s="2155">
        <f t="shared" si="29"/>
        <v>0</v>
      </c>
      <c r="DS616" s="2156"/>
      <c r="DT616" s="2156"/>
      <c r="DU616" s="2156"/>
      <c r="DV616" s="2157"/>
    </row>
    <row r="617" spans="1:126" ht="12.75">
      <c r="B617" s="16" t="s">
        <v>915</v>
      </c>
      <c r="G617" s="1697"/>
      <c r="H617" s="1697"/>
      <c r="I617" s="1697"/>
      <c r="J617" s="1697"/>
      <c r="K617" s="1697"/>
      <c r="L617" s="1697"/>
      <c r="M617" s="1697"/>
      <c r="N617" s="1697"/>
      <c r="O617" s="1697"/>
      <c r="P617" s="1697"/>
      <c r="Q617" s="1697"/>
      <c r="R617" s="1697"/>
      <c r="U617" s="16" t="s">
        <v>915</v>
      </c>
      <c r="Z617" s="1696"/>
      <c r="AA617" s="1696"/>
      <c r="AB617" s="1696"/>
      <c r="AC617" s="1696"/>
      <c r="AD617" s="1696"/>
      <c r="AE617" s="1696"/>
      <c r="AF617" s="1696"/>
      <c r="AG617" s="1696"/>
      <c r="AH617" s="1696"/>
      <c r="AI617" s="1696"/>
      <c r="AJ617" s="1696"/>
      <c r="AK617" s="1696"/>
      <c r="AL617" s="487"/>
      <c r="BA617" s="72"/>
      <c r="BB617" s="72"/>
      <c r="BC617" s="72"/>
      <c r="BD617" s="72"/>
      <c r="BE617" s="1814">
        <f t="shared" si="8"/>
        <v>0</v>
      </c>
      <c r="BF617" s="1815"/>
      <c r="BG617" s="1810">
        <f t="shared" si="22"/>
        <v>0</v>
      </c>
      <c r="BH617" s="1813"/>
      <c r="BI617" s="1814">
        <f t="shared" si="9"/>
        <v>0</v>
      </c>
      <c r="BJ617" s="1815"/>
      <c r="BK617" s="1810">
        <f t="shared" si="23"/>
        <v>0</v>
      </c>
      <c r="BL617" s="1813"/>
      <c r="BN617" s="1810">
        <f t="shared" si="0"/>
        <v>0</v>
      </c>
      <c r="BO617" s="1811"/>
      <c r="BP617" s="1811"/>
      <c r="BQ617" s="1811"/>
      <c r="BR617" s="1812"/>
      <c r="BS617" s="1810">
        <f t="shared" si="1"/>
        <v>0</v>
      </c>
      <c r="BT617" s="1811"/>
      <c r="BU617" s="1811"/>
      <c r="BV617" s="1811"/>
      <c r="BW617" s="1813"/>
      <c r="BX617" s="1810">
        <f t="shared" si="2"/>
        <v>5</v>
      </c>
      <c r="BY617" s="1811"/>
      <c r="BZ617" s="1811"/>
      <c r="CA617" s="1811"/>
      <c r="CB617" s="1813"/>
      <c r="CC617" s="1810">
        <f t="shared" si="3"/>
        <v>0</v>
      </c>
      <c r="CD617" s="1811"/>
      <c r="CE617" s="1811"/>
      <c r="CF617" s="1811"/>
      <c r="CG617" s="1813"/>
      <c r="CH617" s="1810">
        <f t="shared" si="4"/>
        <v>0</v>
      </c>
      <c r="CI617" s="1811"/>
      <c r="CJ617" s="1811"/>
      <c r="CK617" s="1811"/>
      <c r="CL617" s="1813"/>
      <c r="CM617" s="1810">
        <f t="shared" si="5"/>
        <v>0</v>
      </c>
      <c r="CN617" s="1811"/>
      <c r="CO617" s="1811"/>
      <c r="CP617" s="1811"/>
      <c r="CQ617" s="1813"/>
      <c r="CS617" s="2155">
        <f t="shared" si="24"/>
        <v>0</v>
      </c>
      <c r="CT617" s="2156"/>
      <c r="CU617" s="2156"/>
      <c r="CV617" s="2156"/>
      <c r="CW617" s="2157"/>
      <c r="CX617" s="2155">
        <f t="shared" si="25"/>
        <v>0</v>
      </c>
      <c r="CY617" s="2156"/>
      <c r="CZ617" s="2156"/>
      <c r="DA617" s="2156"/>
      <c r="DB617" s="2157"/>
      <c r="DC617" s="2155">
        <f t="shared" si="26"/>
        <v>0</v>
      </c>
      <c r="DD617" s="2156"/>
      <c r="DE617" s="2156"/>
      <c r="DF617" s="2156"/>
      <c r="DG617" s="2157"/>
      <c r="DH617" s="2155">
        <f t="shared" si="27"/>
        <v>0</v>
      </c>
      <c r="DI617" s="2156"/>
      <c r="DJ617" s="2156"/>
      <c r="DK617" s="2156"/>
      <c r="DL617" s="2157"/>
      <c r="DM617" s="2155">
        <f t="shared" si="28"/>
        <v>0</v>
      </c>
      <c r="DN617" s="2156"/>
      <c r="DO617" s="2156"/>
      <c r="DP617" s="2156"/>
      <c r="DQ617" s="2157"/>
      <c r="DR617" s="2155">
        <f t="shared" si="29"/>
        <v>0</v>
      </c>
      <c r="DS617" s="2156"/>
      <c r="DT617" s="2156"/>
      <c r="DU617" s="2156"/>
      <c r="DV617" s="2157"/>
    </row>
    <row r="618" spans="1:126" ht="12.75">
      <c r="B618" s="16" t="s">
        <v>716</v>
      </c>
      <c r="G618" s="1689"/>
      <c r="H618" s="1689"/>
      <c r="I618" s="1689"/>
      <c r="J618" s="1689"/>
      <c r="K618" s="1689"/>
      <c r="L618" s="1689"/>
      <c r="O618" s="149" t="s">
        <v>900</v>
      </c>
      <c r="P618" s="1702"/>
      <c r="Q618" s="1702"/>
      <c r="R618" s="1702"/>
      <c r="U618" s="16" t="s">
        <v>716</v>
      </c>
      <c r="Z618" s="1689"/>
      <c r="AA618" s="1689"/>
      <c r="AB618" s="1689"/>
      <c r="AC618" s="1689"/>
      <c r="AD618" s="1689"/>
      <c r="AE618" s="1689"/>
      <c r="AH618" s="149" t="s">
        <v>900</v>
      </c>
      <c r="AI618" s="1702"/>
      <c r="AJ618" s="1702"/>
      <c r="AK618" s="1702"/>
      <c r="AL618" s="3"/>
      <c r="AZ618" s="72"/>
      <c r="BA618" s="72"/>
      <c r="BB618" s="72"/>
      <c r="BC618" s="72"/>
      <c r="BD618" s="72"/>
      <c r="BE618" s="1814">
        <f t="shared" si="8"/>
        <v>0</v>
      </c>
      <c r="BF618" s="1815"/>
      <c r="BG618" s="1810">
        <f t="shared" si="6"/>
        <v>0</v>
      </c>
      <c r="BH618" s="1813"/>
      <c r="BI618" s="1814">
        <f t="shared" si="9"/>
        <v>0</v>
      </c>
      <c r="BJ618" s="1815"/>
      <c r="BK618" s="1810">
        <f t="shared" si="7"/>
        <v>0</v>
      </c>
      <c r="BL618" s="1813"/>
      <c r="BN618" s="1810">
        <f t="shared" si="0"/>
        <v>0</v>
      </c>
      <c r="BO618" s="1811"/>
      <c r="BP618" s="1811"/>
      <c r="BQ618" s="1811"/>
      <c r="BR618" s="1812"/>
      <c r="BS618" s="1810">
        <f t="shared" si="1"/>
        <v>0</v>
      </c>
      <c r="BT618" s="1811"/>
      <c r="BU618" s="1811"/>
      <c r="BV618" s="1811"/>
      <c r="BW618" s="1813"/>
      <c r="BX618" s="1810">
        <f t="shared" si="2"/>
        <v>0</v>
      </c>
      <c r="BY618" s="1811"/>
      <c r="BZ618" s="1811"/>
      <c r="CA618" s="1811"/>
      <c r="CB618" s="1813"/>
      <c r="CC618" s="1810">
        <f t="shared" si="3"/>
        <v>4</v>
      </c>
      <c r="CD618" s="1811"/>
      <c r="CE618" s="1811"/>
      <c r="CF618" s="1811"/>
      <c r="CG618" s="1813"/>
      <c r="CH618" s="1810">
        <f t="shared" si="4"/>
        <v>0</v>
      </c>
      <c r="CI618" s="1811"/>
      <c r="CJ618" s="1811"/>
      <c r="CK618" s="1811"/>
      <c r="CL618" s="1813"/>
      <c r="CM618" s="1810">
        <f t="shared" si="5"/>
        <v>0</v>
      </c>
      <c r="CN618" s="1811"/>
      <c r="CO618" s="1811"/>
      <c r="CP618" s="1811"/>
      <c r="CQ618" s="1813"/>
      <c r="CS618" s="2155">
        <f t="shared" si="10"/>
        <v>0</v>
      </c>
      <c r="CT618" s="2156"/>
      <c r="CU618" s="2156"/>
      <c r="CV618" s="2156"/>
      <c r="CW618" s="2157"/>
      <c r="CX618" s="2155">
        <f t="shared" si="11"/>
        <v>0</v>
      </c>
      <c r="CY618" s="2156"/>
      <c r="CZ618" s="2156"/>
      <c r="DA618" s="2156"/>
      <c r="DB618" s="2157"/>
      <c r="DC618" s="2155">
        <f t="shared" si="12"/>
        <v>0</v>
      </c>
      <c r="DD618" s="2156"/>
      <c r="DE618" s="2156"/>
      <c r="DF618" s="2156"/>
      <c r="DG618" s="2157"/>
      <c r="DH618" s="2155">
        <f t="shared" si="13"/>
        <v>0</v>
      </c>
      <c r="DI618" s="2156"/>
      <c r="DJ618" s="2156"/>
      <c r="DK618" s="2156"/>
      <c r="DL618" s="2157"/>
      <c r="DM618" s="2155">
        <f t="shared" si="14"/>
        <v>0</v>
      </c>
      <c r="DN618" s="2156"/>
      <c r="DO618" s="2156"/>
      <c r="DP618" s="2156"/>
      <c r="DQ618" s="2157"/>
      <c r="DR618" s="2155">
        <f t="shared" si="15"/>
        <v>0</v>
      </c>
      <c r="DS618" s="2156"/>
      <c r="DT618" s="2156"/>
      <c r="DU618" s="2156"/>
      <c r="DV618" s="2157"/>
    </row>
    <row r="619" spans="1:126" ht="12.75">
      <c r="B619" s="16" t="s">
        <v>916</v>
      </c>
      <c r="H619" s="1697"/>
      <c r="I619" s="1697"/>
      <c r="J619" s="1697"/>
      <c r="K619" s="1697"/>
      <c r="L619" s="1697"/>
      <c r="M619" s="1697"/>
      <c r="N619" s="1697"/>
      <c r="O619" s="1697"/>
      <c r="P619" s="1697"/>
      <c r="Q619" s="1697"/>
      <c r="R619" s="1697"/>
      <c r="U619" s="16" t="s">
        <v>916</v>
      </c>
      <c r="AA619" s="1697"/>
      <c r="AB619" s="1697"/>
      <c r="AC619" s="1697"/>
      <c r="AD619" s="1697"/>
      <c r="AE619" s="1697"/>
      <c r="AF619" s="1697"/>
      <c r="AG619" s="1697"/>
      <c r="AH619" s="1697"/>
      <c r="AI619" s="1697"/>
      <c r="AJ619" s="1697"/>
      <c r="AK619" s="1697"/>
      <c r="AL619" s="3"/>
      <c r="AZ619" s="72"/>
      <c r="BA619" s="72"/>
      <c r="BB619" s="72"/>
      <c r="BC619" s="72"/>
      <c r="BD619" s="72"/>
      <c r="BE619" s="1814">
        <f t="shared" si="8"/>
        <v>0</v>
      </c>
      <c r="BF619" s="1815"/>
      <c r="BG619" s="1810">
        <f t="shared" si="6"/>
        <v>0</v>
      </c>
      <c r="BH619" s="1813"/>
      <c r="BI619" s="1814">
        <f t="shared" si="9"/>
        <v>0</v>
      </c>
      <c r="BJ619" s="1815"/>
      <c r="BK619" s="1810">
        <f t="shared" si="7"/>
        <v>0</v>
      </c>
      <c r="BL619" s="1813"/>
      <c r="BN619" s="1810">
        <f t="shared" si="0"/>
        <v>0</v>
      </c>
      <c r="BO619" s="1811"/>
      <c r="BP619" s="1811"/>
      <c r="BQ619" s="1811"/>
      <c r="BR619" s="1812"/>
      <c r="BS619" s="1810">
        <f t="shared" si="1"/>
        <v>0</v>
      </c>
      <c r="BT619" s="1811"/>
      <c r="BU619" s="1811"/>
      <c r="BV619" s="1811"/>
      <c r="BW619" s="1813"/>
      <c r="BX619" s="1810">
        <f t="shared" si="2"/>
        <v>0</v>
      </c>
      <c r="BY619" s="1811"/>
      <c r="BZ619" s="1811"/>
      <c r="CA619" s="1811"/>
      <c r="CB619" s="1813"/>
      <c r="CC619" s="1810">
        <f t="shared" si="3"/>
        <v>0</v>
      </c>
      <c r="CD619" s="1811"/>
      <c r="CE619" s="1811"/>
      <c r="CF619" s="1811"/>
      <c r="CG619" s="1813"/>
      <c r="CH619" s="1810">
        <f t="shared" si="4"/>
        <v>0</v>
      </c>
      <c r="CI619" s="1811"/>
      <c r="CJ619" s="1811"/>
      <c r="CK619" s="1811"/>
      <c r="CL619" s="1813"/>
      <c r="CM619" s="1810">
        <f t="shared" si="5"/>
        <v>0</v>
      </c>
      <c r="CN619" s="1811"/>
      <c r="CO619" s="1811"/>
      <c r="CP619" s="1811"/>
      <c r="CQ619" s="1813"/>
      <c r="CS619" s="2155">
        <f t="shared" si="10"/>
        <v>0</v>
      </c>
      <c r="CT619" s="2156"/>
      <c r="CU619" s="2156"/>
      <c r="CV619" s="2156"/>
      <c r="CW619" s="2157"/>
      <c r="CX619" s="2155">
        <f t="shared" si="11"/>
        <v>0</v>
      </c>
      <c r="CY619" s="2156"/>
      <c r="CZ619" s="2156"/>
      <c r="DA619" s="2156"/>
      <c r="DB619" s="2157"/>
      <c r="DC619" s="2155">
        <f t="shared" si="12"/>
        <v>0</v>
      </c>
      <c r="DD619" s="2156"/>
      <c r="DE619" s="2156"/>
      <c r="DF619" s="2156"/>
      <c r="DG619" s="2157"/>
      <c r="DH619" s="2155">
        <f t="shared" si="13"/>
        <v>0</v>
      </c>
      <c r="DI619" s="2156"/>
      <c r="DJ619" s="2156"/>
      <c r="DK619" s="2156"/>
      <c r="DL619" s="2157"/>
      <c r="DM619" s="2155">
        <f t="shared" si="14"/>
        <v>0</v>
      </c>
      <c r="DN619" s="2156"/>
      <c r="DO619" s="2156"/>
      <c r="DP619" s="2156"/>
      <c r="DQ619" s="2157"/>
      <c r="DR619" s="2155">
        <f t="shared" si="15"/>
        <v>0</v>
      </c>
      <c r="DS619" s="2156"/>
      <c r="DT619" s="2156"/>
      <c r="DU619" s="2156"/>
      <c r="DV619" s="2157"/>
    </row>
    <row r="620" spans="1:126" ht="12.75" customHeight="1">
      <c r="B620" s="16" t="s">
        <v>918</v>
      </c>
      <c r="N620" s="1694" t="s">
        <v>531</v>
      </c>
      <c r="O620" s="1694"/>
      <c r="U620" s="16" t="s">
        <v>918</v>
      </c>
      <c r="AG620" s="1694" t="s">
        <v>531</v>
      </c>
      <c r="AH620" s="1694"/>
      <c r="AL620" s="3"/>
      <c r="AZ620" s="72"/>
      <c r="BA620" s="72"/>
      <c r="BB620" s="72"/>
      <c r="BC620" s="72"/>
      <c r="BD620" s="72"/>
      <c r="BE620" s="1814">
        <f t="shared" si="8"/>
        <v>0</v>
      </c>
      <c r="BF620" s="1815"/>
      <c r="BG620" s="1810">
        <f t="shared" si="6"/>
        <v>0</v>
      </c>
      <c r="BH620" s="1813"/>
      <c r="BI620" s="1814">
        <f t="shared" si="9"/>
        <v>0</v>
      </c>
      <c r="BJ620" s="1815"/>
      <c r="BK620" s="1810">
        <f t="shared" si="7"/>
        <v>0</v>
      </c>
      <c r="BL620" s="1813"/>
      <c r="BN620" s="1810">
        <f t="shared" si="0"/>
        <v>0</v>
      </c>
      <c r="BO620" s="1811"/>
      <c r="BP620" s="1811"/>
      <c r="BQ620" s="1811"/>
      <c r="BR620" s="1812"/>
      <c r="BS620" s="1810">
        <f t="shared" si="1"/>
        <v>0</v>
      </c>
      <c r="BT620" s="1811"/>
      <c r="BU620" s="1811"/>
      <c r="BV620" s="1811"/>
      <c r="BW620" s="1813"/>
      <c r="BX620" s="1810">
        <f t="shared" si="2"/>
        <v>4</v>
      </c>
      <c r="BY620" s="1811"/>
      <c r="BZ620" s="1811"/>
      <c r="CA620" s="1811"/>
      <c r="CB620" s="1813"/>
      <c r="CC620" s="1810">
        <f t="shared" si="3"/>
        <v>0</v>
      </c>
      <c r="CD620" s="1811"/>
      <c r="CE620" s="1811"/>
      <c r="CF620" s="1811"/>
      <c r="CG620" s="1813"/>
      <c r="CH620" s="1810">
        <f t="shared" si="4"/>
        <v>0</v>
      </c>
      <c r="CI620" s="1811"/>
      <c r="CJ620" s="1811"/>
      <c r="CK620" s="1811"/>
      <c r="CL620" s="1813"/>
      <c r="CM620" s="1810">
        <f t="shared" si="5"/>
        <v>0</v>
      </c>
      <c r="CN620" s="1811"/>
      <c r="CO620" s="1811"/>
      <c r="CP620" s="1811"/>
      <c r="CQ620" s="1813"/>
      <c r="CS620" s="2155">
        <f t="shared" si="10"/>
        <v>0</v>
      </c>
      <c r="CT620" s="2156"/>
      <c r="CU620" s="2156"/>
      <c r="CV620" s="2156"/>
      <c r="CW620" s="2157"/>
      <c r="CX620" s="2155">
        <f t="shared" si="11"/>
        <v>0</v>
      </c>
      <c r="CY620" s="2156"/>
      <c r="CZ620" s="2156"/>
      <c r="DA620" s="2156"/>
      <c r="DB620" s="2157"/>
      <c r="DC620" s="2155">
        <f t="shared" si="12"/>
        <v>0</v>
      </c>
      <c r="DD620" s="2156"/>
      <c r="DE620" s="2156"/>
      <c r="DF620" s="2156"/>
      <c r="DG620" s="2157"/>
      <c r="DH620" s="2155">
        <f t="shared" si="13"/>
        <v>0</v>
      </c>
      <c r="DI620" s="2156"/>
      <c r="DJ620" s="2156"/>
      <c r="DK620" s="2156"/>
      <c r="DL620" s="2157"/>
      <c r="DM620" s="2155">
        <f t="shared" si="14"/>
        <v>0</v>
      </c>
      <c r="DN620" s="2156"/>
      <c r="DO620" s="2156"/>
      <c r="DP620" s="2156"/>
      <c r="DQ620" s="2157"/>
      <c r="DR620" s="2155">
        <f t="shared" si="15"/>
        <v>0</v>
      </c>
      <c r="DS620" s="2156"/>
      <c r="DT620" s="2156"/>
      <c r="DU620" s="2156"/>
      <c r="DV620" s="2157"/>
    </row>
    <row r="621" spans="1:126" ht="12.75">
      <c r="AZ621" s="72"/>
      <c r="BA621" s="72"/>
      <c r="BB621" s="72"/>
      <c r="BC621" s="72"/>
      <c r="BD621" s="72"/>
      <c r="BE621" s="1814">
        <f t="shared" si="8"/>
        <v>0</v>
      </c>
      <c r="BF621" s="1815"/>
      <c r="BG621" s="1810">
        <f t="shared" si="6"/>
        <v>0</v>
      </c>
      <c r="BH621" s="1813"/>
      <c r="BI621" s="1814">
        <f t="shared" si="9"/>
        <v>0</v>
      </c>
      <c r="BJ621" s="1815"/>
      <c r="BK621" s="1810">
        <f t="shared" si="7"/>
        <v>0</v>
      </c>
      <c r="BL621" s="1813"/>
      <c r="BN621" s="1810">
        <f t="shared" si="0"/>
        <v>0</v>
      </c>
      <c r="BO621" s="1811"/>
      <c r="BP621" s="1811"/>
      <c r="BQ621" s="1811"/>
      <c r="BR621" s="1812"/>
      <c r="BS621" s="1810">
        <f t="shared" si="1"/>
        <v>0</v>
      </c>
      <c r="BT621" s="1811"/>
      <c r="BU621" s="1811"/>
      <c r="BV621" s="1811"/>
      <c r="BW621" s="1813"/>
      <c r="BX621" s="1810">
        <f t="shared" si="2"/>
        <v>0</v>
      </c>
      <c r="BY621" s="1811"/>
      <c r="BZ621" s="1811"/>
      <c r="CA621" s="1811"/>
      <c r="CB621" s="1813"/>
      <c r="CC621" s="1810">
        <f t="shared" si="3"/>
        <v>4</v>
      </c>
      <c r="CD621" s="1811"/>
      <c r="CE621" s="1811"/>
      <c r="CF621" s="1811"/>
      <c r="CG621" s="1813"/>
      <c r="CH621" s="1810">
        <f t="shared" si="4"/>
        <v>0</v>
      </c>
      <c r="CI621" s="1811"/>
      <c r="CJ621" s="1811"/>
      <c r="CK621" s="1811"/>
      <c r="CL621" s="1813"/>
      <c r="CM621" s="1810">
        <f t="shared" si="5"/>
        <v>0</v>
      </c>
      <c r="CN621" s="1811"/>
      <c r="CO621" s="1811"/>
      <c r="CP621" s="1811"/>
      <c r="CQ621" s="1813"/>
      <c r="CS621" s="2155">
        <f t="shared" si="10"/>
        <v>0</v>
      </c>
      <c r="CT621" s="2156"/>
      <c r="CU621" s="2156"/>
      <c r="CV621" s="2156"/>
      <c r="CW621" s="2157"/>
      <c r="CX621" s="2155">
        <f t="shared" si="11"/>
        <v>0</v>
      </c>
      <c r="CY621" s="2156"/>
      <c r="CZ621" s="2156"/>
      <c r="DA621" s="2156"/>
      <c r="DB621" s="2157"/>
      <c r="DC621" s="2155">
        <f t="shared" si="12"/>
        <v>0</v>
      </c>
      <c r="DD621" s="2156"/>
      <c r="DE621" s="2156"/>
      <c r="DF621" s="2156"/>
      <c r="DG621" s="2157"/>
      <c r="DH621" s="2155">
        <f t="shared" si="13"/>
        <v>0</v>
      </c>
      <c r="DI621" s="2156"/>
      <c r="DJ621" s="2156"/>
      <c r="DK621" s="2156"/>
      <c r="DL621" s="2157"/>
      <c r="DM621" s="2155">
        <f t="shared" si="14"/>
        <v>0</v>
      </c>
      <c r="DN621" s="2156"/>
      <c r="DO621" s="2156"/>
      <c r="DP621" s="2156"/>
      <c r="DQ621" s="2157"/>
      <c r="DR621" s="2155">
        <f t="shared" si="15"/>
        <v>0</v>
      </c>
      <c r="DS621" s="2156"/>
      <c r="DT621" s="2156"/>
      <c r="DU621" s="2156"/>
      <c r="DV621" s="2157"/>
    </row>
    <row r="622" spans="1:126" ht="12.75" customHeight="1">
      <c r="A622" s="1553" t="s">
        <v>138</v>
      </c>
      <c r="B622" s="1553"/>
      <c r="C622" s="1553"/>
      <c r="D622" s="1553"/>
      <c r="E622" s="1553"/>
      <c r="F622" s="1553"/>
      <c r="G622" s="1553"/>
      <c r="H622" s="1553"/>
      <c r="I622" s="1553"/>
      <c r="J622" s="1553"/>
      <c r="K622" s="1553"/>
      <c r="L622" s="1553"/>
      <c r="M622" s="1553"/>
      <c r="N622" s="1553"/>
      <c r="O622" s="1553"/>
      <c r="P622" s="1553"/>
      <c r="Q622" s="1553"/>
      <c r="R622" s="1553"/>
      <c r="S622" s="1553"/>
      <c r="T622" s="1553"/>
      <c r="U622" s="1553"/>
      <c r="V622" s="1553"/>
      <c r="W622" s="1553"/>
      <c r="X622" s="1553"/>
      <c r="Y622" s="1553"/>
      <c r="Z622" s="1553"/>
      <c r="AA622" s="1553"/>
      <c r="AB622" s="1553"/>
      <c r="AC622" s="1553"/>
      <c r="AD622" s="1553"/>
      <c r="AE622" s="1553"/>
      <c r="AF622" s="1553"/>
      <c r="AG622" s="1553"/>
      <c r="AH622" s="1553"/>
      <c r="AI622" s="1553"/>
      <c r="AJ622" s="1553"/>
      <c r="AK622" s="1553"/>
      <c r="AL622" s="1553"/>
      <c r="AM622" s="1553"/>
      <c r="AN622" s="1553"/>
      <c r="AO622" s="1553"/>
      <c r="AP622" s="1553"/>
      <c r="AQ622" s="1553"/>
      <c r="AR622" s="1553"/>
      <c r="AS622" s="1553"/>
      <c r="AZ622" s="72"/>
      <c r="BA622" s="72"/>
      <c r="BB622" s="72"/>
      <c r="BC622" s="72"/>
      <c r="BD622" s="72"/>
      <c r="BE622" s="1814">
        <f t="shared" si="8"/>
        <v>0</v>
      </c>
      <c r="BF622" s="1815"/>
      <c r="BG622" s="1810">
        <f t="shared" si="6"/>
        <v>0</v>
      </c>
      <c r="BH622" s="1813"/>
      <c r="BI622" s="1814">
        <f t="shared" si="9"/>
        <v>0</v>
      </c>
      <c r="BJ622" s="1815"/>
      <c r="BK622" s="1810">
        <f t="shared" si="7"/>
        <v>0</v>
      </c>
      <c r="BL622" s="1813"/>
      <c r="BN622" s="1810">
        <f t="shared" si="0"/>
        <v>0</v>
      </c>
      <c r="BO622" s="1811"/>
      <c r="BP622" s="1811"/>
      <c r="BQ622" s="1811"/>
      <c r="BR622" s="1812"/>
      <c r="BS622" s="1810">
        <f t="shared" si="1"/>
        <v>0</v>
      </c>
      <c r="BT622" s="1811"/>
      <c r="BU622" s="1811"/>
      <c r="BV622" s="1811"/>
      <c r="BW622" s="1813"/>
      <c r="BX622" s="1810">
        <f t="shared" si="2"/>
        <v>0</v>
      </c>
      <c r="BY622" s="1811"/>
      <c r="BZ622" s="1811"/>
      <c r="CA622" s="1811"/>
      <c r="CB622" s="1813"/>
      <c r="CC622" s="1810">
        <f t="shared" si="3"/>
        <v>0</v>
      </c>
      <c r="CD622" s="1811"/>
      <c r="CE622" s="1811"/>
      <c r="CF622" s="1811"/>
      <c r="CG622" s="1813"/>
      <c r="CH622" s="1810">
        <f t="shared" si="4"/>
        <v>0</v>
      </c>
      <c r="CI622" s="1811"/>
      <c r="CJ622" s="1811"/>
      <c r="CK622" s="1811"/>
      <c r="CL622" s="1813"/>
      <c r="CM622" s="1810">
        <f t="shared" si="5"/>
        <v>0</v>
      </c>
      <c r="CN622" s="1811"/>
      <c r="CO622" s="1811"/>
      <c r="CP622" s="1811"/>
      <c r="CQ622" s="1813"/>
      <c r="CS622" s="2155">
        <f t="shared" si="10"/>
        <v>0</v>
      </c>
      <c r="CT622" s="2156"/>
      <c r="CU622" s="2156"/>
      <c r="CV622" s="2156"/>
      <c r="CW622" s="2157"/>
      <c r="CX622" s="2155">
        <f t="shared" si="11"/>
        <v>0</v>
      </c>
      <c r="CY622" s="2156"/>
      <c r="CZ622" s="2156"/>
      <c r="DA622" s="2156"/>
      <c r="DB622" s="2157"/>
      <c r="DC622" s="2155">
        <f t="shared" si="12"/>
        <v>0</v>
      </c>
      <c r="DD622" s="2156"/>
      <c r="DE622" s="2156"/>
      <c r="DF622" s="2156"/>
      <c r="DG622" s="2157"/>
      <c r="DH622" s="2155">
        <f t="shared" si="13"/>
        <v>0</v>
      </c>
      <c r="DI622" s="2156"/>
      <c r="DJ622" s="2156"/>
      <c r="DK622" s="2156"/>
      <c r="DL622" s="2157"/>
      <c r="DM622" s="2155">
        <f t="shared" si="14"/>
        <v>0</v>
      </c>
      <c r="DN622" s="2156"/>
      <c r="DO622" s="2156"/>
      <c r="DP622" s="2156"/>
      <c r="DQ622" s="2157"/>
      <c r="DR622" s="2155">
        <f t="shared" si="15"/>
        <v>0</v>
      </c>
      <c r="DS622" s="2156"/>
      <c r="DT622" s="2156"/>
      <c r="DU622" s="2156"/>
      <c r="DV622" s="2157"/>
    </row>
    <row r="623" spans="1:126" ht="12.75">
      <c r="A623" s="1553"/>
      <c r="B623" s="1553"/>
      <c r="C623" s="1553"/>
      <c r="D623" s="1553"/>
      <c r="E623" s="1553"/>
      <c r="F623" s="1553"/>
      <c r="G623" s="1553"/>
      <c r="H623" s="1553"/>
      <c r="I623" s="1553"/>
      <c r="J623" s="1553"/>
      <c r="K623" s="1553"/>
      <c r="L623" s="1553"/>
      <c r="M623" s="1553"/>
      <c r="N623" s="1553"/>
      <c r="O623" s="1553"/>
      <c r="P623" s="1553"/>
      <c r="Q623" s="1553"/>
      <c r="R623" s="1553"/>
      <c r="S623" s="1553"/>
      <c r="T623" s="1553"/>
      <c r="U623" s="1553"/>
      <c r="V623" s="1553"/>
      <c r="W623" s="1553"/>
      <c r="X623" s="1553"/>
      <c r="Y623" s="1553"/>
      <c r="Z623" s="1553"/>
      <c r="AA623" s="1553"/>
      <c r="AB623" s="1553"/>
      <c r="AC623" s="1553"/>
      <c r="AD623" s="1553"/>
      <c r="AE623" s="1553"/>
      <c r="AF623" s="1553"/>
      <c r="AG623" s="1553"/>
      <c r="AH623" s="1553"/>
      <c r="AI623" s="1553"/>
      <c r="AJ623" s="1553"/>
      <c r="AK623" s="1553"/>
      <c r="AL623" s="1553"/>
      <c r="AM623" s="1553"/>
      <c r="AN623" s="1553"/>
      <c r="AO623" s="1553"/>
      <c r="AP623" s="1553"/>
      <c r="AQ623" s="1553"/>
      <c r="AR623" s="1553"/>
      <c r="AS623" s="1553"/>
      <c r="AZ623" s="72"/>
      <c r="BA623" s="72"/>
      <c r="BB623" s="72"/>
      <c r="BC623" s="72"/>
      <c r="BD623" s="72"/>
      <c r="BE623" s="1814">
        <f t="shared" si="8"/>
        <v>0</v>
      </c>
      <c r="BF623" s="1815"/>
      <c r="BG623" s="1810">
        <f t="shared" si="6"/>
        <v>0</v>
      </c>
      <c r="BH623" s="1813"/>
      <c r="BI623" s="1814">
        <f t="shared" si="9"/>
        <v>0</v>
      </c>
      <c r="BJ623" s="1815"/>
      <c r="BK623" s="1810">
        <f t="shared" si="7"/>
        <v>0</v>
      </c>
      <c r="BL623" s="1813"/>
      <c r="BN623" s="1810">
        <f t="shared" si="0"/>
        <v>0</v>
      </c>
      <c r="BO623" s="1811"/>
      <c r="BP623" s="1811"/>
      <c r="BQ623" s="1811"/>
      <c r="BR623" s="1812"/>
      <c r="BS623" s="1810">
        <f t="shared" si="1"/>
        <v>0</v>
      </c>
      <c r="BT623" s="1811"/>
      <c r="BU623" s="1811"/>
      <c r="BV623" s="1811"/>
      <c r="BW623" s="1813"/>
      <c r="BX623" s="1810">
        <f t="shared" si="2"/>
        <v>0</v>
      </c>
      <c r="BY623" s="1811"/>
      <c r="BZ623" s="1811"/>
      <c r="CA623" s="1811"/>
      <c r="CB623" s="1813"/>
      <c r="CC623" s="1810">
        <f t="shared" si="3"/>
        <v>0</v>
      </c>
      <c r="CD623" s="1811"/>
      <c r="CE623" s="1811"/>
      <c r="CF623" s="1811"/>
      <c r="CG623" s="1813"/>
      <c r="CH623" s="1810">
        <f t="shared" si="4"/>
        <v>0</v>
      </c>
      <c r="CI623" s="1811"/>
      <c r="CJ623" s="1811"/>
      <c r="CK623" s="1811"/>
      <c r="CL623" s="1813"/>
      <c r="CM623" s="1810">
        <f t="shared" si="5"/>
        <v>0</v>
      </c>
      <c r="CN623" s="1811"/>
      <c r="CO623" s="1811"/>
      <c r="CP623" s="1811"/>
      <c r="CQ623" s="1813"/>
      <c r="CS623" s="2155">
        <f t="shared" si="10"/>
        <v>0</v>
      </c>
      <c r="CT623" s="2156"/>
      <c r="CU623" s="2156"/>
      <c r="CV623" s="2156"/>
      <c r="CW623" s="2157"/>
      <c r="CX623" s="2155">
        <f t="shared" si="11"/>
        <v>0</v>
      </c>
      <c r="CY623" s="2156"/>
      <c r="CZ623" s="2156"/>
      <c r="DA623" s="2156"/>
      <c r="DB623" s="2157"/>
      <c r="DC623" s="2155">
        <f t="shared" si="12"/>
        <v>0</v>
      </c>
      <c r="DD623" s="2156"/>
      <c r="DE623" s="2156"/>
      <c r="DF623" s="2156"/>
      <c r="DG623" s="2157"/>
      <c r="DH623" s="2155">
        <f t="shared" si="13"/>
        <v>0</v>
      </c>
      <c r="DI623" s="2156"/>
      <c r="DJ623" s="2156"/>
      <c r="DK623" s="2156"/>
      <c r="DL623" s="2157"/>
      <c r="DM623" s="2155">
        <f t="shared" si="14"/>
        <v>0</v>
      </c>
      <c r="DN623" s="2156"/>
      <c r="DO623" s="2156"/>
      <c r="DP623" s="2156"/>
      <c r="DQ623" s="2157"/>
      <c r="DR623" s="2155">
        <f t="shared" si="15"/>
        <v>0</v>
      </c>
      <c r="DS623" s="2156"/>
      <c r="DT623" s="2156"/>
      <c r="DU623" s="2156"/>
      <c r="DV623" s="2157"/>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814">
        <f t="shared" si="8"/>
        <v>0</v>
      </c>
      <c r="BF624" s="1815"/>
      <c r="BG624" s="1810">
        <f t="shared" si="6"/>
        <v>0</v>
      </c>
      <c r="BH624" s="1813"/>
      <c r="BI624" s="1814">
        <f t="shared" si="9"/>
        <v>0</v>
      </c>
      <c r="BJ624" s="1815"/>
      <c r="BK624" s="1810">
        <f t="shared" si="7"/>
        <v>0</v>
      </c>
      <c r="BL624" s="1813"/>
      <c r="BN624" s="1810">
        <f t="shared" si="0"/>
        <v>0</v>
      </c>
      <c r="BO624" s="1811"/>
      <c r="BP624" s="1811"/>
      <c r="BQ624" s="1811"/>
      <c r="BR624" s="1812"/>
      <c r="BS624" s="1810">
        <f t="shared" si="1"/>
        <v>0</v>
      </c>
      <c r="BT624" s="1811"/>
      <c r="BU624" s="1811"/>
      <c r="BV624" s="1811"/>
      <c r="BW624" s="1813"/>
      <c r="BX624" s="1810">
        <f t="shared" si="2"/>
        <v>0</v>
      </c>
      <c r="BY624" s="1811"/>
      <c r="BZ624" s="1811"/>
      <c r="CA624" s="1811"/>
      <c r="CB624" s="1813"/>
      <c r="CC624" s="1810">
        <f t="shared" si="3"/>
        <v>0</v>
      </c>
      <c r="CD624" s="1811"/>
      <c r="CE624" s="1811"/>
      <c r="CF624" s="1811"/>
      <c r="CG624" s="1813"/>
      <c r="CH624" s="1810">
        <f t="shared" si="4"/>
        <v>0</v>
      </c>
      <c r="CI624" s="1811"/>
      <c r="CJ624" s="1811"/>
      <c r="CK624" s="1811"/>
      <c r="CL624" s="1813"/>
      <c r="CM624" s="1810">
        <f t="shared" si="5"/>
        <v>0</v>
      </c>
      <c r="CN624" s="1811"/>
      <c r="CO624" s="1811"/>
      <c r="CP624" s="1811"/>
      <c r="CQ624" s="1813"/>
      <c r="CS624" s="2155">
        <f t="shared" si="10"/>
        <v>0</v>
      </c>
      <c r="CT624" s="2156"/>
      <c r="CU624" s="2156"/>
      <c r="CV624" s="2156"/>
      <c r="CW624" s="2157"/>
      <c r="CX624" s="2155">
        <f t="shared" si="11"/>
        <v>0</v>
      </c>
      <c r="CY624" s="2156"/>
      <c r="CZ624" s="2156"/>
      <c r="DA624" s="2156"/>
      <c r="DB624" s="2157"/>
      <c r="DC624" s="2155">
        <f t="shared" si="12"/>
        <v>0</v>
      </c>
      <c r="DD624" s="2156"/>
      <c r="DE624" s="2156"/>
      <c r="DF624" s="2156"/>
      <c r="DG624" s="2157"/>
      <c r="DH624" s="2155">
        <f t="shared" si="13"/>
        <v>0</v>
      </c>
      <c r="DI624" s="2156"/>
      <c r="DJ624" s="2156"/>
      <c r="DK624" s="2156"/>
      <c r="DL624" s="2157"/>
      <c r="DM624" s="2155">
        <f t="shared" si="14"/>
        <v>0</v>
      </c>
      <c r="DN624" s="2156"/>
      <c r="DO624" s="2156"/>
      <c r="DP624" s="2156"/>
      <c r="DQ624" s="2157"/>
      <c r="DR624" s="2155">
        <f t="shared" si="15"/>
        <v>0</v>
      </c>
      <c r="DS624" s="2156"/>
      <c r="DT624" s="2156"/>
      <c r="DU624" s="2156"/>
      <c r="DV624" s="2157"/>
    </row>
    <row r="625" spans="1:126" ht="12.75">
      <c r="A625" s="63" t="s">
        <v>719</v>
      </c>
      <c r="B625" s="63"/>
      <c r="C625" s="63" t="s">
        <v>919</v>
      </c>
      <c r="AM625" s="50"/>
      <c r="AN625" s="50"/>
      <c r="AO625" s="50"/>
      <c r="AP625" s="50"/>
      <c r="AQ625" s="50"/>
      <c r="AR625" s="50"/>
      <c r="AS625" s="50"/>
      <c r="AZ625" s="72"/>
      <c r="BA625" s="72"/>
      <c r="BB625" s="72"/>
      <c r="BC625" s="72"/>
      <c r="BD625" s="72"/>
      <c r="BE625" s="1814">
        <f t="shared" si="8"/>
        <v>0</v>
      </c>
      <c r="BF625" s="1815"/>
      <c r="BG625" s="1810">
        <f t="shared" si="6"/>
        <v>0</v>
      </c>
      <c r="BH625" s="1813"/>
      <c r="BI625" s="1814">
        <f t="shared" si="9"/>
        <v>0</v>
      </c>
      <c r="BJ625" s="1815"/>
      <c r="BK625" s="1810">
        <f t="shared" si="7"/>
        <v>0</v>
      </c>
      <c r="BL625" s="1813"/>
      <c r="BN625" s="1810">
        <f t="shared" si="0"/>
        <v>0</v>
      </c>
      <c r="BO625" s="1811"/>
      <c r="BP625" s="1811"/>
      <c r="BQ625" s="1811"/>
      <c r="BR625" s="1812"/>
      <c r="BS625" s="1810">
        <f t="shared" si="1"/>
        <v>0</v>
      </c>
      <c r="BT625" s="1811"/>
      <c r="BU625" s="1811"/>
      <c r="BV625" s="1811"/>
      <c r="BW625" s="1813"/>
      <c r="BX625" s="1810">
        <f t="shared" si="2"/>
        <v>0</v>
      </c>
      <c r="BY625" s="1811"/>
      <c r="BZ625" s="1811"/>
      <c r="CA625" s="1811"/>
      <c r="CB625" s="1813"/>
      <c r="CC625" s="1810">
        <f t="shared" si="3"/>
        <v>0</v>
      </c>
      <c r="CD625" s="1811"/>
      <c r="CE625" s="1811"/>
      <c r="CF625" s="1811"/>
      <c r="CG625" s="1813"/>
      <c r="CH625" s="1810">
        <f t="shared" si="4"/>
        <v>0</v>
      </c>
      <c r="CI625" s="1811"/>
      <c r="CJ625" s="1811"/>
      <c r="CK625" s="1811"/>
      <c r="CL625" s="1813"/>
      <c r="CM625" s="1810">
        <f t="shared" si="5"/>
        <v>0</v>
      </c>
      <c r="CN625" s="1811"/>
      <c r="CO625" s="1811"/>
      <c r="CP625" s="1811"/>
      <c r="CQ625" s="1813"/>
      <c r="CS625" s="2155">
        <f t="shared" si="10"/>
        <v>0</v>
      </c>
      <c r="CT625" s="2156"/>
      <c r="CU625" s="2156"/>
      <c r="CV625" s="2156"/>
      <c r="CW625" s="2157"/>
      <c r="CX625" s="2155">
        <f t="shared" si="11"/>
        <v>0</v>
      </c>
      <c r="CY625" s="2156"/>
      <c r="CZ625" s="2156"/>
      <c r="DA625" s="2156"/>
      <c r="DB625" s="2157"/>
      <c r="DC625" s="2155">
        <f t="shared" si="12"/>
        <v>0</v>
      </c>
      <c r="DD625" s="2156"/>
      <c r="DE625" s="2156"/>
      <c r="DF625" s="2156"/>
      <c r="DG625" s="2157"/>
      <c r="DH625" s="2155">
        <f t="shared" si="13"/>
        <v>0</v>
      </c>
      <c r="DI625" s="2156"/>
      <c r="DJ625" s="2156"/>
      <c r="DK625" s="2156"/>
      <c r="DL625" s="2157"/>
      <c r="DM625" s="2155">
        <f t="shared" si="14"/>
        <v>0</v>
      </c>
      <c r="DN625" s="2156"/>
      <c r="DO625" s="2156"/>
      <c r="DP625" s="2156"/>
      <c r="DQ625" s="2157"/>
      <c r="DR625" s="2155">
        <f t="shared" si="15"/>
        <v>0</v>
      </c>
      <c r="DS625" s="2156"/>
      <c r="DT625" s="2156"/>
      <c r="DU625" s="2156"/>
      <c r="DV625" s="2157"/>
    </row>
    <row r="626" spans="1:126" ht="12.75">
      <c r="A626" s="63"/>
      <c r="B626" s="63"/>
      <c r="C626" s="63"/>
      <c r="AM626" s="50"/>
      <c r="AN626" s="50"/>
      <c r="AO626" s="50"/>
      <c r="AP626" s="50"/>
      <c r="AQ626" s="50"/>
      <c r="AR626" s="50"/>
      <c r="AS626" s="50"/>
      <c r="AZ626" s="72"/>
      <c r="BA626" s="72"/>
      <c r="BB626" s="72"/>
      <c r="BC626" s="72"/>
      <c r="BD626" s="72"/>
      <c r="BE626" s="1814">
        <f t="shared" si="8"/>
        <v>0</v>
      </c>
      <c r="BF626" s="1815"/>
      <c r="BG626" s="1810">
        <f t="shared" si="6"/>
        <v>0</v>
      </c>
      <c r="BH626" s="1813"/>
      <c r="BI626" s="1814">
        <f t="shared" si="9"/>
        <v>0</v>
      </c>
      <c r="BJ626" s="1815"/>
      <c r="BK626" s="1810">
        <f t="shared" si="7"/>
        <v>0</v>
      </c>
      <c r="BL626" s="1813"/>
      <c r="BN626" s="1810">
        <f t="shared" si="0"/>
        <v>0</v>
      </c>
      <c r="BO626" s="1811"/>
      <c r="BP626" s="1811"/>
      <c r="BQ626" s="1811"/>
      <c r="BR626" s="1812"/>
      <c r="BS626" s="1810">
        <f t="shared" si="1"/>
        <v>0</v>
      </c>
      <c r="BT626" s="1811"/>
      <c r="BU626" s="1811"/>
      <c r="BV626" s="1811"/>
      <c r="BW626" s="1813"/>
      <c r="BX626" s="1810">
        <f t="shared" si="2"/>
        <v>0</v>
      </c>
      <c r="BY626" s="1811"/>
      <c r="BZ626" s="1811"/>
      <c r="CA626" s="1811"/>
      <c r="CB626" s="1813"/>
      <c r="CC626" s="1810">
        <f t="shared" si="3"/>
        <v>0</v>
      </c>
      <c r="CD626" s="1811"/>
      <c r="CE626" s="1811"/>
      <c r="CF626" s="1811"/>
      <c r="CG626" s="1813"/>
      <c r="CH626" s="1810">
        <f t="shared" si="4"/>
        <v>0</v>
      </c>
      <c r="CI626" s="1811"/>
      <c r="CJ626" s="1811"/>
      <c r="CK626" s="1811"/>
      <c r="CL626" s="1813"/>
      <c r="CM626" s="1810">
        <f t="shared" si="5"/>
        <v>0</v>
      </c>
      <c r="CN626" s="1811"/>
      <c r="CO626" s="1811"/>
      <c r="CP626" s="1811"/>
      <c r="CQ626" s="1813"/>
      <c r="CS626" s="2155">
        <f t="shared" si="10"/>
        <v>0</v>
      </c>
      <c r="CT626" s="2156"/>
      <c r="CU626" s="2156"/>
      <c r="CV626" s="2156"/>
      <c r="CW626" s="2157"/>
      <c r="CX626" s="2155">
        <f t="shared" si="11"/>
        <v>0</v>
      </c>
      <c r="CY626" s="2156"/>
      <c r="CZ626" s="2156"/>
      <c r="DA626" s="2156"/>
      <c r="DB626" s="2157"/>
      <c r="DC626" s="2155">
        <f t="shared" si="12"/>
        <v>0</v>
      </c>
      <c r="DD626" s="2156"/>
      <c r="DE626" s="2156"/>
      <c r="DF626" s="2156"/>
      <c r="DG626" s="2157"/>
      <c r="DH626" s="2155">
        <f t="shared" si="13"/>
        <v>0</v>
      </c>
      <c r="DI626" s="2156"/>
      <c r="DJ626" s="2156"/>
      <c r="DK626" s="2156"/>
      <c r="DL626" s="2157"/>
      <c r="DM626" s="2155">
        <f t="shared" si="14"/>
        <v>0</v>
      </c>
      <c r="DN626" s="2156"/>
      <c r="DO626" s="2156"/>
      <c r="DP626" s="2156"/>
      <c r="DQ626" s="2157"/>
      <c r="DR626" s="2155">
        <f t="shared" si="15"/>
        <v>0</v>
      </c>
      <c r="DS626" s="2156"/>
      <c r="DT626" s="2156"/>
      <c r="DU626" s="2156"/>
      <c r="DV626" s="2157"/>
    </row>
    <row r="627" spans="1:126" ht="12.75">
      <c r="C627" s="62" t="s">
        <v>2281</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14">
        <f t="shared" si="8"/>
        <v>0</v>
      </c>
      <c r="BF627" s="1815"/>
      <c r="BG627" s="1810">
        <f t="shared" si="6"/>
        <v>0</v>
      </c>
      <c r="BH627" s="1813"/>
      <c r="BI627" s="1814">
        <f t="shared" si="9"/>
        <v>0</v>
      </c>
      <c r="BJ627" s="1815"/>
      <c r="BK627" s="1810">
        <f t="shared" si="7"/>
        <v>0</v>
      </c>
      <c r="BL627" s="1813"/>
      <c r="BN627" s="1814">
        <f>SUM(BN602:BR626)</f>
        <v>0</v>
      </c>
      <c r="BO627" s="2160"/>
      <c r="BP627" s="2160"/>
      <c r="BQ627" s="2160"/>
      <c r="BR627" s="1815"/>
      <c r="BS627" s="1814">
        <f>SUM(BS602:BW626)</f>
        <v>8</v>
      </c>
      <c r="BT627" s="2160"/>
      <c r="BU627" s="2160"/>
      <c r="BV627" s="2160"/>
      <c r="BW627" s="1815"/>
      <c r="BX627" s="1814">
        <f>SUM(BX602:CB626)</f>
        <v>32</v>
      </c>
      <c r="BY627" s="2160"/>
      <c r="BZ627" s="2160"/>
      <c r="CA627" s="2160"/>
      <c r="CB627" s="1815"/>
      <c r="CC627" s="1814">
        <f>SUM(CC602:CG626)</f>
        <v>19</v>
      </c>
      <c r="CD627" s="2160"/>
      <c r="CE627" s="2160"/>
      <c r="CF627" s="2160"/>
      <c r="CG627" s="1815"/>
      <c r="CH627" s="1814">
        <f>SUM(CH602:CL626)</f>
        <v>0</v>
      </c>
      <c r="CI627" s="2160"/>
      <c r="CJ627" s="2160"/>
      <c r="CK627" s="2160"/>
      <c r="CL627" s="1815"/>
      <c r="CM627" s="1814">
        <f>SUM(CM602:CQ626)</f>
        <v>0</v>
      </c>
      <c r="CN627" s="2160"/>
      <c r="CO627" s="2160"/>
      <c r="CP627" s="2160"/>
      <c r="CQ627" s="1815"/>
      <c r="CS627" s="2155">
        <f t="shared" si="10"/>
        <v>0</v>
      </c>
      <c r="CT627" s="2156"/>
      <c r="CU627" s="2156"/>
      <c r="CV627" s="2156"/>
      <c r="CW627" s="2157"/>
      <c r="CX627" s="2155">
        <f t="shared" si="11"/>
        <v>0</v>
      </c>
      <c r="CY627" s="2156"/>
      <c r="CZ627" s="2156"/>
      <c r="DA627" s="2156"/>
      <c r="DB627" s="2157"/>
      <c r="DC627" s="2155">
        <f t="shared" si="12"/>
        <v>0</v>
      </c>
      <c r="DD627" s="2156"/>
      <c r="DE627" s="2156"/>
      <c r="DF627" s="2156"/>
      <c r="DG627" s="2157"/>
      <c r="DH627" s="2155">
        <f t="shared" si="13"/>
        <v>0</v>
      </c>
      <c r="DI627" s="2156"/>
      <c r="DJ627" s="2156"/>
      <c r="DK627" s="2156"/>
      <c r="DL627" s="2157"/>
      <c r="DM627" s="2155">
        <f t="shared" si="14"/>
        <v>0</v>
      </c>
      <c r="DN627" s="2156"/>
      <c r="DO627" s="2156"/>
      <c r="DP627" s="2156"/>
      <c r="DQ627" s="2157"/>
      <c r="DR627" s="2155">
        <f t="shared" si="15"/>
        <v>0</v>
      </c>
      <c r="DS627" s="2156"/>
      <c r="DT627" s="2156"/>
      <c r="DU627" s="2156"/>
      <c r="DV627" s="2157"/>
    </row>
    <row r="628" spans="1:126" ht="13.5" thickBot="1">
      <c r="B628" s="1439"/>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14">
        <f>SUM(BG603:BH627)</f>
        <v>17</v>
      </c>
      <c r="BH628" s="1815"/>
      <c r="BI628" s="72"/>
      <c r="BJ628" s="72"/>
      <c r="BK628" s="1814">
        <f>SUM(BK603:BL627)</f>
        <v>17</v>
      </c>
      <c r="BL628" s="1815"/>
      <c r="BN628" s="72" t="s">
        <v>1942</v>
      </c>
      <c r="BO628" s="72"/>
      <c r="BP628" s="72"/>
      <c r="BQ628" s="72"/>
      <c r="BR628" s="735">
        <f>BN627*1</f>
        <v>0</v>
      </c>
      <c r="BS628" s="72"/>
      <c r="BT628" s="72"/>
      <c r="BU628" s="72"/>
      <c r="BV628" s="72"/>
      <c r="BW628" s="735">
        <f>BS627*1</f>
        <v>8</v>
      </c>
      <c r="BX628" s="72"/>
      <c r="BY628" s="72"/>
      <c r="BZ628" s="72"/>
      <c r="CA628" s="72"/>
      <c r="CB628" s="735">
        <f>BX627*2</f>
        <v>64</v>
      </c>
      <c r="CC628" s="72"/>
      <c r="CD628" s="72"/>
      <c r="CE628" s="72"/>
      <c r="CF628" s="72"/>
      <c r="CG628" s="735">
        <f>CC627*3</f>
        <v>57</v>
      </c>
      <c r="CH628" s="72"/>
      <c r="CI628" s="72"/>
      <c r="CJ628" s="72"/>
      <c r="CK628" s="72"/>
      <c r="CL628" s="735">
        <f>CH627*4</f>
        <v>0</v>
      </c>
      <c r="CM628" s="72"/>
      <c r="CN628" s="72"/>
      <c r="CO628" s="72"/>
      <c r="CP628" s="72"/>
      <c r="CQ628" s="734">
        <f>CM627*5</f>
        <v>0</v>
      </c>
      <c r="CS628" s="1814">
        <f>SUM(CS603:CW627)</f>
        <v>0</v>
      </c>
      <c r="CT628" s="2160"/>
      <c r="CU628" s="2160"/>
      <c r="CV628" s="2160"/>
      <c r="CW628" s="1815"/>
      <c r="CX628" s="1814">
        <f>SUM(CX603:DB627)</f>
        <v>8</v>
      </c>
      <c r="CY628" s="2160"/>
      <c r="CZ628" s="2160"/>
      <c r="DA628" s="2160"/>
      <c r="DB628" s="1815"/>
      <c r="DC628" s="1814">
        <f>SUM(DC603:DG627)</f>
        <v>7</v>
      </c>
      <c r="DD628" s="2160"/>
      <c r="DE628" s="2160"/>
      <c r="DF628" s="2160"/>
      <c r="DG628" s="1815"/>
      <c r="DH628" s="1814">
        <f>SUM(DH603:DL627)</f>
        <v>2</v>
      </c>
      <c r="DI628" s="2160"/>
      <c r="DJ628" s="2160"/>
      <c r="DK628" s="2160"/>
      <c r="DL628" s="1815"/>
      <c r="DM628" s="1814">
        <f>SUM(DM603:DQ627)</f>
        <v>0</v>
      </c>
      <c r="DN628" s="2160"/>
      <c r="DO628" s="2160"/>
      <c r="DP628" s="2160"/>
      <c r="DQ628" s="1815"/>
      <c r="DR628" s="1814">
        <f>SUM(DR603:DV627)</f>
        <v>0</v>
      </c>
      <c r="DS628" s="2160"/>
      <c r="DT628" s="2160"/>
      <c r="DU628" s="2160"/>
      <c r="DV628" s="1815"/>
    </row>
    <row r="629" spans="1:126" ht="13.5" customHeight="1" thickBot="1">
      <c r="A629" s="1392"/>
      <c r="B629" s="2089" t="s">
        <v>807</v>
      </c>
      <c r="C629" s="2090"/>
      <c r="D629" s="2090"/>
      <c r="E629" s="2090"/>
      <c r="F629" s="2090"/>
      <c r="G629" s="2090"/>
      <c r="H629" s="2090"/>
      <c r="I629" s="2090"/>
      <c r="J629" s="2090"/>
      <c r="K629" s="2090"/>
      <c r="L629" s="2090"/>
      <c r="M629" s="2090"/>
      <c r="N629" s="2091"/>
      <c r="O629" s="1817" t="s">
        <v>489</v>
      </c>
      <c r="P629" s="1818"/>
      <c r="Q629" s="1819"/>
      <c r="R629" s="1817" t="s">
        <v>2282</v>
      </c>
      <c r="S629" s="1818"/>
      <c r="T629" s="1819"/>
      <c r="U629" s="2059" t="s">
        <v>808</v>
      </c>
      <c r="V629" s="2059"/>
      <c r="W629" s="2060"/>
      <c r="X629" s="1817" t="s">
        <v>2283</v>
      </c>
      <c r="Y629" s="1818"/>
      <c r="Z629" s="1818"/>
      <c r="AA629" s="1818"/>
      <c r="AB629" s="1819"/>
      <c r="AC629" s="2065" t="s">
        <v>2284</v>
      </c>
      <c r="AD629" s="2066"/>
      <c r="AE629" s="2067"/>
      <c r="AF629" s="1817" t="s">
        <v>2285</v>
      </c>
      <c r="AG629" s="1818"/>
      <c r="AH629" s="1818"/>
      <c r="AI629" s="1818"/>
      <c r="AJ629" s="1819"/>
      <c r="AK629" s="2074" t="s">
        <v>2286</v>
      </c>
      <c r="AL629" s="2075"/>
      <c r="AM629" s="2075"/>
      <c r="AN629" s="2076"/>
      <c r="AO629" s="2058" t="s">
        <v>809</v>
      </c>
      <c r="AP629" s="2058"/>
      <c r="AQ629" s="2058"/>
      <c r="AR629" s="2058"/>
      <c r="AS629" s="2058"/>
      <c r="AT629" s="72"/>
      <c r="AU629" s="72"/>
      <c r="AV629" s="72"/>
      <c r="AW629" s="72"/>
      <c r="AX629" s="72"/>
      <c r="AY629" s="72"/>
      <c r="AZ629" s="72"/>
      <c r="BN629" s="72" t="s">
        <v>948</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400" t="s">
        <v>1943</v>
      </c>
      <c r="CQ629" s="736">
        <f>BR628+BW628+CB628+CG628+CL628+CQ628</f>
        <v>129</v>
      </c>
      <c r="CR629" s="72"/>
      <c r="CS629" s="72"/>
    </row>
    <row r="630" spans="1:126" ht="12.75">
      <c r="A630" s="1392"/>
      <c r="B630" s="2092"/>
      <c r="C630" s="2093"/>
      <c r="D630" s="2093"/>
      <c r="E630" s="2093"/>
      <c r="F630" s="2093"/>
      <c r="G630" s="2093"/>
      <c r="H630" s="2093"/>
      <c r="I630" s="2093"/>
      <c r="J630" s="2093"/>
      <c r="K630" s="2093"/>
      <c r="L630" s="2093"/>
      <c r="M630" s="2093"/>
      <c r="N630" s="2094"/>
      <c r="O630" s="1820"/>
      <c r="P630" s="1821"/>
      <c r="Q630" s="1822"/>
      <c r="R630" s="1820"/>
      <c r="S630" s="1821"/>
      <c r="T630" s="1822"/>
      <c r="U630" s="2061"/>
      <c r="V630" s="2061"/>
      <c r="W630" s="2062"/>
      <c r="X630" s="1820"/>
      <c r="Y630" s="1821"/>
      <c r="Z630" s="1821"/>
      <c r="AA630" s="1821"/>
      <c r="AB630" s="1822"/>
      <c r="AC630" s="2068"/>
      <c r="AD630" s="2069"/>
      <c r="AE630" s="2070"/>
      <c r="AF630" s="1820"/>
      <c r="AG630" s="1821"/>
      <c r="AH630" s="1821"/>
      <c r="AI630" s="1821"/>
      <c r="AJ630" s="1822"/>
      <c r="AK630" s="2077"/>
      <c r="AL630" s="2078"/>
      <c r="AM630" s="2078"/>
      <c r="AN630" s="2079"/>
      <c r="AO630" s="2058"/>
      <c r="AP630" s="2058"/>
      <c r="AQ630" s="2058"/>
      <c r="AR630" s="2058"/>
      <c r="AS630" s="2058"/>
      <c r="AT630" s="72"/>
      <c r="AU630" s="72"/>
      <c r="AV630" s="72"/>
      <c r="AW630" s="72"/>
      <c r="AX630" s="72"/>
      <c r="AY630" s="72"/>
      <c r="AZ630" s="72"/>
      <c r="BN630" s="1810">
        <f>IF(J752="SRO/Studio",O752,0)</f>
        <v>0</v>
      </c>
      <c r="BO630" s="1811"/>
      <c r="BP630" s="1811"/>
      <c r="BQ630" s="1811"/>
      <c r="BR630" s="1813"/>
      <c r="BS630" s="1810">
        <f>IF(J752="1 Bedroom",O752,0)</f>
        <v>0</v>
      </c>
      <c r="BT630" s="1811"/>
      <c r="BU630" s="1811"/>
      <c r="BV630" s="1811"/>
      <c r="BW630" s="1813"/>
      <c r="BX630" s="1810">
        <f>IF(J752="2 Bedrooms",O752,0)</f>
        <v>0</v>
      </c>
      <c r="BY630" s="1811"/>
      <c r="BZ630" s="1811"/>
      <c r="CA630" s="1811"/>
      <c r="CB630" s="1813"/>
      <c r="CC630" s="1810">
        <f>IF(J752="3 Bedrooms",O752,0)</f>
        <v>1</v>
      </c>
      <c r="CD630" s="1811"/>
      <c r="CE630" s="1811"/>
      <c r="CF630" s="1811"/>
      <c r="CG630" s="1813"/>
      <c r="CH630" s="1810">
        <f>IF(J752="4 Bedrooms",O752,0)</f>
        <v>0</v>
      </c>
      <c r="CI630" s="1811"/>
      <c r="CJ630" s="1811"/>
      <c r="CK630" s="1811"/>
      <c r="CL630" s="1813"/>
      <c r="CM630" s="2158">
        <f>IF(J752="5 Bedrooms",O752,0)</f>
        <v>0</v>
      </c>
      <c r="CN630" s="2159"/>
      <c r="CO630" s="2159"/>
      <c r="CP630" s="2159"/>
      <c r="CQ630" s="1812"/>
      <c r="CR630" s="72"/>
      <c r="CS630" s="72"/>
    </row>
    <row r="631" spans="1:126" ht="12.75" customHeight="1">
      <c r="A631" s="1392"/>
      <c r="B631" s="2095"/>
      <c r="C631" s="2093"/>
      <c r="D631" s="2093"/>
      <c r="E631" s="2093"/>
      <c r="F631" s="2093"/>
      <c r="G631" s="2093"/>
      <c r="H631" s="2093"/>
      <c r="I631" s="2093"/>
      <c r="J631" s="2093"/>
      <c r="K631" s="2093"/>
      <c r="L631" s="2093"/>
      <c r="M631" s="2093"/>
      <c r="N631" s="2094"/>
      <c r="O631" s="1823"/>
      <c r="P631" s="1824"/>
      <c r="Q631" s="1825"/>
      <c r="R631" s="1823"/>
      <c r="S631" s="1824"/>
      <c r="T631" s="1825"/>
      <c r="U631" s="2063"/>
      <c r="V631" s="2063"/>
      <c r="W631" s="2064"/>
      <c r="X631" s="1823"/>
      <c r="Y631" s="1824"/>
      <c r="Z631" s="1824"/>
      <c r="AA631" s="1824"/>
      <c r="AB631" s="1825"/>
      <c r="AC631" s="2071"/>
      <c r="AD631" s="2072"/>
      <c r="AE631" s="2073"/>
      <c r="AF631" s="1823"/>
      <c r="AG631" s="1824"/>
      <c r="AH631" s="1824"/>
      <c r="AI631" s="1824"/>
      <c r="AJ631" s="1825"/>
      <c r="AK631" s="2080"/>
      <c r="AL631" s="2081"/>
      <c r="AM631" s="2081"/>
      <c r="AN631" s="2082"/>
      <c r="AO631" s="2058"/>
      <c r="AP631" s="2058"/>
      <c r="AQ631" s="2058"/>
      <c r="AR631" s="2058"/>
      <c r="AS631" s="2058"/>
      <c r="AT631" s="75"/>
      <c r="AU631" s="75"/>
      <c r="AV631" s="75"/>
      <c r="AW631" s="75"/>
      <c r="AX631" s="75"/>
      <c r="AY631" s="75"/>
      <c r="AZ631" s="75"/>
      <c r="BN631" s="1810">
        <f>IF(J753="SRO/Studio",O753,0)</f>
        <v>0</v>
      </c>
      <c r="BO631" s="1811"/>
      <c r="BP631" s="1811"/>
      <c r="BQ631" s="1811"/>
      <c r="BR631" s="1813"/>
      <c r="BS631" s="1810">
        <f>IF(J753="1 Bedroom",O753,0)</f>
        <v>0</v>
      </c>
      <c r="BT631" s="1811"/>
      <c r="BU631" s="1811"/>
      <c r="BV631" s="1811"/>
      <c r="BW631" s="1813"/>
      <c r="BX631" s="1810">
        <f>IF(J753="2 Bedrooms",O753,0)</f>
        <v>0</v>
      </c>
      <c r="BY631" s="1811"/>
      <c r="BZ631" s="1811"/>
      <c r="CA631" s="1811"/>
      <c r="CB631" s="1813"/>
      <c r="CC631" s="1810">
        <f>IF(J753="3 Bedrooms",O753,0)</f>
        <v>0</v>
      </c>
      <c r="CD631" s="1811"/>
      <c r="CE631" s="1811"/>
      <c r="CF631" s="1811"/>
      <c r="CG631" s="1813"/>
      <c r="CH631" s="1810">
        <f>IF(J753="4 Bedrooms",O753,0)</f>
        <v>0</v>
      </c>
      <c r="CI631" s="1811"/>
      <c r="CJ631" s="1811"/>
      <c r="CK631" s="1811"/>
      <c r="CL631" s="1813"/>
      <c r="CM631" s="2158">
        <f>IF(J753="5 Bedrooms",O753,0)</f>
        <v>0</v>
      </c>
      <c r="CN631" s="2159"/>
      <c r="CO631" s="2159"/>
      <c r="CP631" s="2159"/>
      <c r="CQ631" s="1812"/>
      <c r="CR631" s="72"/>
      <c r="CS631" s="72"/>
    </row>
    <row r="632" spans="1:126" ht="12.75" customHeight="1">
      <c r="B632" s="97" t="s">
        <v>1004</v>
      </c>
      <c r="C632" s="1701" t="s">
        <v>2511</v>
      </c>
      <c r="D632" s="1701"/>
      <c r="E632" s="1701"/>
      <c r="F632" s="1701"/>
      <c r="G632" s="1701"/>
      <c r="H632" s="1701"/>
      <c r="I632" s="1701"/>
      <c r="J632" s="1701"/>
      <c r="K632" s="1701"/>
      <c r="L632" s="1701"/>
      <c r="M632" s="1701"/>
      <c r="N632" s="2040"/>
      <c r="O632" s="2055">
        <f>55*12</f>
        <v>660</v>
      </c>
      <c r="P632" s="2056"/>
      <c r="Q632" s="2057"/>
      <c r="R632" s="1977">
        <v>660</v>
      </c>
      <c r="S632" s="1855"/>
      <c r="T632" s="1978"/>
      <c r="U632" s="1979">
        <v>0.04</v>
      </c>
      <c r="V632" s="1980"/>
      <c r="W632" s="1981"/>
      <c r="X632" s="1706" t="s">
        <v>864</v>
      </c>
      <c r="Y632" s="1982"/>
      <c r="Z632" s="1982"/>
      <c r="AA632" s="1982"/>
      <c r="AB632" s="1983"/>
      <c r="AC632" s="1975">
        <v>2</v>
      </c>
      <c r="AD632" s="1695"/>
      <c r="AE632" s="1976"/>
      <c r="AF632" s="1781"/>
      <c r="AG632" s="1782"/>
      <c r="AH632" s="1782"/>
      <c r="AI632" s="1782"/>
      <c r="AJ632" s="1783"/>
      <c r="AK632" s="2052"/>
      <c r="AL632" s="2053"/>
      <c r="AM632" s="2053"/>
      <c r="AN632" s="2054"/>
      <c r="AO632" s="1757">
        <f>AM561</f>
        <v>1800000</v>
      </c>
      <c r="AP632" s="1757"/>
      <c r="AQ632" s="1757"/>
      <c r="AR632" s="1757"/>
      <c r="AS632" s="1757"/>
      <c r="AU632" s="75"/>
      <c r="AV632" s="75"/>
      <c r="AW632" s="75"/>
      <c r="AX632" s="75"/>
      <c r="AY632" s="75"/>
      <c r="BA632" s="72" t="s">
        <v>2268</v>
      </c>
      <c r="BC632" s="75"/>
      <c r="BD632" s="75"/>
      <c r="BN632" s="1810">
        <f>IF(J754="SRO/Studio",O754,0)</f>
        <v>0</v>
      </c>
      <c r="BO632" s="1811"/>
      <c r="BP632" s="1811"/>
      <c r="BQ632" s="1811"/>
      <c r="BR632" s="1813"/>
      <c r="BS632" s="1810">
        <f>IF(J754="1 Bedroom",O754,0)</f>
        <v>0</v>
      </c>
      <c r="BT632" s="1811"/>
      <c r="BU632" s="1811"/>
      <c r="BV632" s="1811"/>
      <c r="BW632" s="1813"/>
      <c r="BX632" s="1810">
        <f>IF(J754="2 Bedrooms",O754,0)</f>
        <v>0</v>
      </c>
      <c r="BY632" s="1811"/>
      <c r="BZ632" s="1811"/>
      <c r="CA632" s="1811"/>
      <c r="CB632" s="1813"/>
      <c r="CC632" s="1810">
        <f>IF(J754="3 Bedrooms",O754,0)</f>
        <v>0</v>
      </c>
      <c r="CD632" s="1811"/>
      <c r="CE632" s="1811"/>
      <c r="CF632" s="1811"/>
      <c r="CG632" s="1813"/>
      <c r="CH632" s="1810">
        <f>IF(J754="4 Bedrooms",O754,0)</f>
        <v>0</v>
      </c>
      <c r="CI632" s="1811"/>
      <c r="CJ632" s="1811"/>
      <c r="CK632" s="1811"/>
      <c r="CL632" s="1813"/>
      <c r="CM632" s="2158">
        <f>IF(J754="5 Bedrooms",O754,0)</f>
        <v>0</v>
      </c>
      <c r="CN632" s="2159"/>
      <c r="CO632" s="2159"/>
      <c r="CP632" s="2159"/>
      <c r="CQ632" s="1812"/>
      <c r="CR632" s="72"/>
      <c r="CS632" s="72"/>
    </row>
    <row r="633" spans="1:126" ht="12.75">
      <c r="B633" s="98" t="s">
        <v>1005</v>
      </c>
      <c r="C633" s="1701" t="str">
        <f>C562</f>
        <v>City of Fresno Loan</v>
      </c>
      <c r="D633" s="1701"/>
      <c r="E633" s="1701"/>
      <c r="F633" s="1701"/>
      <c r="G633" s="1701"/>
      <c r="H633" s="1701"/>
      <c r="I633" s="1701"/>
      <c r="J633" s="1701"/>
      <c r="K633" s="1701"/>
      <c r="L633" s="1701"/>
      <c r="M633" s="1701"/>
      <c r="N633" s="2040"/>
      <c r="O633" s="2055">
        <f>55*12</f>
        <v>660</v>
      </c>
      <c r="P633" s="2056"/>
      <c r="Q633" s="2057"/>
      <c r="R633" s="1977">
        <v>660</v>
      </c>
      <c r="S633" s="1855"/>
      <c r="T633" s="1978"/>
      <c r="U633" s="1979">
        <v>0.03</v>
      </c>
      <c r="V633" s="1980"/>
      <c r="W633" s="1981"/>
      <c r="X633" s="1706" t="s">
        <v>864</v>
      </c>
      <c r="Y633" s="1982"/>
      <c r="Z633" s="1982"/>
      <c r="AA633" s="1982"/>
      <c r="AB633" s="1983"/>
      <c r="AC633" s="1975">
        <v>3</v>
      </c>
      <c r="AD633" s="1695"/>
      <c r="AE633" s="1976"/>
      <c r="AF633" s="1781"/>
      <c r="AG633" s="1782"/>
      <c r="AH633" s="1782"/>
      <c r="AI633" s="1782"/>
      <c r="AJ633" s="1783"/>
      <c r="AK633" s="2052"/>
      <c r="AL633" s="2053"/>
      <c r="AM633" s="2053"/>
      <c r="AN633" s="2054"/>
      <c r="AO633" s="1757">
        <f>AM562</f>
        <v>2700000</v>
      </c>
      <c r="AP633" s="1757"/>
      <c r="AQ633" s="1757"/>
      <c r="AR633" s="1757"/>
      <c r="AS633" s="1757"/>
      <c r="AU633" s="75"/>
      <c r="AV633" s="75"/>
      <c r="AW633" s="75"/>
      <c r="AX633" s="75"/>
      <c r="AY633" s="75"/>
      <c r="BA633" s="72" t="s">
        <v>865</v>
      </c>
      <c r="BC633" s="75"/>
      <c r="BD633" s="75"/>
      <c r="BN633" s="1810">
        <f>IF(J755="SRO/Studio",O755,0)</f>
        <v>0</v>
      </c>
      <c r="BO633" s="1811"/>
      <c r="BP633" s="1811"/>
      <c r="BQ633" s="1811"/>
      <c r="BR633" s="1813"/>
      <c r="BS633" s="1810">
        <f>IF(J755="1 Bedroom",O755,0)</f>
        <v>0</v>
      </c>
      <c r="BT633" s="1811"/>
      <c r="BU633" s="1811"/>
      <c r="BV633" s="1811"/>
      <c r="BW633" s="1813"/>
      <c r="BX633" s="1810">
        <f>IF(J755="2 Bedrooms",O755,0)</f>
        <v>0</v>
      </c>
      <c r="BY633" s="1811"/>
      <c r="BZ633" s="1811"/>
      <c r="CA633" s="1811"/>
      <c r="CB633" s="1813"/>
      <c r="CC633" s="1810">
        <f>IF(J755="3 Bedrooms",O755,0)</f>
        <v>0</v>
      </c>
      <c r="CD633" s="1811"/>
      <c r="CE633" s="1811"/>
      <c r="CF633" s="1811"/>
      <c r="CG633" s="1813"/>
      <c r="CH633" s="1810">
        <f>IF(J755="4 Bedrooms",O755,0)</f>
        <v>0</v>
      </c>
      <c r="CI633" s="1811"/>
      <c r="CJ633" s="1811"/>
      <c r="CK633" s="1811"/>
      <c r="CL633" s="1813"/>
      <c r="CM633" s="2158">
        <f>IF(J755="5 Bedrooms",O755,0)</f>
        <v>0</v>
      </c>
      <c r="CN633" s="2159"/>
      <c r="CO633" s="2159"/>
      <c r="CP633" s="2159"/>
      <c r="CQ633" s="1812"/>
      <c r="CR633" s="72"/>
      <c r="CS633" s="72"/>
    </row>
    <row r="634" spans="1:126" ht="12.75">
      <c r="B634" s="98" t="s">
        <v>1011</v>
      </c>
      <c r="C634" s="1701" t="str">
        <f>C564</f>
        <v>Accrued/Deferred Interest</v>
      </c>
      <c r="D634" s="1701"/>
      <c r="E634" s="1701"/>
      <c r="F634" s="1701"/>
      <c r="G634" s="1701"/>
      <c r="H634" s="1701"/>
      <c r="I634" s="1701"/>
      <c r="J634" s="1701"/>
      <c r="K634" s="1701"/>
      <c r="L634" s="1701"/>
      <c r="M634" s="1701"/>
      <c r="N634" s="2040"/>
      <c r="O634" s="2055"/>
      <c r="P634" s="2056"/>
      <c r="Q634" s="2057"/>
      <c r="R634" s="1977"/>
      <c r="S634" s="1855"/>
      <c r="T634" s="1978"/>
      <c r="U634" s="1979"/>
      <c r="V634" s="1980"/>
      <c r="W634" s="1981"/>
      <c r="X634" s="1706" t="s">
        <v>864</v>
      </c>
      <c r="Y634" s="1982"/>
      <c r="Z634" s="1982"/>
      <c r="AA634" s="1982"/>
      <c r="AB634" s="1983"/>
      <c r="AC634" s="1975"/>
      <c r="AD634" s="1695"/>
      <c r="AE634" s="1976"/>
      <c r="AF634" s="1781"/>
      <c r="AG634" s="1782"/>
      <c r="AH634" s="1782"/>
      <c r="AI634" s="1782"/>
      <c r="AJ634" s="1783"/>
      <c r="AK634" s="2052"/>
      <c r="AL634" s="2053"/>
      <c r="AM634" s="2053"/>
      <c r="AN634" s="2054"/>
      <c r="AO634" s="1757">
        <f>AM564</f>
        <v>138780</v>
      </c>
      <c r="AP634" s="1757"/>
      <c r="AQ634" s="1757"/>
      <c r="AR634" s="1757"/>
      <c r="AS634" s="1757"/>
      <c r="AU634" s="75"/>
      <c r="AV634" s="75"/>
      <c r="AW634" s="75"/>
      <c r="AX634" s="75"/>
      <c r="AY634" s="75"/>
      <c r="AZ634" s="75"/>
      <c r="BA634" s="72" t="s">
        <v>864</v>
      </c>
      <c r="BB634" s="75"/>
      <c r="BC634" s="75"/>
      <c r="BD634" s="75"/>
      <c r="BN634" s="2161">
        <f>SUM(BN630:BR633)</f>
        <v>0</v>
      </c>
      <c r="BO634" s="2162"/>
      <c r="BP634" s="2162"/>
      <c r="BQ634" s="2162"/>
      <c r="BR634" s="2163"/>
      <c r="BS634" s="2161">
        <f>SUM(BS630:BW633)</f>
        <v>0</v>
      </c>
      <c r="BT634" s="2162"/>
      <c r="BU634" s="2162"/>
      <c r="BV634" s="2162"/>
      <c r="BW634" s="2163"/>
      <c r="BX634" s="2161">
        <f>SUM(BX630:CB633)</f>
        <v>0</v>
      </c>
      <c r="BY634" s="2162"/>
      <c r="BZ634" s="2162"/>
      <c r="CA634" s="2162"/>
      <c r="CB634" s="2163"/>
      <c r="CC634" s="2161">
        <f>SUM(CC630:CG633)</f>
        <v>1</v>
      </c>
      <c r="CD634" s="2162"/>
      <c r="CE634" s="2162"/>
      <c r="CF634" s="2162"/>
      <c r="CG634" s="2163"/>
      <c r="CH634" s="2161">
        <f>SUM(CH630:CL633)</f>
        <v>0</v>
      </c>
      <c r="CI634" s="2162"/>
      <c r="CJ634" s="2162"/>
      <c r="CK634" s="2162"/>
      <c r="CL634" s="2163"/>
      <c r="CM634" s="2161">
        <f>SUM(CM630:CQ633)</f>
        <v>0</v>
      </c>
      <c r="CN634" s="2162"/>
      <c r="CO634" s="2162"/>
      <c r="CP634" s="2162"/>
      <c r="CQ634" s="2163"/>
      <c r="CS634" s="735">
        <f>BN634+BS634+BX634+CC634+CH634+CM634</f>
        <v>1</v>
      </c>
      <c r="CT634" s="142" t="s">
        <v>2272</v>
      </c>
      <c r="CU634" s="72"/>
    </row>
    <row r="635" spans="1:126" ht="12.75">
      <c r="B635" s="98" t="s">
        <v>480</v>
      </c>
      <c r="C635" s="1701" t="s">
        <v>2473</v>
      </c>
      <c r="D635" s="1701"/>
      <c r="E635" s="1701"/>
      <c r="F635" s="1701"/>
      <c r="G635" s="1701"/>
      <c r="H635" s="1701"/>
      <c r="I635" s="1701"/>
      <c r="J635" s="1701"/>
      <c r="K635" s="1701"/>
      <c r="L635" s="1701"/>
      <c r="M635" s="1701"/>
      <c r="N635" s="2040"/>
      <c r="O635" s="2055">
        <f>55*12</f>
        <v>660</v>
      </c>
      <c r="P635" s="2056"/>
      <c r="Q635" s="2057"/>
      <c r="R635" s="1977">
        <v>660</v>
      </c>
      <c r="S635" s="1855"/>
      <c r="T635" s="1978"/>
      <c r="U635" s="1979">
        <v>0.03</v>
      </c>
      <c r="V635" s="1980"/>
      <c r="W635" s="1981"/>
      <c r="X635" s="1706" t="s">
        <v>864</v>
      </c>
      <c r="Y635" s="1982"/>
      <c r="Z635" s="1982"/>
      <c r="AA635" s="1982"/>
      <c r="AB635" s="1983"/>
      <c r="AC635" s="1975">
        <v>1</v>
      </c>
      <c r="AD635" s="1695"/>
      <c r="AE635" s="1976"/>
      <c r="AF635" s="1781">
        <f>AO635*0.0042</f>
        <v>5460</v>
      </c>
      <c r="AG635" s="1782"/>
      <c r="AH635" s="1782"/>
      <c r="AI635" s="1782"/>
      <c r="AJ635" s="1783"/>
      <c r="AK635" s="2052"/>
      <c r="AL635" s="2053"/>
      <c r="AM635" s="2053"/>
      <c r="AN635" s="2054"/>
      <c r="AO635" s="1757">
        <v>1300000</v>
      </c>
      <c r="AP635" s="1757"/>
      <c r="AQ635" s="1757"/>
      <c r="AR635" s="1757"/>
      <c r="AS635" s="1757"/>
      <c r="AT635" s="75"/>
      <c r="AU635" s="75"/>
      <c r="AV635" s="75"/>
      <c r="AW635" s="75"/>
      <c r="AX635" s="75"/>
      <c r="AY635" s="75"/>
      <c r="AZ635" s="75"/>
      <c r="BA635" s="72" t="s">
        <v>2288</v>
      </c>
      <c r="BN635" s="75" t="s">
        <v>949</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188</v>
      </c>
      <c r="C636" s="1701"/>
      <c r="D636" s="1701"/>
      <c r="E636" s="1701"/>
      <c r="F636" s="1701"/>
      <c r="G636" s="1701"/>
      <c r="H636" s="1701"/>
      <c r="I636" s="1701"/>
      <c r="J636" s="1701"/>
      <c r="K636" s="1701"/>
      <c r="L636" s="1701"/>
      <c r="M636" s="1701"/>
      <c r="N636" s="2040"/>
      <c r="O636" s="2055"/>
      <c r="P636" s="2056"/>
      <c r="Q636" s="2057"/>
      <c r="R636" s="1977"/>
      <c r="S636" s="1855"/>
      <c r="T636" s="1978"/>
      <c r="U636" s="1979"/>
      <c r="V636" s="1980"/>
      <c r="W636" s="1981"/>
      <c r="X636" s="1706" t="s">
        <v>2268</v>
      </c>
      <c r="Y636" s="1982"/>
      <c r="Z636" s="1982"/>
      <c r="AA636" s="1982"/>
      <c r="AB636" s="1983"/>
      <c r="AC636" s="1975"/>
      <c r="AD636" s="1695"/>
      <c r="AE636" s="1976"/>
      <c r="AF636" s="1781"/>
      <c r="AG636" s="1782"/>
      <c r="AH636" s="1782"/>
      <c r="AI636" s="1782"/>
      <c r="AJ636" s="1783"/>
      <c r="AK636" s="2052"/>
      <c r="AL636" s="2053"/>
      <c r="AM636" s="2053"/>
      <c r="AN636" s="2054"/>
      <c r="AO636" s="1757"/>
      <c r="AP636" s="1757"/>
      <c r="AQ636" s="1757"/>
      <c r="AR636" s="1757"/>
      <c r="AS636" s="1757"/>
      <c r="AT636" s="75"/>
      <c r="AU636" s="75"/>
      <c r="AV636" s="75"/>
      <c r="AW636" s="75"/>
      <c r="AX636" s="75"/>
      <c r="AY636" s="75"/>
      <c r="AZ636" s="75"/>
      <c r="BA636" s="72" t="s">
        <v>548</v>
      </c>
      <c r="BN636" s="1810">
        <f t="shared" ref="BN636:BN645" si="30">IF(J766="SRO/Studio",O766,0)</f>
        <v>0</v>
      </c>
      <c r="BO636" s="1811"/>
      <c r="BP636" s="1811"/>
      <c r="BQ636" s="1811"/>
      <c r="BR636" s="1813"/>
      <c r="BS636" s="1810">
        <f t="shared" ref="BS636:BS645" si="31">IF(J766="1 Bedroom",O766,0)</f>
        <v>0</v>
      </c>
      <c r="BT636" s="1811"/>
      <c r="BU636" s="1811"/>
      <c r="BV636" s="1811"/>
      <c r="BW636" s="1813"/>
      <c r="BX636" s="1810">
        <f t="shared" ref="BX636:BX645" si="32">IF(J766="2 Bedrooms",O766,0)</f>
        <v>0</v>
      </c>
      <c r="BY636" s="1811"/>
      <c r="BZ636" s="1811"/>
      <c r="CA636" s="1811"/>
      <c r="CB636" s="1813"/>
      <c r="CC636" s="1810">
        <f t="shared" ref="CC636:CC645" si="33">IF(J766="3 Bedrooms",O766,0)</f>
        <v>0</v>
      </c>
      <c r="CD636" s="1811"/>
      <c r="CE636" s="1811"/>
      <c r="CF636" s="1811"/>
      <c r="CG636" s="1813"/>
      <c r="CH636" s="1810">
        <f t="shared" ref="CH636:CH645" si="34">IF(J766="4 Bedrooms",O766,0)</f>
        <v>0</v>
      </c>
      <c r="CI636" s="1811"/>
      <c r="CJ636" s="1811"/>
      <c r="CK636" s="1811"/>
      <c r="CL636" s="1813"/>
      <c r="CM636" s="1810">
        <f t="shared" ref="CM636:CM645" si="35">IF(J766="5 Bedrooms",O766,0)</f>
        <v>0</v>
      </c>
      <c r="CN636" s="1811"/>
      <c r="CO636" s="1811"/>
      <c r="CP636" s="1811"/>
      <c r="CQ636" s="1813"/>
      <c r="CR636" s="72"/>
      <c r="CS636" s="72"/>
    </row>
    <row r="637" spans="1:126" ht="12.75">
      <c r="B637" s="98" t="s">
        <v>483</v>
      </c>
      <c r="C637" s="1701"/>
      <c r="D637" s="1701"/>
      <c r="E637" s="1701"/>
      <c r="F637" s="1701"/>
      <c r="G637" s="1701"/>
      <c r="H637" s="1701"/>
      <c r="I637" s="1701"/>
      <c r="J637" s="1701"/>
      <c r="K637" s="1701"/>
      <c r="L637" s="1701"/>
      <c r="M637" s="1701"/>
      <c r="N637" s="2040"/>
      <c r="O637" s="2055"/>
      <c r="P637" s="2056"/>
      <c r="Q637" s="2057"/>
      <c r="R637" s="1977"/>
      <c r="S637" s="1855"/>
      <c r="T637" s="1978"/>
      <c r="U637" s="1979"/>
      <c r="V637" s="1980"/>
      <c r="W637" s="1981"/>
      <c r="X637" s="1706" t="s">
        <v>2268</v>
      </c>
      <c r="Y637" s="1982"/>
      <c r="Z637" s="1982"/>
      <c r="AA637" s="1982"/>
      <c r="AB637" s="1983"/>
      <c r="AC637" s="1975"/>
      <c r="AD637" s="1695"/>
      <c r="AE637" s="1976"/>
      <c r="AF637" s="1781"/>
      <c r="AG637" s="1782"/>
      <c r="AH637" s="1782"/>
      <c r="AI637" s="1782"/>
      <c r="AJ637" s="1783"/>
      <c r="AK637" s="2052"/>
      <c r="AL637" s="2053"/>
      <c r="AM637" s="2053"/>
      <c r="AN637" s="2054"/>
      <c r="AO637" s="1757"/>
      <c r="AP637" s="1757"/>
      <c r="AQ637" s="1757"/>
      <c r="AR637" s="1757"/>
      <c r="AS637" s="1757"/>
      <c r="AT637" s="75"/>
      <c r="AU637" s="75"/>
      <c r="AV637" s="75"/>
      <c r="AW637" s="75"/>
      <c r="AX637" s="75"/>
      <c r="AY637" s="75"/>
      <c r="AZ637" s="75"/>
      <c r="BN637" s="1810">
        <f t="shared" si="30"/>
        <v>0</v>
      </c>
      <c r="BO637" s="1811"/>
      <c r="BP637" s="1811"/>
      <c r="BQ637" s="1811"/>
      <c r="BR637" s="1813"/>
      <c r="BS637" s="1810">
        <f t="shared" si="31"/>
        <v>0</v>
      </c>
      <c r="BT637" s="1811"/>
      <c r="BU637" s="1811"/>
      <c r="BV637" s="1811"/>
      <c r="BW637" s="1813"/>
      <c r="BX637" s="1810">
        <f t="shared" si="32"/>
        <v>0</v>
      </c>
      <c r="BY637" s="1811"/>
      <c r="BZ637" s="1811"/>
      <c r="CA637" s="1811"/>
      <c r="CB637" s="1813"/>
      <c r="CC637" s="1810">
        <f t="shared" si="33"/>
        <v>0</v>
      </c>
      <c r="CD637" s="1811"/>
      <c r="CE637" s="1811"/>
      <c r="CF637" s="1811"/>
      <c r="CG637" s="1813"/>
      <c r="CH637" s="1810">
        <f t="shared" si="34"/>
        <v>0</v>
      </c>
      <c r="CI637" s="1811"/>
      <c r="CJ637" s="1811"/>
      <c r="CK637" s="1811"/>
      <c r="CL637" s="1813"/>
      <c r="CM637" s="1810">
        <f t="shared" si="35"/>
        <v>0</v>
      </c>
      <c r="CN637" s="1811"/>
      <c r="CO637" s="1811"/>
      <c r="CP637" s="1811"/>
      <c r="CQ637" s="1813"/>
      <c r="CR637" s="72"/>
      <c r="CS637" s="72"/>
    </row>
    <row r="638" spans="1:126" ht="12.75">
      <c r="B638" s="98" t="s">
        <v>810</v>
      </c>
      <c r="C638" s="1701"/>
      <c r="D638" s="1701"/>
      <c r="E638" s="1701"/>
      <c r="F638" s="1701"/>
      <c r="G638" s="1701"/>
      <c r="H638" s="1701"/>
      <c r="I638" s="1701"/>
      <c r="J638" s="1701"/>
      <c r="K638" s="1701"/>
      <c r="L638" s="1701"/>
      <c r="M638" s="1701"/>
      <c r="N638" s="2040"/>
      <c r="O638" s="2055"/>
      <c r="P638" s="2056"/>
      <c r="Q638" s="2057"/>
      <c r="R638" s="1977"/>
      <c r="S638" s="1855"/>
      <c r="T638" s="1978"/>
      <c r="U638" s="1979"/>
      <c r="V638" s="1980"/>
      <c r="W638" s="1981"/>
      <c r="X638" s="1706" t="s">
        <v>2268</v>
      </c>
      <c r="Y638" s="1982"/>
      <c r="Z638" s="1982"/>
      <c r="AA638" s="1982"/>
      <c r="AB638" s="1983"/>
      <c r="AC638" s="1975"/>
      <c r="AD638" s="1695"/>
      <c r="AE638" s="1976"/>
      <c r="AF638" s="1781"/>
      <c r="AG638" s="1782"/>
      <c r="AH638" s="1782"/>
      <c r="AI638" s="1782"/>
      <c r="AJ638" s="1783"/>
      <c r="AK638" s="2052"/>
      <c r="AL638" s="2053"/>
      <c r="AM638" s="2053"/>
      <c r="AN638" s="2054"/>
      <c r="AO638" s="1757"/>
      <c r="AP638" s="1757"/>
      <c r="AQ638" s="1757"/>
      <c r="AR638" s="1757"/>
      <c r="AS638" s="1757"/>
      <c r="AT638" s="75"/>
      <c r="AU638" s="75"/>
      <c r="AV638" s="75"/>
      <c r="AW638" s="75"/>
      <c r="AX638" s="75"/>
      <c r="AY638" s="75"/>
      <c r="AZ638" s="75"/>
      <c r="BN638" s="1810">
        <f t="shared" si="30"/>
        <v>0</v>
      </c>
      <c r="BO638" s="1811"/>
      <c r="BP638" s="1811"/>
      <c r="BQ638" s="1811"/>
      <c r="BR638" s="1813"/>
      <c r="BS638" s="1810">
        <f t="shared" si="31"/>
        <v>0</v>
      </c>
      <c r="BT638" s="1811"/>
      <c r="BU638" s="1811"/>
      <c r="BV638" s="1811"/>
      <c r="BW638" s="1813"/>
      <c r="BX638" s="1810">
        <f t="shared" si="32"/>
        <v>0</v>
      </c>
      <c r="BY638" s="1811"/>
      <c r="BZ638" s="1811"/>
      <c r="CA638" s="1811"/>
      <c r="CB638" s="1813"/>
      <c r="CC638" s="1810">
        <f t="shared" si="33"/>
        <v>0</v>
      </c>
      <c r="CD638" s="1811"/>
      <c r="CE638" s="1811"/>
      <c r="CF638" s="1811"/>
      <c r="CG638" s="1813"/>
      <c r="CH638" s="1810">
        <f t="shared" si="34"/>
        <v>0</v>
      </c>
      <c r="CI638" s="1811"/>
      <c r="CJ638" s="1811"/>
      <c r="CK638" s="1811"/>
      <c r="CL638" s="1813"/>
      <c r="CM638" s="1810">
        <f t="shared" si="35"/>
        <v>0</v>
      </c>
      <c r="CN638" s="1811"/>
      <c r="CO638" s="1811"/>
      <c r="CP638" s="1811"/>
      <c r="CQ638" s="1813"/>
      <c r="CR638" s="72"/>
      <c r="CS638" s="72"/>
    </row>
    <row r="639" spans="1:126" ht="12.75">
      <c r="B639" s="98" t="s">
        <v>811</v>
      </c>
      <c r="C639" s="1701"/>
      <c r="D639" s="1701"/>
      <c r="E639" s="1701"/>
      <c r="F639" s="1701"/>
      <c r="G639" s="1701"/>
      <c r="H639" s="1701"/>
      <c r="I639" s="1701"/>
      <c r="J639" s="1701"/>
      <c r="K639" s="1701"/>
      <c r="L639" s="1701"/>
      <c r="M639" s="1701"/>
      <c r="N639" s="2040"/>
      <c r="O639" s="2055"/>
      <c r="P639" s="2056"/>
      <c r="Q639" s="2057"/>
      <c r="R639" s="1977"/>
      <c r="S639" s="1855"/>
      <c r="T639" s="1978"/>
      <c r="U639" s="1979"/>
      <c r="V639" s="1980"/>
      <c r="W639" s="1981"/>
      <c r="X639" s="1706" t="s">
        <v>2268</v>
      </c>
      <c r="Y639" s="1982"/>
      <c r="Z639" s="1982"/>
      <c r="AA639" s="1982"/>
      <c r="AB639" s="1983"/>
      <c r="AC639" s="1975"/>
      <c r="AD639" s="1695"/>
      <c r="AE639" s="1976"/>
      <c r="AF639" s="1781"/>
      <c r="AG639" s="1782"/>
      <c r="AH639" s="1782"/>
      <c r="AI639" s="1782"/>
      <c r="AJ639" s="1783"/>
      <c r="AK639" s="2052"/>
      <c r="AL639" s="2053"/>
      <c r="AM639" s="2053"/>
      <c r="AN639" s="2054"/>
      <c r="AO639" s="1757"/>
      <c r="AP639" s="1757"/>
      <c r="AQ639" s="1757"/>
      <c r="AR639" s="1757"/>
      <c r="AS639" s="1757"/>
      <c r="AT639" s="75"/>
      <c r="AU639" s="75"/>
      <c r="AV639" s="75"/>
      <c r="AW639" s="75"/>
      <c r="AX639" s="75"/>
      <c r="AY639" s="75"/>
      <c r="AZ639" s="75"/>
      <c r="BN639" s="1810">
        <f t="shared" si="30"/>
        <v>0</v>
      </c>
      <c r="BO639" s="1811"/>
      <c r="BP639" s="1811"/>
      <c r="BQ639" s="1811"/>
      <c r="BR639" s="1813"/>
      <c r="BS639" s="1810">
        <f t="shared" si="31"/>
        <v>0</v>
      </c>
      <c r="BT639" s="1811"/>
      <c r="BU639" s="1811"/>
      <c r="BV639" s="1811"/>
      <c r="BW639" s="1813"/>
      <c r="BX639" s="1810">
        <f t="shared" si="32"/>
        <v>0</v>
      </c>
      <c r="BY639" s="1811"/>
      <c r="BZ639" s="1811"/>
      <c r="CA639" s="1811"/>
      <c r="CB639" s="1813"/>
      <c r="CC639" s="1810">
        <f t="shared" si="33"/>
        <v>0</v>
      </c>
      <c r="CD639" s="1811"/>
      <c r="CE639" s="1811"/>
      <c r="CF639" s="1811"/>
      <c r="CG639" s="1813"/>
      <c r="CH639" s="1810">
        <f t="shared" si="34"/>
        <v>0</v>
      </c>
      <c r="CI639" s="1811"/>
      <c r="CJ639" s="1811"/>
      <c r="CK639" s="1811"/>
      <c r="CL639" s="1813"/>
      <c r="CM639" s="1810">
        <f t="shared" si="35"/>
        <v>0</v>
      </c>
      <c r="CN639" s="1811"/>
      <c r="CO639" s="1811"/>
      <c r="CP639" s="1811"/>
      <c r="CQ639" s="1813"/>
      <c r="CR639" s="72"/>
      <c r="CS639" s="72"/>
    </row>
    <row r="640" spans="1:126" ht="12.75">
      <c r="B640" s="98" t="s">
        <v>606</v>
      </c>
      <c r="C640" s="1701"/>
      <c r="D640" s="1701"/>
      <c r="E640" s="1701"/>
      <c r="F640" s="1701"/>
      <c r="G640" s="1701"/>
      <c r="H640" s="1701"/>
      <c r="I640" s="1701"/>
      <c r="J640" s="1701"/>
      <c r="K640" s="1701"/>
      <c r="L640" s="1701"/>
      <c r="M640" s="1701"/>
      <c r="N640" s="2040"/>
      <c r="O640" s="2055"/>
      <c r="P640" s="2056"/>
      <c r="Q640" s="2057"/>
      <c r="R640" s="1977"/>
      <c r="S640" s="1855"/>
      <c r="T640" s="1978"/>
      <c r="U640" s="1979"/>
      <c r="V640" s="1980"/>
      <c r="W640" s="1981"/>
      <c r="X640" s="1706" t="s">
        <v>2268</v>
      </c>
      <c r="Y640" s="1982"/>
      <c r="Z640" s="1982"/>
      <c r="AA640" s="1982"/>
      <c r="AB640" s="1983"/>
      <c r="AC640" s="1975"/>
      <c r="AD640" s="1695"/>
      <c r="AE640" s="1976"/>
      <c r="AF640" s="1781"/>
      <c r="AG640" s="1782"/>
      <c r="AH640" s="1782"/>
      <c r="AI640" s="1782"/>
      <c r="AJ640" s="1783"/>
      <c r="AK640" s="2052"/>
      <c r="AL640" s="2053"/>
      <c r="AM640" s="2053"/>
      <c r="AN640" s="2054"/>
      <c r="AO640" s="1757"/>
      <c r="AP640" s="1757"/>
      <c r="AQ640" s="1757"/>
      <c r="AR640" s="1757"/>
      <c r="AS640" s="1757"/>
      <c r="AT640" s="72"/>
      <c r="AU640" s="72"/>
      <c r="AV640" s="72"/>
      <c r="AW640" s="72"/>
      <c r="AX640" s="72"/>
      <c r="AY640" s="72"/>
      <c r="AZ640" s="72"/>
      <c r="BN640" s="1810">
        <f t="shared" si="30"/>
        <v>0</v>
      </c>
      <c r="BO640" s="1811"/>
      <c r="BP640" s="1811"/>
      <c r="BQ640" s="1811"/>
      <c r="BR640" s="1813"/>
      <c r="BS640" s="1810">
        <f t="shared" si="31"/>
        <v>0</v>
      </c>
      <c r="BT640" s="1811"/>
      <c r="BU640" s="1811"/>
      <c r="BV640" s="1811"/>
      <c r="BW640" s="1813"/>
      <c r="BX640" s="1810">
        <f t="shared" si="32"/>
        <v>0</v>
      </c>
      <c r="BY640" s="1811"/>
      <c r="BZ640" s="1811"/>
      <c r="CA640" s="1811"/>
      <c r="CB640" s="1813"/>
      <c r="CC640" s="1810">
        <f t="shared" si="33"/>
        <v>0</v>
      </c>
      <c r="CD640" s="1811"/>
      <c r="CE640" s="1811"/>
      <c r="CF640" s="1811"/>
      <c r="CG640" s="1813"/>
      <c r="CH640" s="1810">
        <f t="shared" si="34"/>
        <v>0</v>
      </c>
      <c r="CI640" s="1811"/>
      <c r="CJ640" s="1811"/>
      <c r="CK640" s="1811"/>
      <c r="CL640" s="1813"/>
      <c r="CM640" s="1810">
        <f t="shared" si="35"/>
        <v>0</v>
      </c>
      <c r="CN640" s="1811"/>
      <c r="CO640" s="1811"/>
      <c r="CP640" s="1811"/>
      <c r="CQ640" s="1813"/>
      <c r="CR640" s="72"/>
      <c r="CS640" s="72"/>
    </row>
    <row r="641" spans="1:97" ht="12.75">
      <c r="B641" s="98" t="s">
        <v>191</v>
      </c>
      <c r="C641" s="1701"/>
      <c r="D641" s="1701"/>
      <c r="E641" s="1701"/>
      <c r="F641" s="1701"/>
      <c r="G641" s="1701"/>
      <c r="H641" s="1701"/>
      <c r="I641" s="1701"/>
      <c r="J641" s="1701"/>
      <c r="K641" s="1701"/>
      <c r="L641" s="1701"/>
      <c r="M641" s="1701"/>
      <c r="N641" s="2040"/>
      <c r="O641" s="2055"/>
      <c r="P641" s="2056"/>
      <c r="Q641" s="2057"/>
      <c r="R641" s="1977"/>
      <c r="S641" s="1855"/>
      <c r="T641" s="1978"/>
      <c r="U641" s="1979"/>
      <c r="V641" s="1980"/>
      <c r="W641" s="1981"/>
      <c r="X641" s="1706" t="s">
        <v>2268</v>
      </c>
      <c r="Y641" s="1982"/>
      <c r="Z641" s="1982"/>
      <c r="AA641" s="1982"/>
      <c r="AB641" s="1983"/>
      <c r="AC641" s="1975"/>
      <c r="AD641" s="1695"/>
      <c r="AE641" s="1976"/>
      <c r="AF641" s="1781"/>
      <c r="AG641" s="1782"/>
      <c r="AH641" s="1782"/>
      <c r="AI641" s="1782"/>
      <c r="AJ641" s="1783"/>
      <c r="AK641" s="2052"/>
      <c r="AL641" s="2053"/>
      <c r="AM641" s="2053"/>
      <c r="AN641" s="2054"/>
      <c r="AO641" s="1757"/>
      <c r="AP641" s="1757"/>
      <c r="AQ641" s="1757"/>
      <c r="AR641" s="1757"/>
      <c r="AS641" s="1757"/>
      <c r="AT641" s="72"/>
      <c r="AU641" s="72"/>
      <c r="AV641" s="72"/>
      <c r="AW641" s="72"/>
      <c r="AX641" s="72"/>
      <c r="AY641" s="72"/>
      <c r="AZ641" s="72"/>
      <c r="BN641" s="1810">
        <f t="shared" si="30"/>
        <v>0</v>
      </c>
      <c r="BO641" s="1811"/>
      <c r="BP641" s="1811"/>
      <c r="BQ641" s="1811"/>
      <c r="BR641" s="1813"/>
      <c r="BS641" s="1810">
        <f t="shared" si="31"/>
        <v>0</v>
      </c>
      <c r="BT641" s="1811"/>
      <c r="BU641" s="1811"/>
      <c r="BV641" s="1811"/>
      <c r="BW641" s="1813"/>
      <c r="BX641" s="1810">
        <f t="shared" si="32"/>
        <v>0</v>
      </c>
      <c r="BY641" s="1811"/>
      <c r="BZ641" s="1811"/>
      <c r="CA641" s="1811"/>
      <c r="CB641" s="1813"/>
      <c r="CC641" s="1810">
        <f t="shared" si="33"/>
        <v>0</v>
      </c>
      <c r="CD641" s="1811"/>
      <c r="CE641" s="1811"/>
      <c r="CF641" s="1811"/>
      <c r="CG641" s="1813"/>
      <c r="CH641" s="1810">
        <f t="shared" si="34"/>
        <v>0</v>
      </c>
      <c r="CI641" s="1811"/>
      <c r="CJ641" s="1811"/>
      <c r="CK641" s="1811"/>
      <c r="CL641" s="1813"/>
      <c r="CM641" s="1810">
        <f t="shared" si="35"/>
        <v>0</v>
      </c>
      <c r="CN641" s="1811"/>
      <c r="CO641" s="1811"/>
      <c r="CP641" s="1811"/>
      <c r="CQ641" s="1813"/>
      <c r="CR641" s="72"/>
      <c r="CS641" s="72"/>
    </row>
    <row r="642" spans="1:97" ht="12.75">
      <c r="B642" s="98" t="s">
        <v>37</v>
      </c>
      <c r="C642" s="1701"/>
      <c r="D642" s="1701"/>
      <c r="E642" s="1701"/>
      <c r="F642" s="1701"/>
      <c r="G642" s="1701"/>
      <c r="H642" s="1701"/>
      <c r="I642" s="1701"/>
      <c r="J642" s="1701"/>
      <c r="K642" s="1701"/>
      <c r="L642" s="1701"/>
      <c r="M642" s="1701"/>
      <c r="N642" s="2040"/>
      <c r="O642" s="2055"/>
      <c r="P642" s="2056"/>
      <c r="Q642" s="2057"/>
      <c r="R642" s="1977"/>
      <c r="S642" s="1855"/>
      <c r="T642" s="1978"/>
      <c r="U642" s="1979"/>
      <c r="V642" s="1980"/>
      <c r="W642" s="1981"/>
      <c r="X642" s="1706" t="s">
        <v>2268</v>
      </c>
      <c r="Y642" s="1982"/>
      <c r="Z642" s="1982"/>
      <c r="AA642" s="1982"/>
      <c r="AB642" s="1983"/>
      <c r="AC642" s="1975"/>
      <c r="AD642" s="1695"/>
      <c r="AE642" s="1976"/>
      <c r="AF642" s="1781"/>
      <c r="AG642" s="1782"/>
      <c r="AH642" s="1782"/>
      <c r="AI642" s="1782"/>
      <c r="AJ642" s="1783"/>
      <c r="AK642" s="2052"/>
      <c r="AL642" s="2053"/>
      <c r="AM642" s="2053"/>
      <c r="AN642" s="2054"/>
      <c r="AO642" s="1757"/>
      <c r="AP642" s="1757"/>
      <c r="AQ642" s="1757"/>
      <c r="AR642" s="1757"/>
      <c r="AS642" s="1757"/>
      <c r="AT642" s="72"/>
      <c r="AU642" s="72"/>
      <c r="AV642" s="72"/>
      <c r="AW642" s="72"/>
      <c r="AX642" s="72"/>
      <c r="AY642" s="72"/>
      <c r="AZ642" s="72"/>
      <c r="BN642" s="1810">
        <f t="shared" si="30"/>
        <v>0</v>
      </c>
      <c r="BO642" s="1811"/>
      <c r="BP642" s="1811"/>
      <c r="BQ642" s="1811"/>
      <c r="BR642" s="1813"/>
      <c r="BS642" s="1810">
        <f t="shared" si="31"/>
        <v>0</v>
      </c>
      <c r="BT642" s="1811"/>
      <c r="BU642" s="1811"/>
      <c r="BV642" s="1811"/>
      <c r="BW642" s="1813"/>
      <c r="BX642" s="1810">
        <f t="shared" si="32"/>
        <v>0</v>
      </c>
      <c r="BY642" s="1811"/>
      <c r="BZ642" s="1811"/>
      <c r="CA642" s="1811"/>
      <c r="CB642" s="1813"/>
      <c r="CC642" s="1810">
        <f t="shared" si="33"/>
        <v>0</v>
      </c>
      <c r="CD642" s="1811"/>
      <c r="CE642" s="1811"/>
      <c r="CF642" s="1811"/>
      <c r="CG642" s="1813"/>
      <c r="CH642" s="1810">
        <f t="shared" si="34"/>
        <v>0</v>
      </c>
      <c r="CI642" s="1811"/>
      <c r="CJ642" s="1811"/>
      <c r="CK642" s="1811"/>
      <c r="CL642" s="1813"/>
      <c r="CM642" s="1810">
        <f t="shared" si="35"/>
        <v>0</v>
      </c>
      <c r="CN642" s="1811"/>
      <c r="CO642" s="1811"/>
      <c r="CP642" s="1811"/>
      <c r="CQ642" s="1813"/>
      <c r="CR642" s="72"/>
      <c r="CS642" s="72"/>
    </row>
    <row r="643" spans="1:97" ht="12.75" customHeight="1">
      <c r="B643" s="98" t="s">
        <v>38</v>
      </c>
      <c r="C643" s="1701"/>
      <c r="D643" s="1701"/>
      <c r="E643" s="1701"/>
      <c r="F643" s="1701"/>
      <c r="G643" s="1701"/>
      <c r="H643" s="1701"/>
      <c r="I643" s="1701"/>
      <c r="J643" s="1701"/>
      <c r="K643" s="1701"/>
      <c r="L643" s="1701"/>
      <c r="M643" s="1701"/>
      <c r="N643" s="2040"/>
      <c r="O643" s="2055"/>
      <c r="P643" s="2056"/>
      <c r="Q643" s="2057"/>
      <c r="R643" s="1977"/>
      <c r="S643" s="1855"/>
      <c r="T643" s="1978"/>
      <c r="U643" s="1979"/>
      <c r="V643" s="1980"/>
      <c r="W643" s="1981"/>
      <c r="X643" s="1706" t="s">
        <v>2268</v>
      </c>
      <c r="Y643" s="1982"/>
      <c r="Z643" s="1982"/>
      <c r="AA643" s="1982"/>
      <c r="AB643" s="1983"/>
      <c r="AC643" s="1975"/>
      <c r="AD643" s="1695"/>
      <c r="AE643" s="1976"/>
      <c r="AF643" s="1781"/>
      <c r="AG643" s="1782"/>
      <c r="AH643" s="1782"/>
      <c r="AI643" s="1782"/>
      <c r="AJ643" s="1783"/>
      <c r="AK643" s="2052"/>
      <c r="AL643" s="2053"/>
      <c r="AM643" s="2053"/>
      <c r="AN643" s="2054"/>
      <c r="AO643" s="1757"/>
      <c r="AP643" s="1757"/>
      <c r="AQ643" s="1757"/>
      <c r="AR643" s="1757"/>
      <c r="AS643" s="1757"/>
      <c r="AT643" s="75"/>
      <c r="AU643" s="75"/>
      <c r="AV643" s="75"/>
      <c r="AW643" s="75"/>
      <c r="AX643" s="75"/>
      <c r="AY643" s="75"/>
      <c r="AZ643" s="75"/>
      <c r="BN643" s="1810">
        <f t="shared" si="30"/>
        <v>0</v>
      </c>
      <c r="BO643" s="1811"/>
      <c r="BP643" s="1811"/>
      <c r="BQ643" s="1811"/>
      <c r="BR643" s="1813"/>
      <c r="BS643" s="1810">
        <f t="shared" si="31"/>
        <v>0</v>
      </c>
      <c r="BT643" s="1811"/>
      <c r="BU643" s="1811"/>
      <c r="BV643" s="1811"/>
      <c r="BW643" s="1813"/>
      <c r="BX643" s="1810">
        <f t="shared" si="32"/>
        <v>0</v>
      </c>
      <c r="BY643" s="1811"/>
      <c r="BZ643" s="1811"/>
      <c r="CA643" s="1811"/>
      <c r="CB643" s="1813"/>
      <c r="CC643" s="1810">
        <f t="shared" si="33"/>
        <v>0</v>
      </c>
      <c r="CD643" s="1811"/>
      <c r="CE643" s="1811"/>
      <c r="CF643" s="1811"/>
      <c r="CG643" s="1813"/>
      <c r="CH643" s="1810">
        <f t="shared" si="34"/>
        <v>0</v>
      </c>
      <c r="CI643" s="1811"/>
      <c r="CJ643" s="1811"/>
      <c r="CK643" s="1811"/>
      <c r="CL643" s="1813"/>
      <c r="CM643" s="1810">
        <f t="shared" si="35"/>
        <v>0</v>
      </c>
      <c r="CN643" s="1811"/>
      <c r="CO643" s="1811"/>
      <c r="CP643" s="1811"/>
      <c r="CQ643" s="1813"/>
      <c r="CR643" s="72"/>
      <c r="CS643" s="72"/>
    </row>
    <row r="644" spans="1:97" ht="12.75" customHeight="1">
      <c r="B644" s="1795" t="s">
        <v>402</v>
      </c>
      <c r="C644" s="1796"/>
      <c r="D644" s="1796"/>
      <c r="E644" s="1796"/>
      <c r="F644" s="1796"/>
      <c r="G644" s="1796"/>
      <c r="H644" s="1796"/>
      <c r="I644" s="1796"/>
      <c r="J644" s="1796"/>
      <c r="K644" s="1796"/>
      <c r="L644" s="1796"/>
      <c r="M644" s="1796"/>
      <c r="N644" s="1796"/>
      <c r="O644" s="1796"/>
      <c r="P644" s="1796"/>
      <c r="Q644" s="1796"/>
      <c r="R644" s="1796"/>
      <c r="S644" s="1796"/>
      <c r="T644" s="1796"/>
      <c r="U644" s="1796"/>
      <c r="V644" s="1796"/>
      <c r="W644" s="1796"/>
      <c r="X644" s="1796"/>
      <c r="Y644" s="1796"/>
      <c r="Z644" s="1796"/>
      <c r="AA644" s="1796"/>
      <c r="AB644" s="1796"/>
      <c r="AC644" s="1796"/>
      <c r="AD644" s="1796"/>
      <c r="AE644" s="1796"/>
      <c r="AF644" s="1796"/>
      <c r="AG644" s="1796"/>
      <c r="AH644" s="1796"/>
      <c r="AI644" s="1796"/>
      <c r="AJ644" s="1796"/>
      <c r="AK644" s="1796"/>
      <c r="AL644" s="1796"/>
      <c r="AM644" s="1796"/>
      <c r="AN644" s="1797"/>
      <c r="AO644" s="1716">
        <f>SUM(AO632:AS643)</f>
        <v>5938780</v>
      </c>
      <c r="AP644" s="1717"/>
      <c r="AQ644" s="1717"/>
      <c r="AR644" s="1717"/>
      <c r="AS644" s="1718"/>
      <c r="AT644" s="75"/>
      <c r="AU644" s="75"/>
      <c r="AV644" s="75"/>
      <c r="AW644" s="75"/>
      <c r="AX644" s="75"/>
      <c r="AY644" s="75"/>
      <c r="AZ644" s="75"/>
      <c r="BN644" s="1810">
        <f t="shared" si="30"/>
        <v>0</v>
      </c>
      <c r="BO644" s="1811"/>
      <c r="BP644" s="1811"/>
      <c r="BQ644" s="1811"/>
      <c r="BR644" s="1813"/>
      <c r="BS644" s="1810">
        <f t="shared" si="31"/>
        <v>0</v>
      </c>
      <c r="BT644" s="1811"/>
      <c r="BU644" s="1811"/>
      <c r="BV644" s="1811"/>
      <c r="BW644" s="1813"/>
      <c r="BX644" s="1810">
        <f t="shared" si="32"/>
        <v>0</v>
      </c>
      <c r="BY644" s="1811"/>
      <c r="BZ644" s="1811"/>
      <c r="CA644" s="1811"/>
      <c r="CB644" s="1813"/>
      <c r="CC644" s="1810">
        <f t="shared" si="33"/>
        <v>0</v>
      </c>
      <c r="CD644" s="1811"/>
      <c r="CE644" s="1811"/>
      <c r="CF644" s="1811"/>
      <c r="CG644" s="1813"/>
      <c r="CH644" s="1810">
        <f t="shared" si="34"/>
        <v>0</v>
      </c>
      <c r="CI644" s="1811"/>
      <c r="CJ644" s="1811"/>
      <c r="CK644" s="1811"/>
      <c r="CL644" s="1813"/>
      <c r="CM644" s="1810">
        <f t="shared" si="35"/>
        <v>0</v>
      </c>
      <c r="CN644" s="1811"/>
      <c r="CO644" s="1811"/>
      <c r="CP644" s="1811"/>
      <c r="CQ644" s="1813"/>
      <c r="CR644" s="72"/>
      <c r="CS644" s="72"/>
    </row>
    <row r="645" spans="1:97" ht="12.75">
      <c r="B645" s="1795" t="s">
        <v>403</v>
      </c>
      <c r="C645" s="1796"/>
      <c r="D645" s="1796"/>
      <c r="E645" s="1796"/>
      <c r="F645" s="1796"/>
      <c r="G645" s="1796"/>
      <c r="H645" s="1796"/>
      <c r="I645" s="1796"/>
      <c r="J645" s="1796"/>
      <c r="K645" s="1796"/>
      <c r="L645" s="1796"/>
      <c r="M645" s="1796"/>
      <c r="N645" s="1796"/>
      <c r="O645" s="1796"/>
      <c r="P645" s="1796"/>
      <c r="Q645" s="1796"/>
      <c r="R645" s="1796"/>
      <c r="S645" s="1796"/>
      <c r="T645" s="1796"/>
      <c r="U645" s="1796"/>
      <c r="V645" s="1796"/>
      <c r="W645" s="1796"/>
      <c r="X645" s="1796"/>
      <c r="Y645" s="1796"/>
      <c r="Z645" s="1796"/>
      <c r="AA645" s="1796"/>
      <c r="AB645" s="1796"/>
      <c r="AC645" s="1796"/>
      <c r="AD645" s="1796"/>
      <c r="AE645" s="1796"/>
      <c r="AF645" s="1796"/>
      <c r="AG645" s="1796"/>
      <c r="AH645" s="1796"/>
      <c r="AI645" s="1796"/>
      <c r="AJ645" s="1796"/>
      <c r="AK645" s="1796"/>
      <c r="AL645" s="1796"/>
      <c r="AM645" s="1796"/>
      <c r="AN645" s="1797"/>
      <c r="AO645" s="1709">
        <v>21355361</v>
      </c>
      <c r="AP645" s="1710"/>
      <c r="AQ645" s="1710"/>
      <c r="AR645" s="1710"/>
      <c r="AS645" s="1711"/>
      <c r="AT645" s="75"/>
      <c r="AU645" s="75"/>
      <c r="AV645" s="75"/>
      <c r="AW645" s="75"/>
      <c r="AX645" s="75"/>
      <c r="AY645" s="75"/>
      <c r="AZ645" s="75"/>
      <c r="BN645" s="1810">
        <f t="shared" si="30"/>
        <v>0</v>
      </c>
      <c r="BO645" s="1811"/>
      <c r="BP645" s="1811"/>
      <c r="BQ645" s="1811"/>
      <c r="BR645" s="1813"/>
      <c r="BS645" s="1810">
        <f t="shared" si="31"/>
        <v>0</v>
      </c>
      <c r="BT645" s="1811"/>
      <c r="BU645" s="1811"/>
      <c r="BV645" s="1811"/>
      <c r="BW645" s="1813"/>
      <c r="BX645" s="1810">
        <f t="shared" si="32"/>
        <v>0</v>
      </c>
      <c r="BY645" s="1811"/>
      <c r="BZ645" s="1811"/>
      <c r="CA645" s="1811"/>
      <c r="CB645" s="1813"/>
      <c r="CC645" s="1810">
        <f t="shared" si="33"/>
        <v>0</v>
      </c>
      <c r="CD645" s="1811"/>
      <c r="CE645" s="1811"/>
      <c r="CF645" s="1811"/>
      <c r="CG645" s="1813"/>
      <c r="CH645" s="1810">
        <f t="shared" si="34"/>
        <v>0</v>
      </c>
      <c r="CI645" s="1811"/>
      <c r="CJ645" s="1811"/>
      <c r="CK645" s="1811"/>
      <c r="CL645" s="1813"/>
      <c r="CM645" s="1810">
        <f t="shared" si="35"/>
        <v>0</v>
      </c>
      <c r="CN645" s="1811"/>
      <c r="CO645" s="1811"/>
      <c r="CP645" s="1811"/>
      <c r="CQ645" s="1813"/>
      <c r="CR645" s="72"/>
      <c r="CS645" s="72"/>
    </row>
    <row r="646" spans="1:97" ht="12.75">
      <c r="B646" s="2086" t="s">
        <v>1044</v>
      </c>
      <c r="C646" s="2087"/>
      <c r="D646" s="2087"/>
      <c r="E646" s="2087"/>
      <c r="F646" s="2087"/>
      <c r="G646" s="2087"/>
      <c r="H646" s="2087"/>
      <c r="I646" s="2087"/>
      <c r="J646" s="2087"/>
      <c r="K646" s="2087"/>
      <c r="L646" s="2087"/>
      <c r="M646" s="2087"/>
      <c r="N646" s="2087"/>
      <c r="O646" s="2087"/>
      <c r="P646" s="2087"/>
      <c r="Q646" s="2087"/>
      <c r="R646" s="2087"/>
      <c r="S646" s="2087"/>
      <c r="T646" s="2087"/>
      <c r="U646" s="2087"/>
      <c r="V646" s="2087"/>
      <c r="W646" s="2087"/>
      <c r="X646" s="2087"/>
      <c r="Y646" s="2087"/>
      <c r="Z646" s="2087"/>
      <c r="AA646" s="2087"/>
      <c r="AB646" s="2087"/>
      <c r="AC646" s="2087"/>
      <c r="AD646" s="2087"/>
      <c r="AE646" s="2087"/>
      <c r="AF646" s="2087"/>
      <c r="AG646" s="2087"/>
      <c r="AH646" s="2087"/>
      <c r="AI646" s="2087"/>
      <c r="AJ646" s="2087"/>
      <c r="AK646" s="2087"/>
      <c r="AL646" s="2087"/>
      <c r="AM646" s="2087"/>
      <c r="AN646" s="2088"/>
      <c r="AO646" s="1716">
        <f>AO644+AO645</f>
        <v>27294141</v>
      </c>
      <c r="AP646" s="1717"/>
      <c r="AQ646" s="1717"/>
      <c r="AR646" s="1717"/>
      <c r="AS646" s="1718"/>
      <c r="AT646" s="75"/>
      <c r="AU646" s="75"/>
      <c r="AV646" s="75"/>
      <c r="AW646" s="75"/>
      <c r="AX646" s="75"/>
      <c r="AY646" s="75"/>
      <c r="AZ646" s="75"/>
      <c r="BN646" s="2161">
        <f>SUM(BN636:BR645)</f>
        <v>0</v>
      </c>
      <c r="BO646" s="2162"/>
      <c r="BP646" s="2162"/>
      <c r="BQ646" s="2162"/>
      <c r="BR646" s="2163"/>
      <c r="BS646" s="2161">
        <f>SUM(BS636:BW645)</f>
        <v>0</v>
      </c>
      <c r="BT646" s="2162"/>
      <c r="BU646" s="2162"/>
      <c r="BV646" s="2162"/>
      <c r="BW646" s="2163"/>
      <c r="BX646" s="2161">
        <f>SUM(BX636:CB645)</f>
        <v>0</v>
      </c>
      <c r="BY646" s="2162"/>
      <c r="BZ646" s="2162"/>
      <c r="CA646" s="2162"/>
      <c r="CB646" s="2163"/>
      <c r="CC646" s="2161">
        <f>SUM(CC636:CG645)</f>
        <v>0</v>
      </c>
      <c r="CD646" s="2162"/>
      <c r="CE646" s="2162"/>
      <c r="CF646" s="2162"/>
      <c r="CG646" s="2163"/>
      <c r="CH646" s="2161">
        <f>SUM(CH636:CL645)</f>
        <v>0</v>
      </c>
      <c r="CI646" s="2162"/>
      <c r="CJ646" s="2162"/>
      <c r="CK646" s="2162"/>
      <c r="CL646" s="2163"/>
      <c r="CM646" s="2161">
        <f>SUM(CM636:CQ645)</f>
        <v>0</v>
      </c>
      <c r="CN646" s="2162"/>
      <c r="CO646" s="2162"/>
      <c r="CP646" s="2162"/>
      <c r="CQ646" s="2163"/>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1945</v>
      </c>
      <c r="BO647" s="72"/>
      <c r="BP647" s="72"/>
      <c r="BQ647" s="72"/>
      <c r="BR647" s="735">
        <f>BN646*1</f>
        <v>0</v>
      </c>
      <c r="BS647" s="72"/>
      <c r="BT647" s="72"/>
      <c r="BU647" s="72"/>
      <c r="BV647" s="72"/>
      <c r="BW647" s="735">
        <f>BS646*1</f>
        <v>0</v>
      </c>
      <c r="BX647" s="72"/>
      <c r="BY647" s="72"/>
      <c r="BZ647" s="72"/>
      <c r="CA647" s="72"/>
      <c r="CB647" s="735">
        <f>BX646*2</f>
        <v>0</v>
      </c>
      <c r="CC647" s="72"/>
      <c r="CD647" s="72"/>
      <c r="CE647" s="72"/>
      <c r="CF647" s="72"/>
      <c r="CG647" s="735">
        <f>CC646*3</f>
        <v>0</v>
      </c>
      <c r="CH647" s="72"/>
      <c r="CI647" s="72"/>
      <c r="CJ647" s="72"/>
      <c r="CK647" s="72"/>
      <c r="CL647" s="735">
        <f>CH646*4</f>
        <v>0</v>
      </c>
      <c r="CM647" s="72"/>
      <c r="CN647" s="72"/>
      <c r="CO647" s="72"/>
      <c r="CP647" s="72"/>
      <c r="CQ647" s="734">
        <f>CM646*5</f>
        <v>0</v>
      </c>
      <c r="CR647" s="72"/>
      <c r="CS647" s="72"/>
    </row>
    <row r="648" spans="1:97" ht="13.5" thickBot="1">
      <c r="A648" s="101" t="s">
        <v>1004</v>
      </c>
      <c r="B648" s="16" t="s">
        <v>93</v>
      </c>
      <c r="G648" s="1850" t="str">
        <f>C632</f>
        <v>Housing Relinquished Fund Corp</v>
      </c>
      <c r="H648" s="1850"/>
      <c r="I648" s="1850"/>
      <c r="J648" s="1850"/>
      <c r="K648" s="1850"/>
      <c r="L648" s="1850"/>
      <c r="M648" s="1850"/>
      <c r="N648" s="1850"/>
      <c r="O648" s="1850"/>
      <c r="P648" s="1850"/>
      <c r="Q648" s="1850"/>
      <c r="R648" s="1850"/>
      <c r="S648" s="18"/>
      <c r="T648" s="101" t="s">
        <v>1005</v>
      </c>
      <c r="U648" s="16" t="s">
        <v>93</v>
      </c>
      <c r="Z648" s="1850" t="str">
        <f>C633</f>
        <v>City of Fresno Loan</v>
      </c>
      <c r="AA648" s="1850"/>
      <c r="AB648" s="1850"/>
      <c r="AC648" s="1850"/>
      <c r="AD648" s="1850"/>
      <c r="AE648" s="1850"/>
      <c r="AF648" s="1850"/>
      <c r="AG648" s="1850"/>
      <c r="AH648" s="1850"/>
      <c r="AI648" s="1850"/>
      <c r="AJ648" s="1850"/>
      <c r="AK648" s="1850"/>
      <c r="AM648" s="75"/>
      <c r="AN648" s="75"/>
      <c r="AO648" s="75"/>
      <c r="AP648" s="75"/>
      <c r="AQ648" s="75"/>
      <c r="AR648" s="75"/>
      <c r="AS648" s="75"/>
      <c r="AT648" s="75"/>
      <c r="AU648" s="75"/>
      <c r="AV648" s="75"/>
      <c r="AW648" s="75"/>
      <c r="AX648" s="75"/>
      <c r="AY648" s="75"/>
      <c r="AZ648" s="75"/>
      <c r="CP648" s="1400" t="s">
        <v>1944</v>
      </c>
      <c r="CQ648" s="736">
        <f>BN646+BS646+BX646+CC646+CH646+CM646</f>
        <v>0</v>
      </c>
      <c r="CR648" s="72"/>
      <c r="CS648" s="72"/>
    </row>
    <row r="649" spans="1:97" ht="13.5" thickBot="1">
      <c r="A649" s="46"/>
      <c r="B649" s="16" t="s">
        <v>416</v>
      </c>
      <c r="G649" s="1697" t="s">
        <v>2517</v>
      </c>
      <c r="H649" s="1697"/>
      <c r="I649" s="1697"/>
      <c r="J649" s="1697"/>
      <c r="K649" s="1697"/>
      <c r="L649" s="1697"/>
      <c r="M649" s="1697"/>
      <c r="N649" s="1697"/>
      <c r="O649" s="1697"/>
      <c r="P649" s="1697"/>
      <c r="Q649" s="1697"/>
      <c r="R649" s="1697"/>
      <c r="S649" s="18"/>
      <c r="T649" s="46"/>
      <c r="U649" s="16" t="s">
        <v>416</v>
      </c>
      <c r="Z649" s="1697" t="s">
        <v>2522</v>
      </c>
      <c r="AA649" s="1697"/>
      <c r="AB649" s="1697"/>
      <c r="AC649" s="1697"/>
      <c r="AD649" s="1697"/>
      <c r="AE649" s="1697"/>
      <c r="AF649" s="1697"/>
      <c r="AG649" s="1697"/>
      <c r="AH649" s="1697"/>
      <c r="AI649" s="1697"/>
      <c r="AJ649" s="1697"/>
      <c r="AK649" s="1697"/>
      <c r="AM649" s="75"/>
      <c r="AN649" s="75"/>
      <c r="AO649" s="75"/>
      <c r="AP649" s="75"/>
      <c r="AQ649" s="75"/>
      <c r="AR649" s="75"/>
      <c r="AS649" s="75"/>
      <c r="AT649" s="75"/>
      <c r="AU649" s="75"/>
      <c r="AV649" s="75"/>
      <c r="AW649" s="75"/>
      <c r="AX649" s="75"/>
      <c r="AY649" s="75"/>
      <c r="AZ649" s="75"/>
      <c r="CR649" s="72"/>
      <c r="CS649" s="72"/>
    </row>
    <row r="650" spans="1:97" ht="13.5" thickBot="1">
      <c r="A650" s="46"/>
      <c r="B650" s="16" t="s">
        <v>479</v>
      </c>
      <c r="G650" s="1697" t="s">
        <v>439</v>
      </c>
      <c r="H650" s="1697"/>
      <c r="I650" s="1697"/>
      <c r="J650" s="1697"/>
      <c r="K650" s="1697"/>
      <c r="L650" s="1697"/>
      <c r="M650" s="1697"/>
      <c r="N650" s="1697"/>
      <c r="O650" s="1697"/>
      <c r="P650" s="1697"/>
      <c r="Q650" s="1697"/>
      <c r="R650" s="1697"/>
      <c r="S650" s="102"/>
      <c r="T650" s="46"/>
      <c r="U650" s="16" t="s">
        <v>479</v>
      </c>
      <c r="Z650" s="1696" t="s">
        <v>439</v>
      </c>
      <c r="AA650" s="1696"/>
      <c r="AB650" s="1696"/>
      <c r="AC650" s="1696"/>
      <c r="AD650" s="1696"/>
      <c r="AE650" s="1696"/>
      <c r="AF650" s="1696"/>
      <c r="AG650" s="1696"/>
      <c r="AH650" s="1696"/>
      <c r="AI650" s="1696"/>
      <c r="AJ650" s="1696"/>
      <c r="AK650" s="1696"/>
      <c r="AM650" s="75"/>
      <c r="AN650" s="75"/>
      <c r="AO650" s="75"/>
      <c r="AP650" s="75"/>
      <c r="AQ650" s="75"/>
      <c r="AR650" s="75"/>
      <c r="AS650" s="75"/>
      <c r="AT650" s="75"/>
      <c r="AU650" s="75"/>
      <c r="AV650" s="75"/>
      <c r="AW650" s="75"/>
      <c r="AX650" s="75"/>
      <c r="AY650" s="75"/>
      <c r="AZ650" s="75"/>
      <c r="CP650" s="1400" t="s">
        <v>1946</v>
      </c>
      <c r="CQ650" s="736">
        <f>CQ648+CQ629</f>
        <v>129</v>
      </c>
      <c r="CR650" s="72"/>
      <c r="CS650" s="72"/>
    </row>
    <row r="651" spans="1:97" ht="12.75">
      <c r="A651" s="46"/>
      <c r="B651" s="16" t="s">
        <v>915</v>
      </c>
      <c r="G651" s="1697" t="s">
        <v>2434</v>
      </c>
      <c r="H651" s="1697"/>
      <c r="I651" s="1697"/>
      <c r="J651" s="1697"/>
      <c r="K651" s="1697"/>
      <c r="L651" s="1697"/>
      <c r="M651" s="1697"/>
      <c r="N651" s="1697"/>
      <c r="O651" s="1697"/>
      <c r="P651" s="1697"/>
      <c r="Q651" s="1697"/>
      <c r="R651" s="1697"/>
      <c r="S651" s="18"/>
      <c r="T651" s="46"/>
      <c r="U651" s="16" t="s">
        <v>915</v>
      </c>
      <c r="Z651" s="1696" t="s">
        <v>2374</v>
      </c>
      <c r="AA651" s="1696"/>
      <c r="AB651" s="1696"/>
      <c r="AC651" s="1696"/>
      <c r="AD651" s="1696"/>
      <c r="AE651" s="1696"/>
      <c r="AF651" s="1696"/>
      <c r="AG651" s="1696"/>
      <c r="AH651" s="1696"/>
      <c r="AI651" s="1696"/>
      <c r="AJ651" s="1696"/>
      <c r="AK651" s="1696"/>
      <c r="AM651" s="75"/>
      <c r="AN651" s="75"/>
      <c r="AO651" s="75"/>
      <c r="AP651" s="75"/>
      <c r="AQ651" s="75"/>
      <c r="AR651" s="75"/>
      <c r="AS651" s="75"/>
      <c r="AT651" s="75"/>
      <c r="AU651" s="75"/>
      <c r="AV651" s="75"/>
      <c r="AW651" s="75"/>
      <c r="AX651" s="75"/>
      <c r="AY651" s="75"/>
      <c r="AZ651" s="75"/>
      <c r="BN651" s="75" t="s">
        <v>950</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716</v>
      </c>
      <c r="G652" s="1688" t="s">
        <v>2500</v>
      </c>
      <c r="H652" s="1689"/>
      <c r="I652" s="1689"/>
      <c r="J652" s="1689"/>
      <c r="K652" s="1689"/>
      <c r="L652" s="1689"/>
      <c r="O652" s="149" t="s">
        <v>900</v>
      </c>
      <c r="P652" s="1702"/>
      <c r="Q652" s="1702"/>
      <c r="R652" s="1702"/>
      <c r="S652" s="20"/>
      <c r="T652" s="46"/>
      <c r="U652" s="16" t="s">
        <v>716</v>
      </c>
      <c r="Z652" s="1688" t="s">
        <v>2516</v>
      </c>
      <c r="AA652" s="1689"/>
      <c r="AB652" s="1689"/>
      <c r="AC652" s="1689"/>
      <c r="AD652" s="1689"/>
      <c r="AE652" s="1689"/>
      <c r="AH652" s="149" t="s">
        <v>900</v>
      </c>
      <c r="AI652" s="1702"/>
      <c r="AJ652" s="1702"/>
      <c r="AK652" s="1702"/>
      <c r="AM652" s="75"/>
      <c r="AN652" s="75"/>
      <c r="AO652" s="75"/>
      <c r="AP652" s="75"/>
      <c r="AQ652" s="75"/>
      <c r="AR652" s="75"/>
      <c r="AS652" s="75"/>
      <c r="AT652" s="75"/>
      <c r="AU652" s="75"/>
      <c r="AV652" s="75"/>
      <c r="AW652" s="75"/>
      <c r="AX652" s="75"/>
      <c r="AY652" s="75"/>
      <c r="AZ652" s="75"/>
      <c r="BN652" s="2161">
        <f>BN627+BN634+BN646</f>
        <v>0</v>
      </c>
      <c r="BO652" s="2162"/>
      <c r="BP652" s="2162"/>
      <c r="BQ652" s="2162"/>
      <c r="BR652" s="2163"/>
      <c r="BS652" s="2161">
        <f>BS627+BS634+BS646</f>
        <v>8</v>
      </c>
      <c r="BT652" s="2162"/>
      <c r="BU652" s="2162"/>
      <c r="BV652" s="2162"/>
      <c r="BW652" s="2163"/>
      <c r="BX652" s="2161">
        <f>BX627+BX634+BX646</f>
        <v>32</v>
      </c>
      <c r="BY652" s="2162"/>
      <c r="BZ652" s="2162"/>
      <c r="CA652" s="2162"/>
      <c r="CB652" s="2163"/>
      <c r="CC652" s="2161">
        <f>CC627+CC634+CC646</f>
        <v>20</v>
      </c>
      <c r="CD652" s="2162"/>
      <c r="CE652" s="2162"/>
      <c r="CF652" s="2162"/>
      <c r="CG652" s="2163"/>
      <c r="CH652" s="2161">
        <f>CH627+CH634+CH646</f>
        <v>0</v>
      </c>
      <c r="CI652" s="2162"/>
      <c r="CJ652" s="2162"/>
      <c r="CK652" s="2162"/>
      <c r="CL652" s="2163"/>
      <c r="CM652" s="1814">
        <f>CM646+CM634+CM627</f>
        <v>0</v>
      </c>
      <c r="CN652" s="2160"/>
      <c r="CO652" s="2160"/>
      <c r="CP652" s="2160"/>
      <c r="CQ652" s="1815"/>
      <c r="CR652" s="72"/>
      <c r="CS652" s="72"/>
    </row>
    <row r="653" spans="1:97" ht="12.75">
      <c r="A653" s="46"/>
      <c r="B653" s="16" t="s">
        <v>916</v>
      </c>
      <c r="H653" s="1697" t="s">
        <v>2509</v>
      </c>
      <c r="I653" s="1697"/>
      <c r="J653" s="1697"/>
      <c r="K653" s="1697"/>
      <c r="L653" s="1697"/>
      <c r="M653" s="1697"/>
      <c r="N653" s="1697"/>
      <c r="O653" s="1697"/>
      <c r="P653" s="1697"/>
      <c r="Q653" s="1697"/>
      <c r="R653" s="1697"/>
      <c r="S653" s="18"/>
      <c r="T653" s="46"/>
      <c r="U653" s="16" t="s">
        <v>916</v>
      </c>
      <c r="AA653" s="1697" t="s">
        <v>2509</v>
      </c>
      <c r="AB653" s="1697"/>
      <c r="AC653" s="1697"/>
      <c r="AD653" s="1697"/>
      <c r="AE653" s="1697"/>
      <c r="AF653" s="1697"/>
      <c r="AG653" s="1697"/>
      <c r="AH653" s="1697"/>
      <c r="AI653" s="1697"/>
      <c r="AJ653" s="1697"/>
      <c r="AK653" s="1697"/>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918</v>
      </c>
      <c r="N654" s="1694" t="s">
        <v>119</v>
      </c>
      <c r="O654" s="1694"/>
      <c r="T654" s="46"/>
      <c r="U654" s="16" t="s">
        <v>918</v>
      </c>
      <c r="AG654" s="1694" t="s">
        <v>119</v>
      </c>
      <c r="AH654" s="1694"/>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1011</v>
      </c>
      <c r="B656" s="16" t="s">
        <v>93</v>
      </c>
      <c r="G656" s="1850" t="str">
        <f>C634</f>
        <v>Accrued/Deferred Interest</v>
      </c>
      <c r="H656" s="1850"/>
      <c r="I656" s="1850"/>
      <c r="J656" s="1850"/>
      <c r="K656" s="1850"/>
      <c r="L656" s="1850"/>
      <c r="M656" s="1850"/>
      <c r="N656" s="1850"/>
      <c r="O656" s="1850"/>
      <c r="P656" s="1850"/>
      <c r="Q656" s="1850"/>
      <c r="R656" s="1850"/>
      <c r="T656" s="101" t="s">
        <v>480</v>
      </c>
      <c r="U656" s="16" t="s">
        <v>93</v>
      </c>
      <c r="Z656" s="1850" t="str">
        <f>C635</f>
        <v>NPLH Capital</v>
      </c>
      <c r="AA656" s="1850"/>
      <c r="AB656" s="1850"/>
      <c r="AC656" s="1850"/>
      <c r="AD656" s="1850"/>
      <c r="AE656" s="1850"/>
      <c r="AF656" s="1850"/>
      <c r="AG656" s="1850"/>
      <c r="AH656" s="1850"/>
      <c r="AI656" s="1850"/>
      <c r="AJ656" s="1850"/>
      <c r="AK656" s="1850"/>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416</v>
      </c>
      <c r="G657" s="1697" t="s">
        <v>2517</v>
      </c>
      <c r="H657" s="1697"/>
      <c r="I657" s="1697"/>
      <c r="J657" s="1697"/>
      <c r="K657" s="1697"/>
      <c r="L657" s="1697"/>
      <c r="M657" s="1697"/>
      <c r="N657" s="1697"/>
      <c r="O657" s="1697"/>
      <c r="P657" s="1697"/>
      <c r="Q657" s="1697"/>
      <c r="R657" s="1697"/>
      <c r="T657" s="46"/>
      <c r="U657" s="16" t="s">
        <v>416</v>
      </c>
      <c r="Z657" s="1697" t="s">
        <v>2519</v>
      </c>
      <c r="AA657" s="1697"/>
      <c r="AB657" s="1697"/>
      <c r="AC657" s="1697"/>
      <c r="AD657" s="1697"/>
      <c r="AE657" s="1697"/>
      <c r="AF657" s="1697"/>
      <c r="AG657" s="1697"/>
      <c r="AH657" s="1697"/>
      <c r="AI657" s="1697"/>
      <c r="AJ657" s="1697"/>
      <c r="AK657" s="1697"/>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479</v>
      </c>
      <c r="G658" s="1697" t="s">
        <v>439</v>
      </c>
      <c r="H658" s="1697"/>
      <c r="I658" s="1697"/>
      <c r="J658" s="1697"/>
      <c r="K658" s="1697"/>
      <c r="L658" s="1697"/>
      <c r="M658" s="1697"/>
      <c r="N658" s="1697"/>
      <c r="O658" s="1697"/>
      <c r="P658" s="1697"/>
      <c r="Q658" s="1697"/>
      <c r="R658" s="1697"/>
      <c r="T658" s="46"/>
      <c r="U658" s="16" t="s">
        <v>479</v>
      </c>
      <c r="Z658" s="1696" t="s">
        <v>121</v>
      </c>
      <c r="AA658" s="1696"/>
      <c r="AB658" s="1696"/>
      <c r="AC658" s="1696"/>
      <c r="AD658" s="1696"/>
      <c r="AE658" s="1696"/>
      <c r="AF658" s="1696"/>
      <c r="AG658" s="1696"/>
      <c r="AH658" s="1696"/>
      <c r="AI658" s="1696"/>
      <c r="AJ658" s="1696"/>
      <c r="AK658" s="1696"/>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915</v>
      </c>
      <c r="G659" s="1697" t="s">
        <v>2434</v>
      </c>
      <c r="H659" s="1697"/>
      <c r="I659" s="1697"/>
      <c r="J659" s="1697"/>
      <c r="K659" s="1697"/>
      <c r="L659" s="1697"/>
      <c r="M659" s="1697"/>
      <c r="N659" s="1697"/>
      <c r="O659" s="1697"/>
      <c r="P659" s="1697"/>
      <c r="Q659" s="1697"/>
      <c r="R659" s="1697"/>
      <c r="T659" s="46"/>
      <c r="U659" s="16" t="s">
        <v>915</v>
      </c>
      <c r="Z659" s="1696" t="s">
        <v>2520</v>
      </c>
      <c r="AA659" s="1696"/>
      <c r="AB659" s="1696"/>
      <c r="AC659" s="1696"/>
      <c r="AD659" s="1696"/>
      <c r="AE659" s="1696"/>
      <c r="AF659" s="1696"/>
      <c r="AG659" s="1696"/>
      <c r="AH659" s="1696"/>
      <c r="AI659" s="1696"/>
      <c r="AJ659" s="1696"/>
      <c r="AK659" s="1696"/>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716</v>
      </c>
      <c r="G660" s="1688" t="s">
        <v>2500</v>
      </c>
      <c r="H660" s="1689"/>
      <c r="I660" s="1689"/>
      <c r="J660" s="1689"/>
      <c r="K660" s="1689"/>
      <c r="L660" s="1689"/>
      <c r="O660" s="149" t="s">
        <v>900</v>
      </c>
      <c r="P660" s="1702"/>
      <c r="Q660" s="1702"/>
      <c r="R660" s="1702"/>
      <c r="T660" s="46"/>
      <c r="U660" s="16" t="s">
        <v>716</v>
      </c>
      <c r="Z660" s="1688" t="s">
        <v>2521</v>
      </c>
      <c r="AA660" s="1689"/>
      <c r="AB660" s="1689"/>
      <c r="AC660" s="1689"/>
      <c r="AD660" s="1689"/>
      <c r="AE660" s="1689"/>
      <c r="AH660" s="149" t="s">
        <v>900</v>
      </c>
      <c r="AI660" s="1702"/>
      <c r="AJ660" s="1702"/>
      <c r="AK660" s="1702"/>
      <c r="AL660" s="487"/>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916</v>
      </c>
      <c r="H661" s="1697" t="s">
        <v>865</v>
      </c>
      <c r="I661" s="1697"/>
      <c r="J661" s="1697"/>
      <c r="K661" s="1697"/>
      <c r="L661" s="1697"/>
      <c r="M661" s="1697"/>
      <c r="N661" s="1697"/>
      <c r="O661" s="1697"/>
      <c r="P661" s="1697"/>
      <c r="Q661" s="1697"/>
      <c r="R661" s="1697"/>
      <c r="T661" s="46"/>
      <c r="U661" s="16" t="s">
        <v>916</v>
      </c>
      <c r="AA661" s="1697" t="s">
        <v>2541</v>
      </c>
      <c r="AB661" s="1697"/>
      <c r="AC661" s="1697"/>
      <c r="AD661" s="1697"/>
      <c r="AE661" s="1697"/>
      <c r="AF661" s="1697"/>
      <c r="AG661" s="1697"/>
      <c r="AH661" s="1697"/>
      <c r="AI661" s="1697"/>
      <c r="AJ661" s="1697"/>
      <c r="AK661" s="1697"/>
      <c r="AL661" s="487"/>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918</v>
      </c>
      <c r="N662" s="1694" t="s">
        <v>119</v>
      </c>
      <c r="O662" s="1694"/>
      <c r="T662" s="46"/>
      <c r="U662" s="16" t="s">
        <v>918</v>
      </c>
      <c r="AG662" s="1694" t="s">
        <v>119</v>
      </c>
      <c r="AH662" s="1694"/>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188</v>
      </c>
      <c r="B664" s="16" t="s">
        <v>93</v>
      </c>
      <c r="G664" s="1850">
        <f>C636</f>
        <v>0</v>
      </c>
      <c r="H664" s="1850"/>
      <c r="I664" s="1850"/>
      <c r="J664" s="1850"/>
      <c r="K664" s="1850"/>
      <c r="L664" s="1850"/>
      <c r="M664" s="1850"/>
      <c r="N664" s="1850"/>
      <c r="O664" s="1850"/>
      <c r="P664" s="1850"/>
      <c r="Q664" s="1850"/>
      <c r="R664" s="1850"/>
      <c r="T664" s="101" t="s">
        <v>483</v>
      </c>
      <c r="U664" s="16" t="s">
        <v>93</v>
      </c>
      <c r="Z664" s="1850">
        <f>C637</f>
        <v>0</v>
      </c>
      <c r="AA664" s="1850"/>
      <c r="AB664" s="1850"/>
      <c r="AC664" s="1850"/>
      <c r="AD664" s="1850"/>
      <c r="AE664" s="1850"/>
      <c r="AF664" s="1850"/>
      <c r="AG664" s="1850"/>
      <c r="AH664" s="1850"/>
      <c r="AI664" s="1850"/>
      <c r="AJ664" s="1850"/>
      <c r="AK664" s="1850"/>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416</v>
      </c>
      <c r="G665" s="1697"/>
      <c r="H665" s="1697"/>
      <c r="I665" s="1697"/>
      <c r="J665" s="1697"/>
      <c r="K665" s="1697"/>
      <c r="L665" s="1697"/>
      <c r="M665" s="1697"/>
      <c r="N665" s="1697"/>
      <c r="O665" s="1697"/>
      <c r="P665" s="1697"/>
      <c r="Q665" s="1697"/>
      <c r="R665" s="1697"/>
      <c r="T665" s="46"/>
      <c r="U665" s="16" t="s">
        <v>416</v>
      </c>
      <c r="Z665" s="1697"/>
      <c r="AA665" s="1697"/>
      <c r="AB665" s="1697"/>
      <c r="AC665" s="1697"/>
      <c r="AD665" s="1697"/>
      <c r="AE665" s="1697"/>
      <c r="AF665" s="1697"/>
      <c r="AG665" s="1697"/>
      <c r="AH665" s="1697"/>
      <c r="AI665" s="1697"/>
      <c r="AJ665" s="1697"/>
      <c r="AK665" s="1697"/>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479</v>
      </c>
      <c r="G666" s="1697"/>
      <c r="H666" s="1697"/>
      <c r="I666" s="1697"/>
      <c r="J666" s="1697"/>
      <c r="K666" s="1697"/>
      <c r="L666" s="1697"/>
      <c r="M666" s="1697"/>
      <c r="N666" s="1697"/>
      <c r="O666" s="1697"/>
      <c r="P666" s="1697"/>
      <c r="Q666" s="1697"/>
      <c r="R666" s="1697"/>
      <c r="T666" s="46"/>
      <c r="U666" s="16" t="s">
        <v>479</v>
      </c>
      <c r="Z666" s="1696"/>
      <c r="AA666" s="1696"/>
      <c r="AB666" s="1696"/>
      <c r="AC666" s="1696"/>
      <c r="AD666" s="1696"/>
      <c r="AE666" s="1696"/>
      <c r="AF666" s="1696"/>
      <c r="AG666" s="1696"/>
      <c r="AH666" s="1696"/>
      <c r="AI666" s="1696"/>
      <c r="AJ666" s="1696"/>
      <c r="AK666" s="1696"/>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915</v>
      </c>
      <c r="G667" s="1697"/>
      <c r="H667" s="1697"/>
      <c r="I667" s="1697"/>
      <c r="J667" s="1697"/>
      <c r="K667" s="1697"/>
      <c r="L667" s="1697"/>
      <c r="M667" s="1697"/>
      <c r="N667" s="1697"/>
      <c r="O667" s="1697"/>
      <c r="P667" s="1697"/>
      <c r="Q667" s="1697"/>
      <c r="R667" s="1697"/>
      <c r="T667" s="46"/>
      <c r="U667" s="16" t="s">
        <v>915</v>
      </c>
      <c r="Z667" s="1696"/>
      <c r="AA667" s="1696"/>
      <c r="AB667" s="1696"/>
      <c r="AC667" s="1696"/>
      <c r="AD667" s="1696"/>
      <c r="AE667" s="1696"/>
      <c r="AF667" s="1696"/>
      <c r="AG667" s="1696"/>
      <c r="AH667" s="1696"/>
      <c r="AI667" s="1696"/>
      <c r="AJ667" s="1696"/>
      <c r="AK667" s="1696"/>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716</v>
      </c>
      <c r="G668" s="1689"/>
      <c r="H668" s="1689"/>
      <c r="I668" s="1689"/>
      <c r="J668" s="1689"/>
      <c r="K668" s="1689"/>
      <c r="L668" s="1689"/>
      <c r="O668" s="149" t="s">
        <v>900</v>
      </c>
      <c r="P668" s="1702"/>
      <c r="Q668" s="1702"/>
      <c r="R668" s="1702"/>
      <c r="T668" s="46"/>
      <c r="U668" s="16" t="s">
        <v>716</v>
      </c>
      <c r="Z668" s="1689"/>
      <c r="AA668" s="1689"/>
      <c r="AB668" s="1689"/>
      <c r="AC668" s="1689"/>
      <c r="AD668" s="1689"/>
      <c r="AE668" s="1689"/>
      <c r="AH668" s="149" t="s">
        <v>900</v>
      </c>
      <c r="AI668" s="1702"/>
      <c r="AJ668" s="1702"/>
      <c r="AK668" s="1702"/>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916</v>
      </c>
      <c r="H669" s="1697"/>
      <c r="I669" s="1697"/>
      <c r="J669" s="1697"/>
      <c r="K669" s="1697"/>
      <c r="L669" s="1697"/>
      <c r="M669" s="1697"/>
      <c r="N669" s="1697"/>
      <c r="O669" s="1697"/>
      <c r="P669" s="1697"/>
      <c r="Q669" s="1697"/>
      <c r="R669" s="1697"/>
      <c r="T669" s="46"/>
      <c r="U669" s="16" t="s">
        <v>916</v>
      </c>
      <c r="AA669" s="1697"/>
      <c r="AB669" s="1697"/>
      <c r="AC669" s="1697"/>
      <c r="AD669" s="1697"/>
      <c r="AE669" s="1697"/>
      <c r="AF669" s="1697"/>
      <c r="AG669" s="1697"/>
      <c r="AH669" s="1697"/>
      <c r="AI669" s="1697"/>
      <c r="AJ669" s="1697"/>
      <c r="AK669" s="1697"/>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918</v>
      </c>
      <c r="N670" s="1694" t="s">
        <v>531</v>
      </c>
      <c r="O670" s="1694"/>
      <c r="T670" s="46"/>
      <c r="U670" s="16" t="s">
        <v>918</v>
      </c>
      <c r="AG670" s="1694" t="s">
        <v>531</v>
      </c>
      <c r="AH670" s="1694"/>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810</v>
      </c>
      <c r="B672" s="16" t="s">
        <v>93</v>
      </c>
      <c r="G672" s="1850">
        <f>C638</f>
        <v>0</v>
      </c>
      <c r="H672" s="1850"/>
      <c r="I672" s="1850"/>
      <c r="J672" s="1850"/>
      <c r="K672" s="1850"/>
      <c r="L672" s="1850"/>
      <c r="M672" s="1850"/>
      <c r="N672" s="1850"/>
      <c r="O672" s="1850"/>
      <c r="P672" s="1850"/>
      <c r="Q672" s="1850"/>
      <c r="R672" s="1850"/>
      <c r="T672" s="101" t="s">
        <v>811</v>
      </c>
      <c r="U672" s="16" t="s">
        <v>93</v>
      </c>
      <c r="Z672" s="1850">
        <f>C639</f>
        <v>0</v>
      </c>
      <c r="AA672" s="1850"/>
      <c r="AB672" s="1850"/>
      <c r="AC672" s="1850"/>
      <c r="AD672" s="1850"/>
      <c r="AE672" s="1850"/>
      <c r="AF672" s="1850"/>
      <c r="AG672" s="1850"/>
      <c r="AH672" s="1850"/>
      <c r="AI672" s="1850"/>
      <c r="AJ672" s="1850"/>
      <c r="AK672" s="1850"/>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416</v>
      </c>
      <c r="G673" s="1697"/>
      <c r="H673" s="1697"/>
      <c r="I673" s="1697"/>
      <c r="J673" s="1697"/>
      <c r="K673" s="1697"/>
      <c r="L673" s="1697"/>
      <c r="M673" s="1697"/>
      <c r="N673" s="1697"/>
      <c r="O673" s="1697"/>
      <c r="P673" s="1697"/>
      <c r="Q673" s="1697"/>
      <c r="R673" s="1697"/>
      <c r="T673" s="46"/>
      <c r="U673" s="16" t="s">
        <v>416</v>
      </c>
      <c r="Z673" s="1697"/>
      <c r="AA673" s="1697"/>
      <c r="AB673" s="1697"/>
      <c r="AC673" s="1697"/>
      <c r="AD673" s="1697"/>
      <c r="AE673" s="1697"/>
      <c r="AF673" s="1697"/>
      <c r="AG673" s="1697"/>
      <c r="AH673" s="1697"/>
      <c r="AI673" s="1697"/>
      <c r="AJ673" s="1697"/>
      <c r="AK673" s="1697"/>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479</v>
      </c>
      <c r="G674" s="1697"/>
      <c r="H674" s="1697"/>
      <c r="I674" s="1697"/>
      <c r="J674" s="1697"/>
      <c r="K674" s="1697"/>
      <c r="L674" s="1697"/>
      <c r="M674" s="1697"/>
      <c r="N674" s="1697"/>
      <c r="O674" s="1697"/>
      <c r="P674" s="1697"/>
      <c r="Q674" s="1697"/>
      <c r="R674" s="1697"/>
      <c r="T674" s="46"/>
      <c r="U674" s="16" t="s">
        <v>479</v>
      </c>
      <c r="Z674" s="1696"/>
      <c r="AA674" s="1696"/>
      <c r="AB674" s="1696"/>
      <c r="AC674" s="1696"/>
      <c r="AD674" s="1696"/>
      <c r="AE674" s="1696"/>
      <c r="AF674" s="1696"/>
      <c r="AG674" s="1696"/>
      <c r="AH674" s="1696"/>
      <c r="AI674" s="1696"/>
      <c r="AJ674" s="1696"/>
      <c r="AK674" s="1696"/>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915</v>
      </c>
      <c r="G675" s="1697"/>
      <c r="H675" s="1697"/>
      <c r="I675" s="1697"/>
      <c r="J675" s="1697"/>
      <c r="K675" s="1697"/>
      <c r="L675" s="1697"/>
      <c r="M675" s="1697"/>
      <c r="N675" s="1697"/>
      <c r="O675" s="1697"/>
      <c r="P675" s="1697"/>
      <c r="Q675" s="1697"/>
      <c r="R675" s="1697"/>
      <c r="T675" s="46"/>
      <c r="U675" s="16" t="s">
        <v>915</v>
      </c>
      <c r="Z675" s="1696"/>
      <c r="AA675" s="1696"/>
      <c r="AB675" s="1696"/>
      <c r="AC675" s="1696"/>
      <c r="AD675" s="1696"/>
      <c r="AE675" s="1696"/>
      <c r="AF675" s="1696"/>
      <c r="AG675" s="1696"/>
      <c r="AH675" s="1696"/>
      <c r="AI675" s="1696"/>
      <c r="AJ675" s="1696"/>
      <c r="AK675" s="1696"/>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716</v>
      </c>
      <c r="G676" s="1689"/>
      <c r="H676" s="1689"/>
      <c r="I676" s="1689"/>
      <c r="J676" s="1689"/>
      <c r="K676" s="1689"/>
      <c r="L676" s="1689"/>
      <c r="O676" s="149" t="s">
        <v>900</v>
      </c>
      <c r="P676" s="1702"/>
      <c r="Q676" s="1702"/>
      <c r="R676" s="1702"/>
      <c r="T676" s="46"/>
      <c r="U676" s="16" t="s">
        <v>716</v>
      </c>
      <c r="Z676" s="1689"/>
      <c r="AA676" s="1689"/>
      <c r="AB676" s="1689"/>
      <c r="AC676" s="1689"/>
      <c r="AD676" s="1689"/>
      <c r="AE676" s="1689"/>
      <c r="AH676" s="149" t="s">
        <v>900</v>
      </c>
      <c r="AI676" s="1702"/>
      <c r="AJ676" s="1702"/>
      <c r="AK676" s="1702"/>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916</v>
      </c>
      <c r="H677" s="1697"/>
      <c r="I677" s="1697"/>
      <c r="J677" s="1697"/>
      <c r="K677" s="1697"/>
      <c r="L677" s="1697"/>
      <c r="M677" s="1697"/>
      <c r="N677" s="1697"/>
      <c r="O677" s="1697"/>
      <c r="P677" s="1697"/>
      <c r="Q677" s="1697"/>
      <c r="R677" s="1697"/>
      <c r="T677" s="46"/>
      <c r="U677" s="16" t="s">
        <v>916</v>
      </c>
      <c r="AA677" s="1697"/>
      <c r="AB677" s="1697"/>
      <c r="AC677" s="1697"/>
      <c r="AD677" s="1697"/>
      <c r="AE677" s="1697"/>
      <c r="AF677" s="1697"/>
      <c r="AG677" s="1697"/>
      <c r="AH677" s="1697"/>
      <c r="AI677" s="1697"/>
      <c r="AJ677" s="1697"/>
      <c r="AK677" s="1697"/>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918</v>
      </c>
      <c r="N678" s="1694" t="s">
        <v>531</v>
      </c>
      <c r="O678" s="1694"/>
      <c r="T678" s="46"/>
      <c r="U678" s="16" t="s">
        <v>918</v>
      </c>
      <c r="AG678" s="1694" t="s">
        <v>531</v>
      </c>
      <c r="AH678" s="1694"/>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606</v>
      </c>
      <c r="B680" s="16" t="s">
        <v>93</v>
      </c>
      <c r="G680" s="1850">
        <f>C640</f>
        <v>0</v>
      </c>
      <c r="H680" s="1850"/>
      <c r="I680" s="1850"/>
      <c r="J680" s="1850"/>
      <c r="K680" s="1850"/>
      <c r="L680" s="1850"/>
      <c r="M680" s="1850"/>
      <c r="N680" s="1850"/>
      <c r="O680" s="1850"/>
      <c r="P680" s="1850"/>
      <c r="Q680" s="1850"/>
      <c r="R680" s="1850"/>
      <c r="T680" s="101" t="s">
        <v>191</v>
      </c>
      <c r="U680" s="16" t="s">
        <v>93</v>
      </c>
      <c r="Z680" s="1850">
        <f>C641</f>
        <v>0</v>
      </c>
      <c r="AA680" s="1850"/>
      <c r="AB680" s="1850"/>
      <c r="AC680" s="1850"/>
      <c r="AD680" s="1850"/>
      <c r="AE680" s="1850"/>
      <c r="AF680" s="1850"/>
      <c r="AG680" s="1850"/>
      <c r="AH680" s="1850"/>
      <c r="AI680" s="1850"/>
      <c r="AJ680" s="1850"/>
      <c r="AK680" s="1850"/>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416</v>
      </c>
      <c r="G681" s="1697"/>
      <c r="H681" s="1697"/>
      <c r="I681" s="1697"/>
      <c r="J681" s="1697"/>
      <c r="K681" s="1697"/>
      <c r="L681" s="1697"/>
      <c r="M681" s="1697"/>
      <c r="N681" s="1697"/>
      <c r="O681" s="1697"/>
      <c r="P681" s="1697"/>
      <c r="Q681" s="1697"/>
      <c r="R681" s="1697"/>
      <c r="T681" s="46"/>
      <c r="U681" s="16" t="s">
        <v>416</v>
      </c>
      <c r="Z681" s="1697"/>
      <c r="AA681" s="1697"/>
      <c r="AB681" s="1697"/>
      <c r="AC681" s="1697"/>
      <c r="AD681" s="1697"/>
      <c r="AE681" s="1697"/>
      <c r="AF681" s="1697"/>
      <c r="AG681" s="1697"/>
      <c r="AH681" s="1697"/>
      <c r="AI681" s="1697"/>
      <c r="AJ681" s="1697"/>
      <c r="AK681" s="1697"/>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479</v>
      </c>
      <c r="G682" s="1697"/>
      <c r="H682" s="1697"/>
      <c r="I682" s="1697"/>
      <c r="J682" s="1697"/>
      <c r="K682" s="1697"/>
      <c r="L682" s="1697"/>
      <c r="M682" s="1697"/>
      <c r="N682" s="1697"/>
      <c r="O682" s="1697"/>
      <c r="P682" s="1697"/>
      <c r="Q682" s="1697"/>
      <c r="R682" s="1697"/>
      <c r="T682" s="46"/>
      <c r="U682" s="16" t="s">
        <v>479</v>
      </c>
      <c r="Z682" s="1696"/>
      <c r="AA682" s="1696"/>
      <c r="AB682" s="1696"/>
      <c r="AC682" s="1696"/>
      <c r="AD682" s="1696"/>
      <c r="AE682" s="1696"/>
      <c r="AF682" s="1696"/>
      <c r="AG682" s="1696"/>
      <c r="AH682" s="1696"/>
      <c r="AI682" s="1696"/>
      <c r="AJ682" s="1696"/>
      <c r="AK682" s="1696"/>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915</v>
      </c>
      <c r="G683" s="1697"/>
      <c r="H683" s="1697"/>
      <c r="I683" s="1697"/>
      <c r="J683" s="1697"/>
      <c r="K683" s="1697"/>
      <c r="L683" s="1697"/>
      <c r="M683" s="1697"/>
      <c r="N683" s="1697"/>
      <c r="O683" s="1697"/>
      <c r="P683" s="1697"/>
      <c r="Q683" s="1697"/>
      <c r="R683" s="1697"/>
      <c r="T683" s="46"/>
      <c r="U683" s="16" t="s">
        <v>915</v>
      </c>
      <c r="Z683" s="1696"/>
      <c r="AA683" s="1696"/>
      <c r="AB683" s="1696"/>
      <c r="AC683" s="1696"/>
      <c r="AD683" s="1696"/>
      <c r="AE683" s="1696"/>
      <c r="AF683" s="1696"/>
      <c r="AG683" s="1696"/>
      <c r="AH683" s="1696"/>
      <c r="AI683" s="1696"/>
      <c r="AJ683" s="1696"/>
      <c r="AK683" s="1696"/>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716</v>
      </c>
      <c r="G684" s="1689"/>
      <c r="H684" s="1689"/>
      <c r="I684" s="1689"/>
      <c r="J684" s="1689"/>
      <c r="K684" s="1689"/>
      <c r="L684" s="1689"/>
      <c r="O684" s="149" t="s">
        <v>900</v>
      </c>
      <c r="P684" s="1702"/>
      <c r="Q684" s="1702"/>
      <c r="R684" s="1702"/>
      <c r="T684" s="46"/>
      <c r="U684" s="16" t="s">
        <v>716</v>
      </c>
      <c r="Z684" s="1689"/>
      <c r="AA684" s="1689"/>
      <c r="AB684" s="1689"/>
      <c r="AC684" s="1689"/>
      <c r="AD684" s="1689"/>
      <c r="AE684" s="1689"/>
      <c r="AH684" s="149" t="s">
        <v>900</v>
      </c>
      <c r="AI684" s="1702"/>
      <c r="AJ684" s="1702"/>
      <c r="AK684" s="1702"/>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916</v>
      </c>
      <c r="H685" s="1697"/>
      <c r="I685" s="1697"/>
      <c r="J685" s="1697"/>
      <c r="K685" s="1697"/>
      <c r="L685" s="1697"/>
      <c r="M685" s="1697"/>
      <c r="N685" s="1697"/>
      <c r="O685" s="1697"/>
      <c r="P685" s="1697"/>
      <c r="Q685" s="1697"/>
      <c r="R685" s="1697"/>
      <c r="T685" s="46"/>
      <c r="U685" s="16" t="s">
        <v>916</v>
      </c>
      <c r="AA685" s="1697"/>
      <c r="AB685" s="1697"/>
      <c r="AC685" s="1697"/>
      <c r="AD685" s="1697"/>
      <c r="AE685" s="1697"/>
      <c r="AF685" s="1697"/>
      <c r="AG685" s="1697"/>
      <c r="AH685" s="1697"/>
      <c r="AI685" s="1697"/>
      <c r="AJ685" s="1697"/>
      <c r="AK685" s="1697"/>
      <c r="AM685" s="75"/>
      <c r="BA685" s="75"/>
      <c r="BB685" s="75"/>
      <c r="BC685" s="75"/>
      <c r="BD685" s="75"/>
      <c r="BE685" s="75"/>
      <c r="BF685" s="75"/>
      <c r="BG685" s="75"/>
      <c r="BH685" s="75"/>
      <c r="BI685" s="75"/>
      <c r="BJ685" s="75"/>
      <c r="BK685" s="75"/>
      <c r="BL685" s="75"/>
      <c r="BM685" s="72"/>
      <c r="BN685" s="72"/>
      <c r="BO685" s="72"/>
      <c r="BP685" s="723" t="s">
        <v>2321</v>
      </c>
      <c r="BQ685" s="503"/>
      <c r="BR685" s="503"/>
      <c r="BS685" s="503"/>
      <c r="BT685" s="503"/>
      <c r="BU685" s="503"/>
      <c r="BV685" s="503"/>
      <c r="BW685" s="503"/>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918</v>
      </c>
      <c r="N686" s="1694" t="s">
        <v>531</v>
      </c>
      <c r="O686" s="1694"/>
      <c r="T686" s="46"/>
      <c r="U686" s="16" t="s">
        <v>918</v>
      </c>
      <c r="AG686" s="1694" t="s">
        <v>531</v>
      </c>
      <c r="AH686" s="1694"/>
      <c r="AM686" s="75"/>
      <c r="BA686" s="75"/>
      <c r="BB686" s="75"/>
      <c r="BC686" s="75"/>
      <c r="BD686" s="75"/>
      <c r="BE686" s="75"/>
      <c r="BF686" s="75"/>
      <c r="BG686" s="75"/>
      <c r="BH686" s="75"/>
      <c r="BI686" s="75"/>
      <c r="BJ686" s="75"/>
      <c r="BK686" s="75"/>
      <c r="BL686" s="75"/>
      <c r="BM686" s="72"/>
      <c r="BN686" s="72"/>
      <c r="BO686" s="72"/>
      <c r="BP686" s="724" t="s">
        <v>333</v>
      </c>
      <c r="BQ686" s="503"/>
      <c r="BR686" s="503"/>
      <c r="BS686" s="503"/>
      <c r="BT686" s="503"/>
      <c r="BU686" s="503"/>
      <c r="BV686" s="503"/>
      <c r="BW686" s="503"/>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25"/>
      <c r="BQ687" s="500"/>
      <c r="BR687" s="726"/>
      <c r="BS687" s="726"/>
      <c r="BT687" s="726"/>
      <c r="BU687" s="726"/>
      <c r="BV687" s="726"/>
      <c r="BW687" s="726"/>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93</v>
      </c>
      <c r="G688" s="1850">
        <f>C642</f>
        <v>0</v>
      </c>
      <c r="H688" s="1850"/>
      <c r="I688" s="1850"/>
      <c r="J688" s="1850"/>
      <c r="K688" s="1850"/>
      <c r="L688" s="1850"/>
      <c r="M688" s="1850"/>
      <c r="N688" s="1850"/>
      <c r="O688" s="1850"/>
      <c r="P688" s="1850"/>
      <c r="Q688" s="1850"/>
      <c r="R688" s="1850"/>
      <c r="T688" s="101" t="s">
        <v>38</v>
      </c>
      <c r="U688" s="16" t="s">
        <v>93</v>
      </c>
      <c r="Z688" s="1850">
        <f>C643</f>
        <v>0</v>
      </c>
      <c r="AA688" s="1850"/>
      <c r="AB688" s="1850"/>
      <c r="AC688" s="1850"/>
      <c r="AD688" s="1850"/>
      <c r="AE688" s="1850"/>
      <c r="AF688" s="1850"/>
      <c r="AG688" s="1850"/>
      <c r="AH688" s="1850"/>
      <c r="AI688" s="1850"/>
      <c r="AJ688" s="1850"/>
      <c r="AK688" s="1850"/>
      <c r="AM688" s="75"/>
      <c r="BA688" s="502" t="s">
        <v>335</v>
      </c>
      <c r="BB688" s="75"/>
      <c r="BC688" s="75"/>
      <c r="BD688" s="75"/>
      <c r="BE688" s="75"/>
      <c r="BF688" s="75"/>
      <c r="BG688" s="63" t="s">
        <v>1258</v>
      </c>
      <c r="BH688" s="75"/>
      <c r="BI688" s="75"/>
      <c r="BJ688" s="75"/>
      <c r="BK688" s="75"/>
      <c r="BL688" s="75"/>
      <c r="BM688" s="72"/>
      <c r="BN688" s="72"/>
      <c r="BO688" s="72"/>
      <c r="BP688" s="902" t="s">
        <v>334</v>
      </c>
      <c r="BQ688" s="903" t="s">
        <v>490</v>
      </c>
      <c r="BR688" s="903" t="s">
        <v>491</v>
      </c>
      <c r="BS688" s="903" t="s">
        <v>853</v>
      </c>
      <c r="BT688" s="903" t="s">
        <v>854</v>
      </c>
      <c r="BU688" s="903" t="s">
        <v>855</v>
      </c>
      <c r="BV688" s="903" t="s">
        <v>383</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416</v>
      </c>
      <c r="G689" s="1697"/>
      <c r="H689" s="1697"/>
      <c r="I689" s="1697"/>
      <c r="J689" s="1697"/>
      <c r="K689" s="1697"/>
      <c r="L689" s="1697"/>
      <c r="M689" s="1697"/>
      <c r="N689" s="1697"/>
      <c r="O689" s="1697"/>
      <c r="P689" s="1697"/>
      <c r="Q689" s="1697"/>
      <c r="R689" s="1697"/>
      <c r="T689" s="46"/>
      <c r="U689" s="16" t="s">
        <v>416</v>
      </c>
      <c r="Z689" s="1697"/>
      <c r="AA689" s="1697"/>
      <c r="AB689" s="1697"/>
      <c r="AC689" s="1697"/>
      <c r="AD689" s="1697"/>
      <c r="AE689" s="1697"/>
      <c r="AF689" s="1697"/>
      <c r="AG689" s="1697"/>
      <c r="AH689" s="1697"/>
      <c r="AI689" s="1697"/>
      <c r="AJ689" s="1697"/>
      <c r="AK689" s="1697"/>
      <c r="AM689" s="75"/>
      <c r="BA689" s="75">
        <f>IF($G706=0,"N/A",VLOOKUP($T$189,TC_Rent,(MATCH($B706,bedrooms,FALSE))))</f>
        <v>1306</v>
      </c>
      <c r="BB689" s="75"/>
      <c r="BC689" s="75"/>
      <c r="BD689" s="75"/>
      <c r="BE689" s="75"/>
      <c r="BF689" s="75"/>
      <c r="BG689" s="712" t="s">
        <v>1259</v>
      </c>
      <c r="BH689" s="730" t="s">
        <v>1260</v>
      </c>
      <c r="BI689" s="729" t="s">
        <v>1261</v>
      </c>
      <c r="BJ689" s="714"/>
      <c r="BK689" s="75"/>
      <c r="BL689" s="75"/>
      <c r="BM689" s="72"/>
      <c r="BN689" s="72"/>
      <c r="BO689" s="72"/>
      <c r="BP689" s="904" t="s">
        <v>32</v>
      </c>
      <c r="BQ689" s="905">
        <v>2396</v>
      </c>
      <c r="BR689" s="905">
        <v>2568</v>
      </c>
      <c r="BS689" s="905">
        <v>3082</v>
      </c>
      <c r="BT689" s="905">
        <v>3562</v>
      </c>
      <c r="BU689" s="905">
        <v>3974</v>
      </c>
      <c r="BV689" s="905">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479</v>
      </c>
      <c r="G690" s="1697"/>
      <c r="H690" s="1697"/>
      <c r="I690" s="1697"/>
      <c r="J690" s="1697"/>
      <c r="K690" s="1697"/>
      <c r="L690" s="1697"/>
      <c r="M690" s="1697"/>
      <c r="N690" s="1697"/>
      <c r="O690" s="1697"/>
      <c r="P690" s="1697"/>
      <c r="Q690" s="1697"/>
      <c r="R690" s="1697"/>
      <c r="U690" s="16" t="s">
        <v>479</v>
      </c>
      <c r="Z690" s="1696"/>
      <c r="AA690" s="1696"/>
      <c r="AB690" s="1696"/>
      <c r="AC690" s="1696"/>
      <c r="AD690" s="1696"/>
      <c r="AE690" s="1696"/>
      <c r="AF690" s="1696"/>
      <c r="AG690" s="1696"/>
      <c r="AH690" s="1696"/>
      <c r="AI690" s="1696"/>
      <c r="AJ690" s="1696"/>
      <c r="AK690" s="1696"/>
      <c r="AM690" s="75"/>
      <c r="BA690" s="75" t="str">
        <f t="shared" ref="BA690:BA713" si="36">IF($G707=0,"N/A",VLOOKUP($T$189,TC_Rent,(MATCH($B707,bedrooms,FALSE))))</f>
        <v>N/A</v>
      </c>
      <c r="BB690" s="75"/>
      <c r="BC690" s="75"/>
      <c r="BD690" s="75"/>
      <c r="BE690" s="75"/>
      <c r="BF690" s="75"/>
      <c r="BG690" s="702">
        <f>G706</f>
        <v>7</v>
      </c>
      <c r="BH690" s="715">
        <f>BG690/$BG$715</f>
        <v>0.11864406779661017</v>
      </c>
      <c r="BI690" s="717">
        <f>IF(BH690=0," ",BH690*AH706)</f>
        <v>2.3728813559322035E-2</v>
      </c>
      <c r="BJ690" s="75"/>
      <c r="BK690" s="75"/>
      <c r="BL690" s="75"/>
      <c r="BM690" s="72"/>
      <c r="BN690" s="72"/>
      <c r="BO690" s="72"/>
      <c r="BP690" s="906" t="s">
        <v>33</v>
      </c>
      <c r="BQ690" s="905">
        <v>1422</v>
      </c>
      <c r="BR690" s="905">
        <v>1522</v>
      </c>
      <c r="BS690" s="905">
        <v>1826</v>
      </c>
      <c r="BT690" s="905">
        <v>2110</v>
      </c>
      <c r="BU690" s="905">
        <v>2354</v>
      </c>
      <c r="BV690" s="905">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915</v>
      </c>
      <c r="G691" s="1697"/>
      <c r="H691" s="1697"/>
      <c r="I691" s="1697"/>
      <c r="J691" s="1697"/>
      <c r="K691" s="1697"/>
      <c r="L691" s="1697"/>
      <c r="M691" s="1697"/>
      <c r="N691" s="1697"/>
      <c r="O691" s="1697"/>
      <c r="P691" s="1697"/>
      <c r="Q691" s="1697"/>
      <c r="R691" s="1697"/>
      <c r="U691" s="16" t="s">
        <v>915</v>
      </c>
      <c r="Z691" s="1696"/>
      <c r="AA691" s="1696"/>
      <c r="AB691" s="1696"/>
      <c r="AC691" s="1696"/>
      <c r="AD691" s="1696"/>
      <c r="AE691" s="1696"/>
      <c r="AF691" s="1696"/>
      <c r="AG691" s="1696"/>
      <c r="AH691" s="1696"/>
      <c r="AI691" s="1696"/>
      <c r="AJ691" s="1696"/>
      <c r="AK691" s="1696"/>
      <c r="AM691" s="75"/>
      <c r="BA691" s="75">
        <f t="shared" si="36"/>
        <v>1306</v>
      </c>
      <c r="BB691" s="75"/>
      <c r="BC691" s="75"/>
      <c r="BD691" s="75"/>
      <c r="BE691" s="75"/>
      <c r="BF691" s="75"/>
      <c r="BG691" s="703">
        <f t="shared" ref="BG691:BG714" si="37">G707</f>
        <v>0</v>
      </c>
      <c r="BH691" s="715">
        <f t="shared" ref="BH691:BH714" si="38">BG691/$BG$715</f>
        <v>0</v>
      </c>
      <c r="BI691" s="717" t="str">
        <f t="shared" ref="BI691:BI714" si="39">IF(BH691=0," ",BH691*AH707)</f>
        <v xml:space="preserve"> </v>
      </c>
      <c r="BJ691" s="75"/>
      <c r="BK691" s="75"/>
      <c r="BL691" s="75"/>
      <c r="BM691" s="72"/>
      <c r="BN691" s="72"/>
      <c r="BO691" s="72"/>
      <c r="BP691" s="906" t="s">
        <v>432</v>
      </c>
      <c r="BQ691" s="905">
        <v>1364</v>
      </c>
      <c r="BR691" s="905">
        <v>1462</v>
      </c>
      <c r="BS691" s="905">
        <v>1754</v>
      </c>
      <c r="BT691" s="905">
        <v>2026</v>
      </c>
      <c r="BU691" s="905">
        <v>2260</v>
      </c>
      <c r="BV691" s="905">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716</v>
      </c>
      <c r="G692" s="1689"/>
      <c r="H692" s="1689"/>
      <c r="I692" s="1689"/>
      <c r="J692" s="1689"/>
      <c r="K692" s="1689"/>
      <c r="L692" s="1689"/>
      <c r="O692" s="149" t="s">
        <v>900</v>
      </c>
      <c r="P692" s="1702"/>
      <c r="Q692" s="1702"/>
      <c r="R692" s="1702"/>
      <c r="U692" s="16" t="s">
        <v>716</v>
      </c>
      <c r="Z692" s="1689"/>
      <c r="AA692" s="1689"/>
      <c r="AB692" s="1689"/>
      <c r="AC692" s="1689"/>
      <c r="AD692" s="1689"/>
      <c r="AE692" s="1689"/>
      <c r="AH692" s="149" t="s">
        <v>900</v>
      </c>
      <c r="AI692" s="1702"/>
      <c r="AJ692" s="1702"/>
      <c r="AK692" s="1702"/>
      <c r="AM692" s="75"/>
      <c r="BA692" s="75">
        <f t="shared" si="36"/>
        <v>1570</v>
      </c>
      <c r="BB692" s="72"/>
      <c r="BC692" s="72"/>
      <c r="BD692" s="72"/>
      <c r="BE692" s="72"/>
      <c r="BF692" s="72"/>
      <c r="BG692" s="703">
        <f t="shared" si="37"/>
        <v>1</v>
      </c>
      <c r="BH692" s="715">
        <f t="shared" si="38"/>
        <v>1.6949152542372881E-2</v>
      </c>
      <c r="BI692" s="717">
        <f t="shared" si="39"/>
        <v>5.084745762711864E-3</v>
      </c>
      <c r="BJ692" s="72"/>
      <c r="BK692" s="72"/>
      <c r="BL692" s="72"/>
      <c r="BM692" s="72"/>
      <c r="BN692" s="72"/>
      <c r="BO692" s="72"/>
      <c r="BP692" s="906" t="s">
        <v>433</v>
      </c>
      <c r="BQ692" s="905">
        <v>1220</v>
      </c>
      <c r="BR692" s="905">
        <v>1306</v>
      </c>
      <c r="BS692" s="905">
        <v>1570</v>
      </c>
      <c r="BT692" s="905">
        <v>1812</v>
      </c>
      <c r="BU692" s="905">
        <v>2022</v>
      </c>
      <c r="BV692" s="905">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916</v>
      </c>
      <c r="H693" s="1697"/>
      <c r="I693" s="1697"/>
      <c r="J693" s="1697"/>
      <c r="K693" s="1697"/>
      <c r="L693" s="1697"/>
      <c r="M693" s="1697"/>
      <c r="N693" s="1697"/>
      <c r="O693" s="1697"/>
      <c r="P693" s="1697"/>
      <c r="Q693" s="1697"/>
      <c r="R693" s="1697"/>
      <c r="U693" s="16" t="s">
        <v>916</v>
      </c>
      <c r="AA693" s="1697"/>
      <c r="AB693" s="1697"/>
      <c r="AC693" s="1697"/>
      <c r="AD693" s="1697"/>
      <c r="AE693" s="1697"/>
      <c r="AF693" s="1697"/>
      <c r="AG693" s="1697"/>
      <c r="AH693" s="1697"/>
      <c r="AI693" s="1697"/>
      <c r="AJ693" s="1697"/>
      <c r="AK693" s="1697"/>
      <c r="AM693" s="72"/>
      <c r="BA693" s="75">
        <f t="shared" si="36"/>
        <v>1812</v>
      </c>
      <c r="BB693" s="72"/>
      <c r="BC693" s="72"/>
      <c r="BD693" s="72"/>
      <c r="BE693" s="72"/>
      <c r="BF693" s="72"/>
      <c r="BG693" s="703">
        <f t="shared" si="37"/>
        <v>7</v>
      </c>
      <c r="BH693" s="715">
        <f t="shared" si="38"/>
        <v>0.11864406779661017</v>
      </c>
      <c r="BI693" s="717">
        <f t="shared" si="39"/>
        <v>3.5593220338983052E-2</v>
      </c>
      <c r="BJ693" s="72"/>
      <c r="BK693" s="72"/>
      <c r="BL693" s="72"/>
      <c r="BM693" s="72"/>
      <c r="BN693" s="72"/>
      <c r="BO693" s="72"/>
      <c r="BP693" s="906" t="s">
        <v>434</v>
      </c>
      <c r="BQ693" s="905">
        <v>1430</v>
      </c>
      <c r="BR693" s="905">
        <v>1532</v>
      </c>
      <c r="BS693" s="905">
        <v>1840</v>
      </c>
      <c r="BT693" s="905">
        <v>2124</v>
      </c>
      <c r="BU693" s="905">
        <v>2370</v>
      </c>
      <c r="BV693" s="905">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918</v>
      </c>
      <c r="N694" s="1694" t="s">
        <v>531</v>
      </c>
      <c r="O694" s="1694"/>
      <c r="U694" s="16" t="s">
        <v>918</v>
      </c>
      <c r="AG694" s="1694" t="s">
        <v>531</v>
      </c>
      <c r="AH694" s="1694"/>
      <c r="AM694" s="72"/>
      <c r="BA694" s="75" t="str">
        <f t="shared" si="36"/>
        <v>N/A</v>
      </c>
      <c r="BB694" s="72"/>
      <c r="BC694" s="72"/>
      <c r="BD694" s="72"/>
      <c r="BE694" s="72"/>
      <c r="BF694" s="72"/>
      <c r="BG694" s="703">
        <f t="shared" si="37"/>
        <v>2</v>
      </c>
      <c r="BH694" s="715">
        <f t="shared" si="38"/>
        <v>3.3898305084745763E-2</v>
      </c>
      <c r="BI694" s="717">
        <f t="shared" si="39"/>
        <v>1.0169491525423728E-2</v>
      </c>
      <c r="BJ694" s="72"/>
      <c r="BK694" s="72"/>
      <c r="BL694" s="72"/>
      <c r="BM694" s="72"/>
      <c r="BN694" s="72"/>
      <c r="BO694" s="72"/>
      <c r="BP694" s="906" t="s">
        <v>435</v>
      </c>
      <c r="BQ694" s="905">
        <v>1220</v>
      </c>
      <c r="BR694" s="905">
        <v>1306</v>
      </c>
      <c r="BS694" s="905">
        <v>1570</v>
      </c>
      <c r="BT694" s="905">
        <v>1812</v>
      </c>
      <c r="BU694" s="905">
        <v>2022</v>
      </c>
      <c r="BV694" s="905">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f t="shared" si="36"/>
        <v>1570</v>
      </c>
      <c r="BB695" s="72"/>
      <c r="BC695" s="72"/>
      <c r="BD695" s="72"/>
      <c r="BE695" s="72"/>
      <c r="BF695" s="72"/>
      <c r="BG695" s="703">
        <f t="shared" si="37"/>
        <v>0</v>
      </c>
      <c r="BH695" s="715">
        <f t="shared" si="38"/>
        <v>0</v>
      </c>
      <c r="BI695" s="717" t="str">
        <f t="shared" si="39"/>
        <v xml:space="preserve"> </v>
      </c>
      <c r="BJ695" s="72"/>
      <c r="BK695" s="72"/>
      <c r="BL695" s="72"/>
      <c r="BM695" s="72"/>
      <c r="BN695" s="72"/>
      <c r="BO695" s="72"/>
      <c r="BP695" s="906" t="s">
        <v>436</v>
      </c>
      <c r="BQ695" s="905">
        <v>2396</v>
      </c>
      <c r="BR695" s="905">
        <v>2568</v>
      </c>
      <c r="BS695" s="905">
        <v>3082</v>
      </c>
      <c r="BT695" s="905">
        <v>3562</v>
      </c>
      <c r="BU695" s="905">
        <v>3974</v>
      </c>
      <c r="BV695" s="905">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f t="shared" si="36"/>
        <v>1812</v>
      </c>
      <c r="BB696" s="72"/>
      <c r="BC696" s="72"/>
      <c r="BD696" s="72"/>
      <c r="BE696" s="72"/>
      <c r="BF696" s="72"/>
      <c r="BG696" s="703">
        <f t="shared" si="37"/>
        <v>6</v>
      </c>
      <c r="BH696" s="715">
        <f t="shared" si="38"/>
        <v>0.10169491525423729</v>
      </c>
      <c r="BI696" s="717">
        <f t="shared" si="39"/>
        <v>4.0677966101694919E-2</v>
      </c>
      <c r="BJ696" s="72"/>
      <c r="BK696" s="72"/>
      <c r="BL696" s="72"/>
      <c r="BM696" s="72"/>
      <c r="BN696" s="72"/>
      <c r="BO696" s="72"/>
      <c r="BP696" s="906" t="s">
        <v>437</v>
      </c>
      <c r="BQ696" s="905">
        <v>1220</v>
      </c>
      <c r="BR696" s="905">
        <v>1306</v>
      </c>
      <c r="BS696" s="905">
        <v>1570</v>
      </c>
      <c r="BT696" s="905">
        <v>1812</v>
      </c>
      <c r="BU696" s="905">
        <v>2022</v>
      </c>
      <c r="BV696" s="905">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712" t="s">
        <v>139</v>
      </c>
      <c r="B697" s="1712"/>
      <c r="C697" s="1712"/>
      <c r="D697" s="1712"/>
      <c r="E697" s="1712"/>
      <c r="F697" s="1712"/>
      <c r="G697" s="1712"/>
      <c r="H697" s="1712"/>
      <c r="I697" s="1712"/>
      <c r="J697" s="1712"/>
      <c r="K697" s="1712"/>
      <c r="L697" s="1712"/>
      <c r="M697" s="1712"/>
      <c r="N697" s="1712"/>
      <c r="O697" s="1712"/>
      <c r="P697" s="1712"/>
      <c r="Q697" s="1712"/>
      <c r="R697" s="1712"/>
      <c r="S697" s="1712"/>
      <c r="T697" s="1712"/>
      <c r="U697" s="1712"/>
      <c r="V697" s="1712"/>
      <c r="W697" s="1712"/>
      <c r="X697" s="1712"/>
      <c r="Y697" s="1712"/>
      <c r="Z697" s="1712"/>
      <c r="AA697" s="1712"/>
      <c r="AB697" s="1712"/>
      <c r="AC697" s="1712"/>
      <c r="AD697" s="1712"/>
      <c r="AE697" s="1712"/>
      <c r="AF697" s="1712"/>
      <c r="AG697" s="1712"/>
      <c r="AH697" s="1712"/>
      <c r="AI697" s="1712"/>
      <c r="AJ697" s="1712"/>
      <c r="AK697" s="1712"/>
      <c r="AL697" s="1712"/>
      <c r="AM697" s="1712"/>
      <c r="AN697" s="1712"/>
      <c r="AO697" s="1712"/>
      <c r="BA697" s="75" t="str">
        <f t="shared" si="36"/>
        <v>N/A</v>
      </c>
      <c r="BB697" s="72"/>
      <c r="BC697" s="72"/>
      <c r="BD697" s="72"/>
      <c r="BE697" s="72"/>
      <c r="BF697" s="72"/>
      <c r="BG697" s="703">
        <f t="shared" si="37"/>
        <v>3</v>
      </c>
      <c r="BH697" s="715">
        <f t="shared" si="38"/>
        <v>5.0847457627118647E-2</v>
      </c>
      <c r="BI697" s="717">
        <f t="shared" si="39"/>
        <v>2.033898305084746E-2</v>
      </c>
      <c r="BJ697" s="72"/>
      <c r="BK697" s="72"/>
      <c r="BL697" s="72"/>
      <c r="BM697" s="72"/>
      <c r="BN697" s="72"/>
      <c r="BO697" s="72"/>
      <c r="BP697" s="906" t="s">
        <v>438</v>
      </c>
      <c r="BQ697" s="905">
        <v>1586</v>
      </c>
      <c r="BR697" s="905">
        <v>1700</v>
      </c>
      <c r="BS697" s="905">
        <v>2040</v>
      </c>
      <c r="BT697" s="905">
        <v>2356</v>
      </c>
      <c r="BU697" s="905">
        <v>2626</v>
      </c>
      <c r="BV697" s="905">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712"/>
      <c r="B698" s="1712"/>
      <c r="C698" s="1712"/>
      <c r="D698" s="1712"/>
      <c r="E698" s="1712"/>
      <c r="F698" s="1712"/>
      <c r="G698" s="1712"/>
      <c r="H698" s="1712"/>
      <c r="I698" s="1712"/>
      <c r="J698" s="1712"/>
      <c r="K698" s="1712"/>
      <c r="L698" s="1712"/>
      <c r="M698" s="1712"/>
      <c r="N698" s="1712"/>
      <c r="O698" s="1712"/>
      <c r="P698" s="1712"/>
      <c r="Q698" s="1712"/>
      <c r="R698" s="1712"/>
      <c r="S698" s="1712"/>
      <c r="T698" s="1712"/>
      <c r="U698" s="1712"/>
      <c r="V698" s="1712"/>
      <c r="W698" s="1712"/>
      <c r="X698" s="1712"/>
      <c r="Y698" s="1712"/>
      <c r="Z698" s="1712"/>
      <c r="AA698" s="1712"/>
      <c r="AB698" s="1712"/>
      <c r="AC698" s="1712"/>
      <c r="AD698" s="1712"/>
      <c r="AE698" s="1712"/>
      <c r="AF698" s="1712"/>
      <c r="AG698" s="1712"/>
      <c r="AH698" s="1712"/>
      <c r="AI698" s="1712"/>
      <c r="AJ698" s="1712"/>
      <c r="AK698" s="1712"/>
      <c r="AL698" s="1712"/>
      <c r="AM698" s="1712"/>
      <c r="AN698" s="1712"/>
      <c r="AO698" s="1712"/>
      <c r="BA698" s="75">
        <f t="shared" ref="BA698:BA703" si="40">IF($G715=0,"N/A",VLOOKUP($T$189,TC_Rent,(MATCH($B715,bedrooms,FALSE))))</f>
        <v>1570</v>
      </c>
      <c r="BE698" s="72"/>
      <c r="BF698" s="72"/>
      <c r="BG698" s="703">
        <f t="shared" si="37"/>
        <v>0</v>
      </c>
      <c r="BH698" s="715">
        <f t="shared" si="38"/>
        <v>0</v>
      </c>
      <c r="BI698" s="717" t="str">
        <f t="shared" si="39"/>
        <v xml:space="preserve"> </v>
      </c>
      <c r="BJ698" s="72"/>
      <c r="BK698" s="72"/>
      <c r="BL698" s="72"/>
      <c r="BM698" s="72"/>
      <c r="BN698" s="72"/>
      <c r="BO698" s="72"/>
      <c r="BP698" s="906" t="s">
        <v>439</v>
      </c>
      <c r="BQ698" s="905">
        <v>1220</v>
      </c>
      <c r="BR698" s="905">
        <v>1306</v>
      </c>
      <c r="BS698" s="905">
        <v>1570</v>
      </c>
      <c r="BT698" s="905">
        <v>1812</v>
      </c>
      <c r="BU698" s="905">
        <v>2022</v>
      </c>
      <c r="BV698" s="905">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712"/>
      <c r="B699" s="1712"/>
      <c r="C699" s="1712"/>
      <c r="D699" s="1712"/>
      <c r="E699" s="1712"/>
      <c r="F699" s="1712"/>
      <c r="G699" s="1712"/>
      <c r="H699" s="1712"/>
      <c r="I699" s="1712"/>
      <c r="J699" s="1712"/>
      <c r="K699" s="1712"/>
      <c r="L699" s="1712"/>
      <c r="M699" s="1712"/>
      <c r="N699" s="1712"/>
      <c r="O699" s="1712"/>
      <c r="P699" s="1712"/>
      <c r="Q699" s="1712"/>
      <c r="R699" s="1712"/>
      <c r="S699" s="1712"/>
      <c r="T699" s="1712"/>
      <c r="U699" s="1712"/>
      <c r="V699" s="1712"/>
      <c r="W699" s="1712"/>
      <c r="X699" s="1712"/>
      <c r="Y699" s="1712"/>
      <c r="Z699" s="1712"/>
      <c r="AA699" s="1712"/>
      <c r="AB699" s="1712"/>
      <c r="AC699" s="1712"/>
      <c r="AD699" s="1712"/>
      <c r="AE699" s="1712"/>
      <c r="AF699" s="1712"/>
      <c r="AG699" s="1712"/>
      <c r="AH699" s="1712"/>
      <c r="AI699" s="1712"/>
      <c r="AJ699" s="1712"/>
      <c r="AK699" s="1712"/>
      <c r="AL699" s="1712"/>
      <c r="AM699" s="1712"/>
      <c r="AN699" s="1712"/>
      <c r="AO699" s="1712"/>
      <c r="BA699" s="75">
        <f t="shared" si="40"/>
        <v>1812</v>
      </c>
      <c r="BE699" s="72"/>
      <c r="BF699" s="72"/>
      <c r="BG699" s="703">
        <f t="shared" ref="BG699:BG704" si="41">G715</f>
        <v>6</v>
      </c>
      <c r="BH699" s="715">
        <f t="shared" si="38"/>
        <v>0.10169491525423729</v>
      </c>
      <c r="BI699" s="717">
        <f t="shared" si="39"/>
        <v>5.0847457627118647E-2</v>
      </c>
      <c r="BJ699" s="72"/>
      <c r="BK699" s="72"/>
      <c r="BL699" s="72"/>
      <c r="BM699" s="72"/>
      <c r="BN699" s="72"/>
      <c r="BO699" s="72"/>
      <c r="BP699" s="906" t="s">
        <v>440</v>
      </c>
      <c r="BQ699" s="905">
        <v>1220</v>
      </c>
      <c r="BR699" s="905">
        <v>1306</v>
      </c>
      <c r="BS699" s="905">
        <v>1570</v>
      </c>
      <c r="BT699" s="905">
        <v>1812</v>
      </c>
      <c r="BU699" s="905">
        <v>2022</v>
      </c>
      <c r="BV699" s="905">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719</v>
      </c>
      <c r="B700" s="116"/>
      <c r="C700" s="116" t="s">
        <v>917</v>
      </c>
      <c r="D700" s="1392"/>
      <c r="E700" s="1392"/>
      <c r="F700" s="1392"/>
      <c r="G700" s="1392"/>
      <c r="H700" s="1392"/>
      <c r="I700" s="1392"/>
      <c r="J700" s="1392"/>
      <c r="K700" s="1392"/>
      <c r="L700" s="1392"/>
      <c r="M700" s="1392"/>
      <c r="N700" s="1392"/>
      <c r="O700" s="1392"/>
      <c r="P700" s="1392"/>
      <c r="Q700" s="1392"/>
      <c r="R700" s="1392"/>
      <c r="S700" s="1392"/>
      <c r="T700" s="1392"/>
      <c r="U700" s="1392"/>
      <c r="V700" s="1392"/>
      <c r="W700" s="1392"/>
      <c r="X700" s="1392"/>
      <c r="Y700" s="1392"/>
      <c r="Z700" s="1392"/>
      <c r="AA700" s="1392"/>
      <c r="AB700" s="1392"/>
      <c r="AC700" s="1392"/>
      <c r="AD700" s="1392"/>
      <c r="AE700" s="1392"/>
      <c r="AF700" s="1392"/>
      <c r="AG700" s="1392"/>
      <c r="AH700" s="1392"/>
      <c r="AI700" s="1392"/>
      <c r="AJ700" s="1392"/>
      <c r="AK700" s="1392"/>
      <c r="AL700" s="1392"/>
      <c r="AM700" s="395"/>
      <c r="AN700" s="395"/>
      <c r="AO700" s="395"/>
      <c r="BA700" s="75" t="str">
        <f t="shared" si="40"/>
        <v>N/A</v>
      </c>
      <c r="BE700" s="72"/>
      <c r="BF700" s="72"/>
      <c r="BG700" s="703">
        <f t="shared" si="41"/>
        <v>2</v>
      </c>
      <c r="BH700" s="715">
        <f t="shared" si="38"/>
        <v>3.3898305084745763E-2</v>
      </c>
      <c r="BI700" s="717">
        <f t="shared" si="39"/>
        <v>1.6949152542372881E-2</v>
      </c>
      <c r="BJ700" s="72"/>
      <c r="BK700" s="72"/>
      <c r="BL700" s="72"/>
      <c r="BM700" s="72"/>
      <c r="BN700" s="72"/>
      <c r="BO700" s="72"/>
      <c r="BP700" s="906" t="s">
        <v>441</v>
      </c>
      <c r="BQ700" s="905">
        <v>1220</v>
      </c>
      <c r="BR700" s="905">
        <v>1306</v>
      </c>
      <c r="BS700" s="905">
        <v>1570</v>
      </c>
      <c r="BT700" s="905">
        <v>1812</v>
      </c>
      <c r="BU700" s="905">
        <v>2022</v>
      </c>
      <c r="BV700" s="905">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448"/>
      <c r="C701" s="116"/>
      <c r="D701" s="1392"/>
      <c r="E701" s="1392"/>
      <c r="F701" s="1392"/>
      <c r="G701" s="1392"/>
      <c r="H701" s="1392"/>
      <c r="I701" s="1392"/>
      <c r="J701" s="1392"/>
      <c r="K701" s="1392"/>
      <c r="L701" s="1392"/>
      <c r="M701" s="1392"/>
      <c r="N701" s="1392"/>
      <c r="O701" s="1392"/>
      <c r="P701" s="1392"/>
      <c r="Q701" s="1392"/>
      <c r="R701" s="1392"/>
      <c r="S701" s="1392"/>
      <c r="T701" s="1392"/>
      <c r="U701" s="1392"/>
      <c r="V701" s="1392"/>
      <c r="W701" s="1392"/>
      <c r="X701" s="1392"/>
      <c r="Y701" s="1392"/>
      <c r="Z701" s="1392"/>
      <c r="AA701" s="1392"/>
      <c r="AB701" s="1392"/>
      <c r="AC701" s="1392"/>
      <c r="AD701" s="1392"/>
      <c r="AE701" s="1392"/>
      <c r="AF701" s="1392"/>
      <c r="AG701" s="1392"/>
      <c r="AH701" s="1392"/>
      <c r="AI701" s="1392"/>
      <c r="AJ701" s="1392"/>
      <c r="AK701" s="1392"/>
      <c r="AL701" s="1392"/>
      <c r="AM701" s="395"/>
      <c r="AN701" s="395"/>
      <c r="AO701" s="395"/>
      <c r="BA701" s="75">
        <f t="shared" si="40"/>
        <v>1570</v>
      </c>
      <c r="BE701" s="72"/>
      <c r="BF701" s="72"/>
      <c r="BG701" s="703">
        <f t="shared" si="41"/>
        <v>0</v>
      </c>
      <c r="BH701" s="715">
        <f t="shared" si="38"/>
        <v>0</v>
      </c>
      <c r="BI701" s="717" t="str">
        <f t="shared" si="39"/>
        <v xml:space="preserve"> </v>
      </c>
      <c r="BJ701" s="72"/>
      <c r="BK701" s="72"/>
      <c r="BL701" s="72"/>
      <c r="BM701" s="72"/>
      <c r="BN701" s="72"/>
      <c r="BO701" s="72"/>
      <c r="BP701" s="906" t="s">
        <v>442</v>
      </c>
      <c r="BQ701" s="905">
        <v>1220</v>
      </c>
      <c r="BR701" s="905">
        <v>1306</v>
      </c>
      <c r="BS701" s="905">
        <v>1570</v>
      </c>
      <c r="BT701" s="905">
        <v>1812</v>
      </c>
      <c r="BU701" s="905">
        <v>2022</v>
      </c>
      <c r="BV701" s="905">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92"/>
      <c r="B702" s="1800" t="s">
        <v>59</v>
      </c>
      <c r="C702" s="1801"/>
      <c r="D702" s="1801"/>
      <c r="E702" s="1801"/>
      <c r="F702" s="1802"/>
      <c r="G702" s="1800" t="s">
        <v>284</v>
      </c>
      <c r="H702" s="1801"/>
      <c r="I702" s="1801"/>
      <c r="J702" s="1802"/>
      <c r="K702" s="1963" t="s">
        <v>2289</v>
      </c>
      <c r="L702" s="1964"/>
      <c r="M702" s="1964"/>
      <c r="N702" s="1965"/>
      <c r="O702" s="1800" t="s">
        <v>655</v>
      </c>
      <c r="P702" s="1801"/>
      <c r="Q702" s="1801"/>
      <c r="R702" s="1801"/>
      <c r="S702" s="1802"/>
      <c r="T702" s="1800" t="s">
        <v>285</v>
      </c>
      <c r="U702" s="1801"/>
      <c r="V702" s="1801"/>
      <c r="W702" s="1801"/>
      <c r="X702" s="1802"/>
      <c r="Y702" s="1800" t="s">
        <v>286</v>
      </c>
      <c r="Z702" s="1801"/>
      <c r="AA702" s="1801"/>
      <c r="AB702" s="1802"/>
      <c r="AC702" s="1800" t="s">
        <v>287</v>
      </c>
      <c r="AD702" s="1801"/>
      <c r="AE702" s="1801"/>
      <c r="AF702" s="1801"/>
      <c r="AG702" s="1802"/>
      <c r="AH702" s="1800" t="s">
        <v>2290</v>
      </c>
      <c r="AI702" s="1801"/>
      <c r="AJ702" s="1801"/>
      <c r="AK702" s="1801"/>
      <c r="AL702" s="1802"/>
      <c r="AM702" s="1800" t="s">
        <v>2291</v>
      </c>
      <c r="AN702" s="1801"/>
      <c r="AO702" s="1802"/>
      <c r="BA702" s="75">
        <f t="shared" si="40"/>
        <v>1812</v>
      </c>
      <c r="BB702" s="72"/>
      <c r="BC702" s="72"/>
      <c r="BD702" s="72"/>
      <c r="BE702" s="72"/>
      <c r="BF702" s="72"/>
      <c r="BG702" s="703">
        <f t="shared" si="41"/>
        <v>4</v>
      </c>
      <c r="BH702" s="715">
        <f t="shared" si="38"/>
        <v>6.7796610169491525E-2</v>
      </c>
      <c r="BI702" s="717">
        <f t="shared" si="39"/>
        <v>4.0677966101694912E-2</v>
      </c>
      <c r="BJ702" s="72"/>
      <c r="BK702" s="72"/>
      <c r="BL702" s="72"/>
      <c r="BM702" s="72"/>
      <c r="BN702" s="72"/>
      <c r="BO702" s="72"/>
      <c r="BP702" s="906" t="s">
        <v>443</v>
      </c>
      <c r="BQ702" s="905">
        <v>1296</v>
      </c>
      <c r="BR702" s="905">
        <v>1390</v>
      </c>
      <c r="BS702" s="905">
        <v>1666</v>
      </c>
      <c r="BT702" s="905">
        <v>1926</v>
      </c>
      <c r="BU702" s="905">
        <v>2150</v>
      </c>
      <c r="BV702" s="905">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92"/>
      <c r="B703" s="1803"/>
      <c r="C703" s="1804"/>
      <c r="D703" s="1804"/>
      <c r="E703" s="1804"/>
      <c r="F703" s="1805"/>
      <c r="G703" s="1803"/>
      <c r="H703" s="1804"/>
      <c r="I703" s="1804"/>
      <c r="J703" s="1805"/>
      <c r="K703" s="1966"/>
      <c r="L703" s="1967"/>
      <c r="M703" s="1967"/>
      <c r="N703" s="1968"/>
      <c r="O703" s="1803"/>
      <c r="P703" s="1804"/>
      <c r="Q703" s="1804"/>
      <c r="R703" s="1804"/>
      <c r="S703" s="1805"/>
      <c r="T703" s="1803"/>
      <c r="U703" s="1804"/>
      <c r="V703" s="1804"/>
      <c r="W703" s="1804"/>
      <c r="X703" s="1805"/>
      <c r="Y703" s="1803"/>
      <c r="Z703" s="1804"/>
      <c r="AA703" s="1804"/>
      <c r="AB703" s="1805"/>
      <c r="AC703" s="1803"/>
      <c r="AD703" s="1804"/>
      <c r="AE703" s="1804"/>
      <c r="AF703" s="1804"/>
      <c r="AG703" s="1805"/>
      <c r="AH703" s="1803"/>
      <c r="AI703" s="1804"/>
      <c r="AJ703" s="1804"/>
      <c r="AK703" s="1804"/>
      <c r="AL703" s="1805"/>
      <c r="AM703" s="1803"/>
      <c r="AN703" s="1804"/>
      <c r="AO703" s="1805"/>
      <c r="BA703" s="75" t="str">
        <f t="shared" si="40"/>
        <v>N/A</v>
      </c>
      <c r="BB703" s="72"/>
      <c r="BC703" s="72"/>
      <c r="BD703" s="72"/>
      <c r="BE703" s="72"/>
      <c r="BF703" s="72"/>
      <c r="BG703" s="703">
        <f t="shared" si="41"/>
        <v>4</v>
      </c>
      <c r="BH703" s="715">
        <f t="shared" si="38"/>
        <v>6.7796610169491525E-2</v>
      </c>
      <c r="BI703" s="717">
        <f t="shared" si="39"/>
        <v>4.0677966101694912E-2</v>
      </c>
      <c r="BJ703" s="72"/>
      <c r="BK703" s="72"/>
      <c r="BL703" s="72"/>
      <c r="BM703" s="72"/>
      <c r="BN703" s="72"/>
      <c r="BO703" s="72"/>
      <c r="BP703" s="906" t="s">
        <v>444</v>
      </c>
      <c r="BQ703" s="905">
        <v>1220</v>
      </c>
      <c r="BR703" s="905">
        <v>1306</v>
      </c>
      <c r="BS703" s="905">
        <v>1570</v>
      </c>
      <c r="BT703" s="905">
        <v>1812</v>
      </c>
      <c r="BU703" s="905">
        <v>2022</v>
      </c>
      <c r="BV703" s="905">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803"/>
      <c r="C704" s="1804"/>
      <c r="D704" s="1804"/>
      <c r="E704" s="1804"/>
      <c r="F704" s="1805"/>
      <c r="G704" s="1803"/>
      <c r="H704" s="1804"/>
      <c r="I704" s="1804"/>
      <c r="J704" s="1805"/>
      <c r="K704" s="1966"/>
      <c r="L704" s="1967"/>
      <c r="M704" s="1967"/>
      <c r="N704" s="1968"/>
      <c r="O704" s="1803"/>
      <c r="P704" s="1804"/>
      <c r="Q704" s="1804"/>
      <c r="R704" s="1804"/>
      <c r="S704" s="1805"/>
      <c r="T704" s="1803"/>
      <c r="U704" s="1804"/>
      <c r="V704" s="1804"/>
      <c r="W704" s="1804"/>
      <c r="X704" s="1805"/>
      <c r="Y704" s="1803"/>
      <c r="Z704" s="1804"/>
      <c r="AA704" s="1804"/>
      <c r="AB704" s="1805"/>
      <c r="AC704" s="1803"/>
      <c r="AD704" s="1804"/>
      <c r="AE704" s="1804"/>
      <c r="AF704" s="1804"/>
      <c r="AG704" s="1805"/>
      <c r="AH704" s="1803"/>
      <c r="AI704" s="1804"/>
      <c r="AJ704" s="1804"/>
      <c r="AK704" s="1804"/>
      <c r="AL704" s="1805"/>
      <c r="AM704" s="1803"/>
      <c r="AN704" s="1804"/>
      <c r="AO704" s="1805"/>
      <c r="BA704" s="75">
        <f t="shared" si="36"/>
        <v>1570</v>
      </c>
      <c r="BB704" s="72"/>
      <c r="BC704" s="72"/>
      <c r="BD704" s="72"/>
      <c r="BE704" s="72"/>
      <c r="BF704" s="72"/>
      <c r="BG704" s="703">
        <f t="shared" si="41"/>
        <v>0</v>
      </c>
      <c r="BH704" s="715">
        <f t="shared" si="38"/>
        <v>0</v>
      </c>
      <c r="BI704" s="717" t="str">
        <f t="shared" si="39"/>
        <v xml:space="preserve"> </v>
      </c>
      <c r="BJ704" s="72"/>
      <c r="BK704" s="72"/>
      <c r="BL704" s="72"/>
      <c r="BM704" s="72"/>
      <c r="BN704" s="72"/>
      <c r="BO704" s="72"/>
      <c r="BP704" s="906" t="s">
        <v>445</v>
      </c>
      <c r="BQ704" s="905">
        <v>1220</v>
      </c>
      <c r="BR704" s="905">
        <v>1306</v>
      </c>
      <c r="BS704" s="905">
        <v>1570</v>
      </c>
      <c r="BT704" s="905">
        <v>1812</v>
      </c>
      <c r="BU704" s="905">
        <v>2022</v>
      </c>
      <c r="BV704" s="905">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806"/>
      <c r="C705" s="1807"/>
      <c r="D705" s="1807"/>
      <c r="E705" s="1807"/>
      <c r="F705" s="1808"/>
      <c r="G705" s="1806"/>
      <c r="H705" s="1807"/>
      <c r="I705" s="1807"/>
      <c r="J705" s="1808"/>
      <c r="K705" s="1966"/>
      <c r="L705" s="1967"/>
      <c r="M705" s="1967"/>
      <c r="N705" s="1968"/>
      <c r="O705" s="1806"/>
      <c r="P705" s="1807"/>
      <c r="Q705" s="1807"/>
      <c r="R705" s="1807"/>
      <c r="S705" s="1808"/>
      <c r="T705" s="1806"/>
      <c r="U705" s="1807"/>
      <c r="V705" s="1807"/>
      <c r="W705" s="1807"/>
      <c r="X705" s="1808"/>
      <c r="Y705" s="1806"/>
      <c r="Z705" s="1807"/>
      <c r="AA705" s="1807"/>
      <c r="AB705" s="1808"/>
      <c r="AC705" s="1806"/>
      <c r="AD705" s="1807"/>
      <c r="AE705" s="1807"/>
      <c r="AF705" s="1807"/>
      <c r="AG705" s="1808"/>
      <c r="AH705" s="1806"/>
      <c r="AI705" s="1807"/>
      <c r="AJ705" s="1807"/>
      <c r="AK705" s="1807"/>
      <c r="AL705" s="1808"/>
      <c r="AM705" s="1806"/>
      <c r="AN705" s="1807"/>
      <c r="AO705" s="1808"/>
      <c r="BA705" s="75">
        <f t="shared" si="36"/>
        <v>1812</v>
      </c>
      <c r="BB705" s="72"/>
      <c r="BC705" s="72"/>
      <c r="BD705" s="72"/>
      <c r="BE705" s="72"/>
      <c r="BF705" s="72"/>
      <c r="BG705" s="703">
        <f t="shared" si="37"/>
        <v>5</v>
      </c>
      <c r="BH705" s="715">
        <f t="shared" si="38"/>
        <v>8.4745762711864403E-2</v>
      </c>
      <c r="BI705" s="717">
        <f t="shared" si="39"/>
        <v>5.9322033898305079E-2</v>
      </c>
      <c r="BJ705" s="72"/>
      <c r="BK705" s="72"/>
      <c r="BL705" s="72"/>
      <c r="BM705" s="72"/>
      <c r="BN705" s="72"/>
      <c r="BO705" s="72"/>
      <c r="BP705" s="906" t="s">
        <v>446</v>
      </c>
      <c r="BQ705" s="905">
        <v>1220</v>
      </c>
      <c r="BR705" s="905">
        <v>1306</v>
      </c>
      <c r="BS705" s="905">
        <v>1570</v>
      </c>
      <c r="BT705" s="905">
        <v>1812</v>
      </c>
      <c r="BU705" s="905">
        <v>2022</v>
      </c>
      <c r="BV705" s="905">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777" t="s">
        <v>491</v>
      </c>
      <c r="C706" s="1778"/>
      <c r="D706" s="1778"/>
      <c r="E706" s="1778"/>
      <c r="F706" s="1779"/>
      <c r="G706" s="1774">
        <v>7</v>
      </c>
      <c r="H706" s="1775"/>
      <c r="I706" s="1775"/>
      <c r="J706" s="1776"/>
      <c r="K706" s="1785">
        <v>720</v>
      </c>
      <c r="L706" s="1786"/>
      <c r="M706" s="1786"/>
      <c r="N706" s="1787"/>
      <c r="O706" s="1788">
        <v>261</v>
      </c>
      <c r="P706" s="1789"/>
      <c r="Q706" s="1789"/>
      <c r="R706" s="1789"/>
      <c r="S706" s="1790"/>
      <c r="T706" s="1791">
        <f t="shared" ref="T706:T730" si="42">G706*O706</f>
        <v>1827</v>
      </c>
      <c r="U706" s="1792"/>
      <c r="V706" s="1792"/>
      <c r="W706" s="1792"/>
      <c r="X706" s="1793"/>
      <c r="Y706" s="1788">
        <v>0</v>
      </c>
      <c r="Z706" s="1789"/>
      <c r="AA706" s="1789"/>
      <c r="AB706" s="1790"/>
      <c r="AC706" s="1791">
        <f t="shared" ref="AC706:AC730" si="43">O706+Y706</f>
        <v>261</v>
      </c>
      <c r="AD706" s="1792"/>
      <c r="AE706" s="1792"/>
      <c r="AF706" s="1792"/>
      <c r="AG706" s="1793"/>
      <c r="AH706" s="1972">
        <v>0.2</v>
      </c>
      <c r="AI706" s="1973"/>
      <c r="AJ706" s="1973"/>
      <c r="AK706" s="1973"/>
      <c r="AL706" s="1974"/>
      <c r="AM706" s="1957">
        <f>IF($AH706&gt;0,($AC706/$BA689)," ")</f>
        <v>0.1998468606431853</v>
      </c>
      <c r="AN706" s="1958"/>
      <c r="AO706" s="1959"/>
      <c r="BA706" s="75" t="str">
        <f t="shared" si="36"/>
        <v>N/A</v>
      </c>
      <c r="BB706" s="72"/>
      <c r="BC706" s="72"/>
      <c r="BD706" s="72"/>
      <c r="BE706" s="72"/>
      <c r="BF706" s="72"/>
      <c r="BG706" s="703">
        <f t="shared" si="37"/>
        <v>4</v>
      </c>
      <c r="BH706" s="715">
        <f t="shared" si="38"/>
        <v>6.7796610169491525E-2</v>
      </c>
      <c r="BI706" s="717">
        <f t="shared" si="39"/>
        <v>4.7457627118644062E-2</v>
      </c>
      <c r="BJ706" s="72"/>
      <c r="BK706" s="72"/>
      <c r="BL706" s="72"/>
      <c r="BM706" s="72"/>
      <c r="BN706" s="72"/>
      <c r="BO706" s="72"/>
      <c r="BP706" s="906" t="s">
        <v>447</v>
      </c>
      <c r="BQ706" s="905">
        <v>1264</v>
      </c>
      <c r="BR706" s="905">
        <v>1354</v>
      </c>
      <c r="BS706" s="905">
        <v>1624</v>
      </c>
      <c r="BT706" s="905">
        <v>1876</v>
      </c>
      <c r="BU706" s="905">
        <v>2094</v>
      </c>
      <c r="BV706" s="905">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777"/>
      <c r="C707" s="1778"/>
      <c r="D707" s="1778"/>
      <c r="E707" s="1778"/>
      <c r="F707" s="1779"/>
      <c r="G707" s="1774"/>
      <c r="H707" s="1775"/>
      <c r="I707" s="1775"/>
      <c r="J707" s="1776"/>
      <c r="K707" s="1785"/>
      <c r="L707" s="1786"/>
      <c r="M707" s="1786"/>
      <c r="N707" s="1787"/>
      <c r="O707" s="1788"/>
      <c r="P707" s="1789"/>
      <c r="Q707" s="1789"/>
      <c r="R707" s="1789"/>
      <c r="S707" s="1790"/>
      <c r="T707" s="1791">
        <f t="shared" si="42"/>
        <v>0</v>
      </c>
      <c r="U707" s="1792"/>
      <c r="V707" s="1792"/>
      <c r="W707" s="1792"/>
      <c r="X707" s="1793"/>
      <c r="Y707" s="1788"/>
      <c r="Z707" s="1789"/>
      <c r="AA707" s="1789"/>
      <c r="AB707" s="1790"/>
      <c r="AC707" s="1791">
        <f t="shared" si="43"/>
        <v>0</v>
      </c>
      <c r="AD707" s="1792"/>
      <c r="AE707" s="1792"/>
      <c r="AF707" s="1792"/>
      <c r="AG707" s="1793"/>
      <c r="AH707" s="1954"/>
      <c r="AI707" s="1955"/>
      <c r="AJ707" s="1955"/>
      <c r="AK707" s="1955"/>
      <c r="AL707" s="1956"/>
      <c r="AM707" s="1957" t="str">
        <f t="shared" ref="AM707:AM730" si="44">IF($AH707&gt;0,($AC707/$BA690), " ")</f>
        <v xml:space="preserve"> </v>
      </c>
      <c r="AN707" s="1958"/>
      <c r="AO707" s="1959"/>
      <c r="BA707" s="75">
        <f t="shared" si="36"/>
        <v>1570</v>
      </c>
      <c r="BB707" s="72"/>
      <c r="BC707" s="72"/>
      <c r="BD707" s="72"/>
      <c r="BE707" s="72"/>
      <c r="BF707" s="72"/>
      <c r="BG707" s="703">
        <f t="shared" si="37"/>
        <v>0</v>
      </c>
      <c r="BH707" s="715">
        <f t="shared" si="38"/>
        <v>0</v>
      </c>
      <c r="BI707" s="717" t="str">
        <f t="shared" si="39"/>
        <v xml:space="preserve"> </v>
      </c>
      <c r="BJ707" s="72"/>
      <c r="BK707" s="72"/>
      <c r="BL707" s="72"/>
      <c r="BM707" s="72"/>
      <c r="BN707" s="72"/>
      <c r="BO707" s="72"/>
      <c r="BP707" s="906" t="s">
        <v>448</v>
      </c>
      <c r="BQ707" s="905">
        <v>2070</v>
      </c>
      <c r="BR707" s="905">
        <v>2216</v>
      </c>
      <c r="BS707" s="905">
        <v>2660</v>
      </c>
      <c r="BT707" s="905">
        <v>3072</v>
      </c>
      <c r="BU707" s="905">
        <v>3430</v>
      </c>
      <c r="BV707" s="905">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777" t="s">
        <v>491</v>
      </c>
      <c r="C708" s="1778"/>
      <c r="D708" s="1778"/>
      <c r="E708" s="1778"/>
      <c r="F708" s="1779"/>
      <c r="G708" s="1774">
        <v>1</v>
      </c>
      <c r="H708" s="1775"/>
      <c r="I708" s="1775"/>
      <c r="J708" s="1776"/>
      <c r="K708" s="1785">
        <v>720</v>
      </c>
      <c r="L708" s="1786"/>
      <c r="M708" s="1786"/>
      <c r="N708" s="1787"/>
      <c r="O708" s="1788">
        <v>326</v>
      </c>
      <c r="P708" s="1789"/>
      <c r="Q708" s="1789"/>
      <c r="R708" s="1789"/>
      <c r="S708" s="1790"/>
      <c r="T708" s="1791">
        <f t="shared" si="42"/>
        <v>326</v>
      </c>
      <c r="U708" s="1792"/>
      <c r="V708" s="1792"/>
      <c r="W708" s="1792"/>
      <c r="X708" s="1793"/>
      <c r="Y708" s="1788">
        <v>66</v>
      </c>
      <c r="Z708" s="1789"/>
      <c r="AA708" s="1789"/>
      <c r="AB708" s="1790"/>
      <c r="AC708" s="1791">
        <f t="shared" si="43"/>
        <v>392</v>
      </c>
      <c r="AD708" s="1792"/>
      <c r="AE708" s="1792"/>
      <c r="AF708" s="1792"/>
      <c r="AG708" s="1793"/>
      <c r="AH708" s="1954">
        <v>0.3</v>
      </c>
      <c r="AI708" s="1955"/>
      <c r="AJ708" s="1955"/>
      <c r="AK708" s="1955"/>
      <c r="AL708" s="1956"/>
      <c r="AM708" s="1957">
        <f t="shared" si="44"/>
        <v>0.3001531393568147</v>
      </c>
      <c r="AN708" s="1958"/>
      <c r="AO708" s="1959"/>
      <c r="BA708" s="75">
        <f t="shared" si="36"/>
        <v>1812</v>
      </c>
      <c r="BB708" s="72"/>
      <c r="BC708" s="72"/>
      <c r="BD708" s="72"/>
      <c r="BE708" s="72"/>
      <c r="BF708" s="72"/>
      <c r="BG708" s="703">
        <f t="shared" si="37"/>
        <v>4</v>
      </c>
      <c r="BH708" s="715">
        <f t="shared" si="38"/>
        <v>6.7796610169491525E-2</v>
      </c>
      <c r="BI708" s="717">
        <f t="shared" si="39"/>
        <v>5.4237288135593226E-2</v>
      </c>
      <c r="BJ708" s="72"/>
      <c r="BK708" s="72"/>
      <c r="BL708" s="72"/>
      <c r="BM708" s="72"/>
      <c r="BN708" s="72"/>
      <c r="BO708" s="72"/>
      <c r="BP708" s="906" t="s">
        <v>449</v>
      </c>
      <c r="BQ708" s="905">
        <v>1220</v>
      </c>
      <c r="BR708" s="905">
        <v>1306</v>
      </c>
      <c r="BS708" s="905">
        <v>1570</v>
      </c>
      <c r="BT708" s="905">
        <v>1812</v>
      </c>
      <c r="BU708" s="905">
        <v>2022</v>
      </c>
      <c r="BV708" s="905">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92"/>
      <c r="B709" s="1777" t="s">
        <v>853</v>
      </c>
      <c r="C709" s="1778"/>
      <c r="D709" s="1778"/>
      <c r="E709" s="1778"/>
      <c r="F709" s="1779"/>
      <c r="G709" s="1774">
        <v>7</v>
      </c>
      <c r="H709" s="1775"/>
      <c r="I709" s="1775"/>
      <c r="J709" s="1776"/>
      <c r="K709" s="1785">
        <v>887</v>
      </c>
      <c r="L709" s="1786"/>
      <c r="M709" s="1786"/>
      <c r="N709" s="1787"/>
      <c r="O709" s="1788">
        <v>381</v>
      </c>
      <c r="P709" s="1789"/>
      <c r="Q709" s="1789"/>
      <c r="R709" s="1789"/>
      <c r="S709" s="1790"/>
      <c r="T709" s="1791">
        <f t="shared" si="42"/>
        <v>2667</v>
      </c>
      <c r="U709" s="1792"/>
      <c r="V709" s="1792"/>
      <c r="W709" s="1792"/>
      <c r="X709" s="1793"/>
      <c r="Y709" s="1788">
        <v>90</v>
      </c>
      <c r="Z709" s="1789"/>
      <c r="AA709" s="1789"/>
      <c r="AB709" s="1790"/>
      <c r="AC709" s="1791">
        <f t="shared" si="43"/>
        <v>471</v>
      </c>
      <c r="AD709" s="1792"/>
      <c r="AE709" s="1792"/>
      <c r="AF709" s="1792"/>
      <c r="AG709" s="1793"/>
      <c r="AH709" s="1954">
        <v>0.3</v>
      </c>
      <c r="AI709" s="1955"/>
      <c r="AJ709" s="1955"/>
      <c r="AK709" s="1955"/>
      <c r="AL709" s="1956"/>
      <c r="AM709" s="1957">
        <f t="shared" si="44"/>
        <v>0.3</v>
      </c>
      <c r="AN709" s="1958"/>
      <c r="AO709" s="1959"/>
      <c r="BA709" s="75" t="str">
        <f t="shared" si="36"/>
        <v>N/A</v>
      </c>
      <c r="BB709" s="72"/>
      <c r="BC709" s="72"/>
      <c r="BD709" s="72"/>
      <c r="BE709" s="72"/>
      <c r="BF709" s="72"/>
      <c r="BG709" s="703">
        <f t="shared" si="37"/>
        <v>4</v>
      </c>
      <c r="BH709" s="715">
        <f t="shared" si="38"/>
        <v>6.7796610169491525E-2</v>
      </c>
      <c r="BI709" s="717">
        <f t="shared" si="39"/>
        <v>5.4237288135593226E-2</v>
      </c>
      <c r="BJ709" s="72"/>
      <c r="BK709" s="72"/>
      <c r="BL709" s="72"/>
      <c r="BM709" s="72"/>
      <c r="BN709" s="72"/>
      <c r="BO709" s="72"/>
      <c r="BP709" s="906" t="s">
        <v>450</v>
      </c>
      <c r="BQ709" s="905">
        <v>3196</v>
      </c>
      <c r="BR709" s="905">
        <v>3426</v>
      </c>
      <c r="BS709" s="905">
        <v>4112</v>
      </c>
      <c r="BT709" s="905">
        <v>4750</v>
      </c>
      <c r="BU709" s="905">
        <v>5300</v>
      </c>
      <c r="BV709" s="905">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92"/>
      <c r="B710" s="1777" t="s">
        <v>854</v>
      </c>
      <c r="C710" s="1778"/>
      <c r="D710" s="1778"/>
      <c r="E710" s="1778"/>
      <c r="F710" s="1779"/>
      <c r="G710" s="1774">
        <v>2</v>
      </c>
      <c r="H710" s="1775"/>
      <c r="I710" s="1775"/>
      <c r="J710" s="1776"/>
      <c r="K710" s="1785">
        <v>1116</v>
      </c>
      <c r="L710" s="1786"/>
      <c r="M710" s="1786"/>
      <c r="N710" s="1787"/>
      <c r="O710" s="1788">
        <v>428</v>
      </c>
      <c r="P710" s="1789"/>
      <c r="Q710" s="1789"/>
      <c r="R710" s="1789"/>
      <c r="S710" s="1790"/>
      <c r="T710" s="1791">
        <f t="shared" si="42"/>
        <v>856</v>
      </c>
      <c r="U710" s="1792"/>
      <c r="V710" s="1792"/>
      <c r="W710" s="1792"/>
      <c r="X710" s="1793"/>
      <c r="Y710" s="1788">
        <v>115</v>
      </c>
      <c r="Z710" s="1789"/>
      <c r="AA710" s="1789"/>
      <c r="AB710" s="1790"/>
      <c r="AC710" s="1791">
        <f t="shared" si="43"/>
        <v>543</v>
      </c>
      <c r="AD710" s="1792"/>
      <c r="AE710" s="1792"/>
      <c r="AF710" s="1792"/>
      <c r="AG710" s="1793"/>
      <c r="AH710" s="1954">
        <v>0.3</v>
      </c>
      <c r="AI710" s="1955"/>
      <c r="AJ710" s="1955"/>
      <c r="AK710" s="1955"/>
      <c r="AL710" s="1956"/>
      <c r="AM710" s="1957">
        <f t="shared" si="44"/>
        <v>0.29966887417218541</v>
      </c>
      <c r="AN710" s="1958"/>
      <c r="AO710" s="1959"/>
      <c r="BA710" s="75" t="str">
        <f t="shared" si="36"/>
        <v>N/A</v>
      </c>
      <c r="BB710" s="72"/>
      <c r="BC710" s="72"/>
      <c r="BD710" s="72"/>
      <c r="BE710" s="72"/>
      <c r="BF710" s="72"/>
      <c r="BG710" s="703">
        <f t="shared" si="37"/>
        <v>0</v>
      </c>
      <c r="BH710" s="715">
        <f t="shared" si="38"/>
        <v>0</v>
      </c>
      <c r="BI710" s="717" t="str">
        <f t="shared" si="39"/>
        <v xml:space="preserve"> </v>
      </c>
      <c r="BJ710" s="72"/>
      <c r="BK710" s="72"/>
      <c r="BL710" s="72"/>
      <c r="BM710" s="72"/>
      <c r="BN710" s="72"/>
      <c r="BO710" s="72"/>
      <c r="BP710" s="906" t="s">
        <v>451</v>
      </c>
      <c r="BQ710" s="905">
        <v>1220</v>
      </c>
      <c r="BR710" s="905">
        <v>1306</v>
      </c>
      <c r="BS710" s="905">
        <v>1570</v>
      </c>
      <c r="BT710" s="905">
        <v>1812</v>
      </c>
      <c r="BU710" s="905">
        <v>2022</v>
      </c>
      <c r="BV710" s="905">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92"/>
      <c r="B711" s="1777"/>
      <c r="C711" s="1778"/>
      <c r="D711" s="1778"/>
      <c r="E711" s="1778"/>
      <c r="F711" s="1779"/>
      <c r="G711" s="1774"/>
      <c r="H711" s="1775"/>
      <c r="I711" s="1775"/>
      <c r="J711" s="1776"/>
      <c r="K711" s="1785"/>
      <c r="L711" s="1786"/>
      <c r="M711" s="1786"/>
      <c r="N711" s="1787"/>
      <c r="O711" s="1788"/>
      <c r="P711" s="1789"/>
      <c r="Q711" s="1789"/>
      <c r="R711" s="1789"/>
      <c r="S711" s="1790"/>
      <c r="T711" s="1791">
        <f t="shared" si="42"/>
        <v>0</v>
      </c>
      <c r="U711" s="1792"/>
      <c r="V711" s="1792"/>
      <c r="W711" s="1792"/>
      <c r="X711" s="1793"/>
      <c r="Y711" s="1788"/>
      <c r="Z711" s="1789"/>
      <c r="AA711" s="1789"/>
      <c r="AB711" s="1790"/>
      <c r="AC711" s="1791">
        <f t="shared" si="43"/>
        <v>0</v>
      </c>
      <c r="AD711" s="1792"/>
      <c r="AE711" s="1792"/>
      <c r="AF711" s="1792"/>
      <c r="AG711" s="1793"/>
      <c r="AH711" s="1954"/>
      <c r="AI711" s="1955"/>
      <c r="AJ711" s="1955"/>
      <c r="AK711" s="1955"/>
      <c r="AL711" s="1956"/>
      <c r="AM711" s="1957" t="str">
        <f t="shared" si="44"/>
        <v xml:space="preserve"> </v>
      </c>
      <c r="AN711" s="1958"/>
      <c r="AO711" s="1959"/>
      <c r="BA711" s="75" t="str">
        <f t="shared" si="36"/>
        <v>N/A</v>
      </c>
      <c r="BB711" s="72"/>
      <c r="BC711" s="72"/>
      <c r="BD711" s="72"/>
      <c r="BE711" s="72"/>
      <c r="BF711" s="72"/>
      <c r="BG711" s="703">
        <f t="shared" si="37"/>
        <v>0</v>
      </c>
      <c r="BH711" s="715">
        <f t="shared" si="38"/>
        <v>0</v>
      </c>
      <c r="BI711" s="717" t="str">
        <f t="shared" si="39"/>
        <v xml:space="preserve"> </v>
      </c>
      <c r="BJ711" s="72"/>
      <c r="BK711" s="72"/>
      <c r="BL711" s="72"/>
      <c r="BM711" s="72"/>
      <c r="BN711" s="72"/>
      <c r="BO711" s="72"/>
      <c r="BP711" s="906" t="s">
        <v>452</v>
      </c>
      <c r="BQ711" s="905">
        <v>1266</v>
      </c>
      <c r="BR711" s="905">
        <v>1356</v>
      </c>
      <c r="BS711" s="905">
        <v>1626</v>
      </c>
      <c r="BT711" s="905">
        <v>1880</v>
      </c>
      <c r="BU711" s="905">
        <v>2096</v>
      </c>
      <c r="BV711" s="905">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92"/>
      <c r="B712" s="1777" t="s">
        <v>853</v>
      </c>
      <c r="C712" s="1778"/>
      <c r="D712" s="1778"/>
      <c r="E712" s="1778"/>
      <c r="F712" s="1779"/>
      <c r="G712" s="1774">
        <v>6</v>
      </c>
      <c r="H712" s="1775"/>
      <c r="I712" s="1775"/>
      <c r="J712" s="1776"/>
      <c r="K712" s="1785">
        <v>887</v>
      </c>
      <c r="L712" s="1786"/>
      <c r="M712" s="1786"/>
      <c r="N712" s="1787"/>
      <c r="O712" s="1788">
        <v>538</v>
      </c>
      <c r="P712" s="1789"/>
      <c r="Q712" s="1789"/>
      <c r="R712" s="1789"/>
      <c r="S712" s="1790"/>
      <c r="T712" s="1791">
        <f t="shared" si="42"/>
        <v>3228</v>
      </c>
      <c r="U712" s="1792"/>
      <c r="V712" s="1792"/>
      <c r="W712" s="1792"/>
      <c r="X712" s="1793"/>
      <c r="Y712" s="1788">
        <v>90</v>
      </c>
      <c r="Z712" s="1789"/>
      <c r="AA712" s="1789"/>
      <c r="AB712" s="1790"/>
      <c r="AC712" s="1791">
        <f t="shared" si="43"/>
        <v>628</v>
      </c>
      <c r="AD712" s="1792"/>
      <c r="AE712" s="1792"/>
      <c r="AF712" s="1792"/>
      <c r="AG712" s="1793"/>
      <c r="AH712" s="1954">
        <v>0.4</v>
      </c>
      <c r="AI712" s="1955"/>
      <c r="AJ712" s="1955"/>
      <c r="AK712" s="1955"/>
      <c r="AL712" s="1956"/>
      <c r="AM712" s="1957">
        <f t="shared" si="44"/>
        <v>0.4</v>
      </c>
      <c r="AN712" s="1958"/>
      <c r="AO712" s="1959"/>
      <c r="BA712" s="75" t="str">
        <f t="shared" si="36"/>
        <v>N/A</v>
      </c>
      <c r="BB712" s="72"/>
      <c r="BC712" s="72"/>
      <c r="BD712" s="72"/>
      <c r="BE712" s="72"/>
      <c r="BF712" s="72"/>
      <c r="BG712" s="703">
        <f t="shared" si="37"/>
        <v>0</v>
      </c>
      <c r="BH712" s="715">
        <f t="shared" si="38"/>
        <v>0</v>
      </c>
      <c r="BI712" s="717" t="str">
        <f t="shared" si="39"/>
        <v xml:space="preserve"> </v>
      </c>
      <c r="BJ712" s="72"/>
      <c r="BK712" s="72"/>
      <c r="BL712" s="72"/>
      <c r="BM712" s="72"/>
      <c r="BN712" s="72"/>
      <c r="BO712" s="72"/>
      <c r="BP712" s="906" t="s">
        <v>453</v>
      </c>
      <c r="BQ712" s="905">
        <v>1220</v>
      </c>
      <c r="BR712" s="905">
        <v>1306</v>
      </c>
      <c r="BS712" s="905">
        <v>1570</v>
      </c>
      <c r="BT712" s="905">
        <v>1812</v>
      </c>
      <c r="BU712" s="905">
        <v>2022</v>
      </c>
      <c r="BV712" s="905">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92"/>
      <c r="B713" s="1777" t="s">
        <v>854</v>
      </c>
      <c r="C713" s="1778"/>
      <c r="D713" s="1778"/>
      <c r="E713" s="1778"/>
      <c r="F713" s="1779"/>
      <c r="G713" s="1774">
        <v>3</v>
      </c>
      <c r="H713" s="1775"/>
      <c r="I713" s="1775"/>
      <c r="J713" s="1776"/>
      <c r="K713" s="1785">
        <v>1116</v>
      </c>
      <c r="L713" s="1786"/>
      <c r="M713" s="1786"/>
      <c r="N713" s="1787"/>
      <c r="O713" s="1788">
        <v>610</v>
      </c>
      <c r="P713" s="1789"/>
      <c r="Q713" s="1789"/>
      <c r="R713" s="1789"/>
      <c r="S713" s="1790"/>
      <c r="T713" s="1791">
        <f t="shared" si="42"/>
        <v>1830</v>
      </c>
      <c r="U713" s="1792"/>
      <c r="V713" s="1792"/>
      <c r="W713" s="1792"/>
      <c r="X713" s="1793"/>
      <c r="Y713" s="1788">
        <v>115</v>
      </c>
      <c r="Z713" s="1789"/>
      <c r="AA713" s="1789"/>
      <c r="AB713" s="1790"/>
      <c r="AC713" s="1791">
        <f t="shared" si="43"/>
        <v>725</v>
      </c>
      <c r="AD713" s="1792"/>
      <c r="AE713" s="1792"/>
      <c r="AF713" s="1792"/>
      <c r="AG713" s="1793"/>
      <c r="AH713" s="1954">
        <v>0.4</v>
      </c>
      <c r="AI713" s="1955"/>
      <c r="AJ713" s="1955"/>
      <c r="AK713" s="1955"/>
      <c r="AL713" s="1956"/>
      <c r="AM713" s="1957">
        <f t="shared" si="44"/>
        <v>0.40011037527593818</v>
      </c>
      <c r="AN713" s="1958"/>
      <c r="AO713" s="1959"/>
      <c r="BA713" s="75" t="str">
        <f t="shared" si="36"/>
        <v>N/A</v>
      </c>
      <c r="BB713" s="72"/>
      <c r="BC713" s="72"/>
      <c r="BD713" s="72"/>
      <c r="BE713" s="72"/>
      <c r="BF713" s="72"/>
      <c r="BG713" s="703">
        <f t="shared" si="37"/>
        <v>0</v>
      </c>
      <c r="BH713" s="715">
        <f t="shared" si="38"/>
        <v>0</v>
      </c>
      <c r="BI713" s="717" t="str">
        <f t="shared" si="39"/>
        <v xml:space="preserve"> </v>
      </c>
      <c r="BJ713" s="72"/>
      <c r="BK713" s="72"/>
      <c r="BL713" s="72"/>
      <c r="BM713" s="72"/>
      <c r="BN713" s="72"/>
      <c r="BO713" s="72"/>
      <c r="BP713" s="906" t="s">
        <v>454</v>
      </c>
      <c r="BQ713" s="905">
        <v>1220</v>
      </c>
      <c r="BR713" s="905">
        <v>1306</v>
      </c>
      <c r="BS713" s="905">
        <v>1570</v>
      </c>
      <c r="BT713" s="905">
        <v>1812</v>
      </c>
      <c r="BU713" s="905">
        <v>2022</v>
      </c>
      <c r="BV713" s="905">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92"/>
      <c r="B714" s="1777"/>
      <c r="C714" s="1778"/>
      <c r="D714" s="1778"/>
      <c r="E714" s="1778"/>
      <c r="F714" s="1779"/>
      <c r="G714" s="1774"/>
      <c r="H714" s="1775"/>
      <c r="I714" s="1775"/>
      <c r="J714" s="1776"/>
      <c r="K714" s="1785"/>
      <c r="L714" s="1786"/>
      <c r="M714" s="1786"/>
      <c r="N714" s="1787"/>
      <c r="O714" s="1788"/>
      <c r="P714" s="1789"/>
      <c r="Q714" s="1789"/>
      <c r="R714" s="1789"/>
      <c r="S714" s="1790"/>
      <c r="T714" s="1791">
        <f t="shared" si="42"/>
        <v>0</v>
      </c>
      <c r="U714" s="1792"/>
      <c r="V714" s="1792"/>
      <c r="W714" s="1792"/>
      <c r="X714" s="1793"/>
      <c r="Y714" s="1788"/>
      <c r="Z714" s="1789"/>
      <c r="AA714" s="1789"/>
      <c r="AB714" s="1790"/>
      <c r="AC714" s="1791">
        <f t="shared" si="43"/>
        <v>0</v>
      </c>
      <c r="AD714" s="1792"/>
      <c r="AE714" s="1792"/>
      <c r="AF714" s="1792"/>
      <c r="AG714" s="1793"/>
      <c r="AH714" s="1954"/>
      <c r="AI714" s="1955"/>
      <c r="AJ714" s="1955"/>
      <c r="AK714" s="1955"/>
      <c r="AL714" s="1956"/>
      <c r="AM714" s="1957" t="str">
        <f t="shared" si="44"/>
        <v xml:space="preserve"> </v>
      </c>
      <c r="AN714" s="1958"/>
      <c r="AO714" s="1959"/>
      <c r="BA714" s="72"/>
      <c r="BB714" s="72"/>
      <c r="BC714" s="72"/>
      <c r="BD714" s="72"/>
      <c r="BE714" s="72"/>
      <c r="BF714" s="72"/>
      <c r="BG714" s="704">
        <f t="shared" si="37"/>
        <v>0</v>
      </c>
      <c r="BH714" s="716">
        <f t="shared" si="38"/>
        <v>0</v>
      </c>
      <c r="BI714" s="717" t="str">
        <f t="shared" si="39"/>
        <v xml:space="preserve"> </v>
      </c>
      <c r="BJ714" s="72"/>
      <c r="BK714" s="72"/>
      <c r="BL714" s="72"/>
      <c r="BM714" s="72"/>
      <c r="BN714" s="72"/>
      <c r="BO714" s="72"/>
      <c r="BP714" s="906" t="s">
        <v>455</v>
      </c>
      <c r="BQ714" s="905">
        <v>1382</v>
      </c>
      <c r="BR714" s="905">
        <v>1480</v>
      </c>
      <c r="BS714" s="905">
        <v>1776</v>
      </c>
      <c r="BT714" s="905">
        <v>2052</v>
      </c>
      <c r="BU714" s="905">
        <v>2290</v>
      </c>
      <c r="BV714" s="905">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777" t="s">
        <v>853</v>
      </c>
      <c r="C715" s="1778"/>
      <c r="D715" s="1778"/>
      <c r="E715" s="1778"/>
      <c r="F715" s="1779"/>
      <c r="G715" s="1774">
        <v>6</v>
      </c>
      <c r="H715" s="1775"/>
      <c r="I715" s="1775"/>
      <c r="J715" s="1776"/>
      <c r="K715" s="1785">
        <v>887</v>
      </c>
      <c r="L715" s="1786"/>
      <c r="M715" s="1786"/>
      <c r="N715" s="1787"/>
      <c r="O715" s="1788">
        <v>695</v>
      </c>
      <c r="P715" s="1789"/>
      <c r="Q715" s="1789"/>
      <c r="R715" s="1789"/>
      <c r="S715" s="1790"/>
      <c r="T715" s="1791">
        <f t="shared" ref="T715:T720" si="45">G715*O715</f>
        <v>4170</v>
      </c>
      <c r="U715" s="1792"/>
      <c r="V715" s="1792"/>
      <c r="W715" s="1792"/>
      <c r="X715" s="1793"/>
      <c r="Y715" s="1788">
        <v>90</v>
      </c>
      <c r="Z715" s="1789"/>
      <c r="AA715" s="1789"/>
      <c r="AB715" s="1790"/>
      <c r="AC715" s="1791">
        <f t="shared" si="43"/>
        <v>785</v>
      </c>
      <c r="AD715" s="1792"/>
      <c r="AE715" s="1792"/>
      <c r="AF715" s="1792"/>
      <c r="AG715" s="1793"/>
      <c r="AH715" s="1954">
        <v>0.5</v>
      </c>
      <c r="AI715" s="1955"/>
      <c r="AJ715" s="1955"/>
      <c r="AK715" s="1955"/>
      <c r="AL715" s="1956"/>
      <c r="AM715" s="1957">
        <f t="shared" si="44"/>
        <v>0.5</v>
      </c>
      <c r="AN715" s="1958"/>
      <c r="AO715" s="1959"/>
      <c r="BA715" s="72"/>
      <c r="BB715" s="72"/>
      <c r="BC715" s="72"/>
      <c r="BD715" s="72"/>
      <c r="BE715" s="149"/>
      <c r="BF715" s="147" t="s">
        <v>974</v>
      </c>
      <c r="BG715" s="718">
        <f>SUM(BG690:BG714)</f>
        <v>59</v>
      </c>
      <c r="BH715" s="719">
        <f>SUM(BH690:BH714)</f>
        <v>1.0000000000000002</v>
      </c>
      <c r="BI715" s="719">
        <f>SUM(BI690:BI714)</f>
        <v>0.5</v>
      </c>
      <c r="BJ715" s="72"/>
      <c r="BK715" s="72"/>
      <c r="BL715" s="72"/>
      <c r="BM715" s="72"/>
      <c r="BN715" s="72"/>
      <c r="BO715" s="72"/>
      <c r="BP715" s="906" t="s">
        <v>456</v>
      </c>
      <c r="BQ715" s="905">
        <v>1780</v>
      </c>
      <c r="BR715" s="905">
        <v>1906</v>
      </c>
      <c r="BS715" s="905">
        <v>2290</v>
      </c>
      <c r="BT715" s="905">
        <v>2644</v>
      </c>
      <c r="BU715" s="905">
        <v>2950</v>
      </c>
      <c r="BV715" s="905">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777" t="s">
        <v>854</v>
      </c>
      <c r="C716" s="1778"/>
      <c r="D716" s="1778"/>
      <c r="E716" s="1778"/>
      <c r="F716" s="1779"/>
      <c r="G716" s="1774">
        <v>2</v>
      </c>
      <c r="H716" s="1775"/>
      <c r="I716" s="1775"/>
      <c r="J716" s="1776"/>
      <c r="K716" s="1785">
        <v>1116</v>
      </c>
      <c r="L716" s="1786"/>
      <c r="M716" s="1786"/>
      <c r="N716" s="1787"/>
      <c r="O716" s="1788">
        <v>791</v>
      </c>
      <c r="P716" s="1789"/>
      <c r="Q716" s="1789"/>
      <c r="R716" s="1789"/>
      <c r="S716" s="1790"/>
      <c r="T716" s="1791">
        <f t="shared" si="45"/>
        <v>1582</v>
      </c>
      <c r="U716" s="1792"/>
      <c r="V716" s="1792"/>
      <c r="W716" s="1792"/>
      <c r="X716" s="1793"/>
      <c r="Y716" s="1788">
        <v>115</v>
      </c>
      <c r="Z716" s="1789"/>
      <c r="AA716" s="1789"/>
      <c r="AB716" s="1790"/>
      <c r="AC716" s="1791">
        <f t="shared" si="43"/>
        <v>906</v>
      </c>
      <c r="AD716" s="1792"/>
      <c r="AE716" s="1792"/>
      <c r="AF716" s="1792"/>
      <c r="AG716" s="1793"/>
      <c r="AH716" s="1954">
        <v>0.5</v>
      </c>
      <c r="AI716" s="1955"/>
      <c r="AJ716" s="1955"/>
      <c r="AK716" s="1955"/>
      <c r="AL716" s="1956"/>
      <c r="AM716" s="1957">
        <f t="shared" si="44"/>
        <v>0.5</v>
      </c>
      <c r="AN716" s="1958"/>
      <c r="AO716" s="1959"/>
      <c r="BA716" s="72"/>
      <c r="BB716" s="72"/>
      <c r="BC716" s="72"/>
      <c r="BD716" s="72"/>
      <c r="BE716" s="72"/>
      <c r="BF716" s="72"/>
      <c r="BG716" s="72"/>
      <c r="BH716" s="72"/>
      <c r="BI716" s="72"/>
      <c r="BJ716" s="72"/>
      <c r="BK716" s="72"/>
      <c r="BL716" s="72"/>
      <c r="BM716" s="72"/>
      <c r="BN716" s="72"/>
      <c r="BO716" s="72"/>
      <c r="BP716" s="906" t="s">
        <v>457</v>
      </c>
      <c r="BQ716" s="905">
        <v>1990</v>
      </c>
      <c r="BR716" s="905">
        <v>2132</v>
      </c>
      <c r="BS716" s="905">
        <v>2560</v>
      </c>
      <c r="BT716" s="905">
        <v>2956</v>
      </c>
      <c r="BU716" s="905">
        <v>3296</v>
      </c>
      <c r="BV716" s="905">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777"/>
      <c r="C717" s="1778"/>
      <c r="D717" s="1778"/>
      <c r="E717" s="1778"/>
      <c r="F717" s="1779"/>
      <c r="G717" s="1774"/>
      <c r="H717" s="1775"/>
      <c r="I717" s="1775"/>
      <c r="J717" s="1776"/>
      <c r="K717" s="1785"/>
      <c r="L717" s="1786"/>
      <c r="M717" s="1786"/>
      <c r="N717" s="1787"/>
      <c r="O717" s="1788"/>
      <c r="P717" s="1789"/>
      <c r="Q717" s="1789"/>
      <c r="R717" s="1789"/>
      <c r="S717" s="1790"/>
      <c r="T717" s="1791">
        <f t="shared" si="45"/>
        <v>0</v>
      </c>
      <c r="U717" s="1792"/>
      <c r="V717" s="1792"/>
      <c r="W717" s="1792"/>
      <c r="X717" s="1793"/>
      <c r="Y717" s="1788"/>
      <c r="Z717" s="1789"/>
      <c r="AA717" s="1789"/>
      <c r="AB717" s="1790"/>
      <c r="AC717" s="1791">
        <f t="shared" si="43"/>
        <v>0</v>
      </c>
      <c r="AD717" s="1792"/>
      <c r="AE717" s="1792"/>
      <c r="AF717" s="1792"/>
      <c r="AG717" s="1793"/>
      <c r="AH717" s="1954"/>
      <c r="AI717" s="1955"/>
      <c r="AJ717" s="1955"/>
      <c r="AK717" s="1955"/>
      <c r="AL717" s="1956"/>
      <c r="AM717" s="1957" t="str">
        <f t="shared" si="44"/>
        <v xml:space="preserve"> </v>
      </c>
      <c r="AN717" s="1958"/>
      <c r="AO717" s="1959"/>
      <c r="BA717" s="72"/>
      <c r="BB717" s="72"/>
      <c r="BC717" s="72"/>
      <c r="BD717" s="72"/>
      <c r="BE717" s="72"/>
      <c r="BF717" s="72"/>
      <c r="BG717" s="72"/>
      <c r="BH717" s="72"/>
      <c r="BI717" s="72"/>
      <c r="BJ717" s="72"/>
      <c r="BK717" s="72"/>
      <c r="BL717" s="72"/>
      <c r="BM717" s="72"/>
      <c r="BN717" s="72"/>
      <c r="BO717" s="72"/>
      <c r="BP717" s="906" t="s">
        <v>921</v>
      </c>
      <c r="BQ717" s="905">
        <v>1572</v>
      </c>
      <c r="BR717" s="905">
        <v>1684</v>
      </c>
      <c r="BS717" s="905">
        <v>2022</v>
      </c>
      <c r="BT717" s="905">
        <v>2334</v>
      </c>
      <c r="BU717" s="905">
        <v>2604</v>
      </c>
      <c r="BV717" s="905">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92"/>
      <c r="B718" s="1777" t="s">
        <v>853</v>
      </c>
      <c r="C718" s="1778"/>
      <c r="D718" s="1778"/>
      <c r="E718" s="1778"/>
      <c r="F718" s="1779"/>
      <c r="G718" s="1774">
        <v>4</v>
      </c>
      <c r="H718" s="1775"/>
      <c r="I718" s="1775"/>
      <c r="J718" s="1776"/>
      <c r="K718" s="1785">
        <v>887</v>
      </c>
      <c r="L718" s="1786"/>
      <c r="M718" s="1786"/>
      <c r="N718" s="1787"/>
      <c r="O718" s="1788">
        <v>852</v>
      </c>
      <c r="P718" s="1789"/>
      <c r="Q718" s="1789"/>
      <c r="R718" s="1789"/>
      <c r="S718" s="1790"/>
      <c r="T718" s="1791">
        <f t="shared" si="45"/>
        <v>3408</v>
      </c>
      <c r="U718" s="1792"/>
      <c r="V718" s="1792"/>
      <c r="W718" s="1792"/>
      <c r="X718" s="1793"/>
      <c r="Y718" s="1788">
        <v>90</v>
      </c>
      <c r="Z718" s="1789"/>
      <c r="AA718" s="1789"/>
      <c r="AB718" s="1790"/>
      <c r="AC718" s="1791">
        <f t="shared" si="43"/>
        <v>942</v>
      </c>
      <c r="AD718" s="1792"/>
      <c r="AE718" s="1792"/>
      <c r="AF718" s="1792"/>
      <c r="AG718" s="1793"/>
      <c r="AH718" s="1954">
        <v>0.6</v>
      </c>
      <c r="AI718" s="1955"/>
      <c r="AJ718" s="1955"/>
      <c r="AK718" s="1955"/>
      <c r="AL718" s="1956"/>
      <c r="AM718" s="1957">
        <f t="shared" si="44"/>
        <v>0.6</v>
      </c>
      <c r="AN718" s="1958"/>
      <c r="AO718" s="1959"/>
      <c r="BA718" s="72"/>
      <c r="BB718" s="72"/>
      <c r="BC718" s="72"/>
      <c r="BD718" s="72"/>
      <c r="BE718" s="72"/>
      <c r="BF718" s="72"/>
      <c r="BG718" s="72"/>
      <c r="BH718" s="72"/>
      <c r="BI718" s="72"/>
      <c r="BJ718" s="72"/>
      <c r="BK718" s="72"/>
      <c r="BL718" s="72"/>
      <c r="BM718" s="72"/>
      <c r="BN718" s="72"/>
      <c r="BO718" s="72"/>
      <c r="BP718" s="906" t="s">
        <v>922</v>
      </c>
      <c r="BQ718" s="905">
        <v>2354</v>
      </c>
      <c r="BR718" s="905">
        <v>2522</v>
      </c>
      <c r="BS718" s="905">
        <v>3026</v>
      </c>
      <c r="BT718" s="905">
        <v>3496</v>
      </c>
      <c r="BU718" s="905">
        <v>3902</v>
      </c>
      <c r="BV718" s="905">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92"/>
      <c r="B719" s="1777" t="s">
        <v>854</v>
      </c>
      <c r="C719" s="1778"/>
      <c r="D719" s="1778"/>
      <c r="E719" s="1778"/>
      <c r="F719" s="1779"/>
      <c r="G719" s="1774">
        <v>4</v>
      </c>
      <c r="H719" s="1775"/>
      <c r="I719" s="1775"/>
      <c r="J719" s="1776"/>
      <c r="K719" s="1785">
        <v>1116</v>
      </c>
      <c r="L719" s="1786"/>
      <c r="M719" s="1786"/>
      <c r="N719" s="1787"/>
      <c r="O719" s="1788">
        <v>972</v>
      </c>
      <c r="P719" s="1789"/>
      <c r="Q719" s="1789"/>
      <c r="R719" s="1789"/>
      <c r="S719" s="1790"/>
      <c r="T719" s="1791">
        <f t="shared" si="45"/>
        <v>3888</v>
      </c>
      <c r="U719" s="1792"/>
      <c r="V719" s="1792"/>
      <c r="W719" s="1792"/>
      <c r="X719" s="1793"/>
      <c r="Y719" s="1788">
        <v>115</v>
      </c>
      <c r="Z719" s="1789"/>
      <c r="AA719" s="1789"/>
      <c r="AB719" s="1790"/>
      <c r="AC719" s="1791">
        <f t="shared" si="43"/>
        <v>1087</v>
      </c>
      <c r="AD719" s="1792"/>
      <c r="AE719" s="1792"/>
      <c r="AF719" s="1792"/>
      <c r="AG719" s="1793"/>
      <c r="AH719" s="1954">
        <v>0.6</v>
      </c>
      <c r="AI719" s="1955"/>
      <c r="AJ719" s="1955"/>
      <c r="AK719" s="1955"/>
      <c r="AL719" s="1956"/>
      <c r="AM719" s="1957">
        <f t="shared" si="44"/>
        <v>0.59988962472406182</v>
      </c>
      <c r="AN719" s="1958"/>
      <c r="AO719" s="1959"/>
      <c r="BA719" s="72"/>
      <c r="BB719" s="72"/>
      <c r="BC719" s="72"/>
      <c r="BD719" s="72"/>
      <c r="BE719" s="72"/>
      <c r="BF719" s="72"/>
      <c r="BG719" s="1449" t="s">
        <v>2292</v>
      </c>
      <c r="BH719" s="1450"/>
      <c r="BI719" s="1450"/>
      <c r="BJ719" s="72"/>
      <c r="BK719" s="72"/>
      <c r="BL719" s="72"/>
      <c r="BM719" s="72"/>
      <c r="BN719" s="72"/>
      <c r="BO719" s="72"/>
      <c r="BP719" s="906" t="s">
        <v>923</v>
      </c>
      <c r="BQ719" s="905">
        <v>1586</v>
      </c>
      <c r="BR719" s="905">
        <v>1700</v>
      </c>
      <c r="BS719" s="905">
        <v>2040</v>
      </c>
      <c r="BT719" s="905">
        <v>2356</v>
      </c>
      <c r="BU719" s="905">
        <v>2626</v>
      </c>
      <c r="BV719" s="905">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92"/>
      <c r="B720" s="1777"/>
      <c r="C720" s="1778"/>
      <c r="D720" s="1778"/>
      <c r="E720" s="1778"/>
      <c r="F720" s="1779"/>
      <c r="G720" s="1774"/>
      <c r="H720" s="1775"/>
      <c r="I720" s="1775"/>
      <c r="J720" s="1776"/>
      <c r="K720" s="1785"/>
      <c r="L720" s="1786"/>
      <c r="M720" s="1786"/>
      <c r="N720" s="1787"/>
      <c r="O720" s="1788"/>
      <c r="P720" s="1789"/>
      <c r="Q720" s="1789"/>
      <c r="R720" s="1789"/>
      <c r="S720" s="1790"/>
      <c r="T720" s="1791">
        <f t="shared" si="45"/>
        <v>0</v>
      </c>
      <c r="U720" s="1792"/>
      <c r="V720" s="1792"/>
      <c r="W720" s="1792"/>
      <c r="X720" s="1793"/>
      <c r="Y720" s="1788"/>
      <c r="Z720" s="1789"/>
      <c r="AA720" s="1789"/>
      <c r="AB720" s="1790"/>
      <c r="AC720" s="1791">
        <f t="shared" si="43"/>
        <v>0</v>
      </c>
      <c r="AD720" s="1792"/>
      <c r="AE720" s="1792"/>
      <c r="AF720" s="1792"/>
      <c r="AG720" s="1793"/>
      <c r="AH720" s="1954"/>
      <c r="AI720" s="1955"/>
      <c r="AJ720" s="1955"/>
      <c r="AK720" s="1955"/>
      <c r="AL720" s="1956"/>
      <c r="AM720" s="1957" t="str">
        <f t="shared" si="44"/>
        <v xml:space="preserve"> </v>
      </c>
      <c r="AN720" s="1958"/>
      <c r="AO720" s="1959"/>
      <c r="BA720" s="72"/>
      <c r="BB720" s="72"/>
      <c r="BC720" s="72"/>
      <c r="BD720" s="72"/>
      <c r="BE720" s="72"/>
      <c r="BF720" s="72"/>
      <c r="BG720" s="1451" t="s">
        <v>1259</v>
      </c>
      <c r="BH720" s="1452" t="s">
        <v>1260</v>
      </c>
      <c r="BI720" s="1453" t="s">
        <v>1261</v>
      </c>
      <c r="BJ720" s="72"/>
      <c r="BK720" s="72"/>
      <c r="BL720" s="72"/>
      <c r="BM720" s="72"/>
      <c r="BN720" s="72"/>
      <c r="BO720" s="72"/>
      <c r="BP720" s="906" t="s">
        <v>924</v>
      </c>
      <c r="BQ720" s="905">
        <v>1280</v>
      </c>
      <c r="BR720" s="905">
        <v>1370</v>
      </c>
      <c r="BS720" s="905">
        <v>1644</v>
      </c>
      <c r="BT720" s="905">
        <v>1900</v>
      </c>
      <c r="BU720" s="905">
        <v>2120</v>
      </c>
      <c r="BV720" s="905">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92"/>
      <c r="B721" s="1777" t="s">
        <v>853</v>
      </c>
      <c r="C721" s="1778"/>
      <c r="D721" s="1778"/>
      <c r="E721" s="1778"/>
      <c r="F721" s="1779"/>
      <c r="G721" s="1774">
        <v>5</v>
      </c>
      <c r="H721" s="1775"/>
      <c r="I721" s="1775"/>
      <c r="J721" s="1776"/>
      <c r="K721" s="1785">
        <v>887</v>
      </c>
      <c r="L721" s="1786"/>
      <c r="M721" s="1786"/>
      <c r="N721" s="1787"/>
      <c r="O721" s="1788">
        <v>1009</v>
      </c>
      <c r="P721" s="1789"/>
      <c r="Q721" s="1789"/>
      <c r="R721" s="1789"/>
      <c r="S721" s="1790"/>
      <c r="T721" s="1791">
        <f t="shared" si="42"/>
        <v>5045</v>
      </c>
      <c r="U721" s="1792"/>
      <c r="V721" s="1792"/>
      <c r="W721" s="1792"/>
      <c r="X721" s="1793"/>
      <c r="Y721" s="1788">
        <v>90</v>
      </c>
      <c r="Z721" s="1789"/>
      <c r="AA721" s="1789"/>
      <c r="AB721" s="1790"/>
      <c r="AC721" s="1791">
        <f t="shared" si="43"/>
        <v>1099</v>
      </c>
      <c r="AD721" s="1792"/>
      <c r="AE721" s="1792"/>
      <c r="AF721" s="1792"/>
      <c r="AG721" s="1793"/>
      <c r="AH721" s="1954">
        <v>0.7</v>
      </c>
      <c r="AI721" s="1955"/>
      <c r="AJ721" s="1955"/>
      <c r="AK721" s="1955"/>
      <c r="AL721" s="1956"/>
      <c r="AM721" s="1957">
        <f t="shared" si="44"/>
        <v>0.7</v>
      </c>
      <c r="AN721" s="1958"/>
      <c r="AO721" s="1959"/>
      <c r="BA721" s="72"/>
      <c r="BB721" s="72"/>
      <c r="BC721" s="72"/>
      <c r="BD721" s="72"/>
      <c r="BE721" s="72"/>
      <c r="BF721" s="72"/>
      <c r="BG721" s="1454">
        <f>G706</f>
        <v>7</v>
      </c>
      <c r="BH721" s="1458">
        <f>BG721/$BG$746</f>
        <v>0.11864406779661017</v>
      </c>
      <c r="BI721" s="1459">
        <f>IF(BH721=0," ",BH721*AM706)</f>
        <v>2.3710644483089783E-2</v>
      </c>
      <c r="BJ721" s="72"/>
      <c r="BK721" s="72"/>
      <c r="BL721" s="72"/>
      <c r="BM721" s="72"/>
      <c r="BN721" s="72"/>
      <c r="BO721" s="72"/>
      <c r="BP721" s="906" t="s">
        <v>120</v>
      </c>
      <c r="BQ721" s="905">
        <v>1382</v>
      </c>
      <c r="BR721" s="905">
        <v>1480</v>
      </c>
      <c r="BS721" s="905">
        <v>1776</v>
      </c>
      <c r="BT721" s="905">
        <v>2054</v>
      </c>
      <c r="BU721" s="905">
        <v>2292</v>
      </c>
      <c r="BV721" s="905">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92"/>
      <c r="B722" s="1777" t="s">
        <v>854</v>
      </c>
      <c r="C722" s="1778"/>
      <c r="D722" s="1778"/>
      <c r="E722" s="1778"/>
      <c r="F722" s="1779"/>
      <c r="G722" s="1774">
        <v>4</v>
      </c>
      <c r="H722" s="1775"/>
      <c r="I722" s="1775"/>
      <c r="J722" s="1776"/>
      <c r="K722" s="1785">
        <v>1116</v>
      </c>
      <c r="L722" s="1786"/>
      <c r="M722" s="1786"/>
      <c r="N722" s="1787"/>
      <c r="O722" s="1788">
        <v>1153</v>
      </c>
      <c r="P722" s="1789"/>
      <c r="Q722" s="1789"/>
      <c r="R722" s="1789"/>
      <c r="S722" s="1790"/>
      <c r="T722" s="1791">
        <f t="shared" si="42"/>
        <v>4612</v>
      </c>
      <c r="U722" s="1792"/>
      <c r="V722" s="1792"/>
      <c r="W722" s="1792"/>
      <c r="X722" s="1793"/>
      <c r="Y722" s="1788">
        <v>115</v>
      </c>
      <c r="Z722" s="1789"/>
      <c r="AA722" s="1789"/>
      <c r="AB722" s="1790"/>
      <c r="AC722" s="1791">
        <f t="shared" si="43"/>
        <v>1268</v>
      </c>
      <c r="AD722" s="1792"/>
      <c r="AE722" s="1792"/>
      <c r="AF722" s="1792"/>
      <c r="AG722" s="1793"/>
      <c r="AH722" s="1954">
        <v>0.7</v>
      </c>
      <c r="AI722" s="1955"/>
      <c r="AJ722" s="1955"/>
      <c r="AK722" s="1955"/>
      <c r="AL722" s="1956"/>
      <c r="AM722" s="1957">
        <f t="shared" si="44"/>
        <v>0.69977924944812364</v>
      </c>
      <c r="AN722" s="1958"/>
      <c r="AO722" s="1959"/>
      <c r="BA722" s="72"/>
      <c r="BB722" s="72"/>
      <c r="BC722" s="72"/>
      <c r="BD722" s="72"/>
      <c r="BE722" s="72"/>
      <c r="BF722" s="72"/>
      <c r="BG722" s="1454">
        <f t="shared" ref="BG722:BG745" si="46">G707</f>
        <v>0</v>
      </c>
      <c r="BH722" s="1458">
        <f t="shared" ref="BH722:BH745" si="47">BG722/$BG$746</f>
        <v>0</v>
      </c>
      <c r="BI722" s="1459" t="str">
        <f t="shared" ref="BI722:BI745" si="48">IF(BH722=0," ",BH722*AM707)</f>
        <v xml:space="preserve"> </v>
      </c>
      <c r="BJ722" s="72"/>
      <c r="BK722" s="72"/>
      <c r="BL722" s="72"/>
      <c r="BM722" s="72"/>
      <c r="BN722" s="72"/>
      <c r="BO722" s="72"/>
      <c r="BP722" s="906" t="s">
        <v>121</v>
      </c>
      <c r="BQ722" s="905">
        <v>1586</v>
      </c>
      <c r="BR722" s="905">
        <v>1700</v>
      </c>
      <c r="BS722" s="905">
        <v>2040</v>
      </c>
      <c r="BT722" s="905">
        <v>2356</v>
      </c>
      <c r="BU722" s="905">
        <v>2626</v>
      </c>
      <c r="BV722" s="905">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92"/>
      <c r="B723" s="1777"/>
      <c r="C723" s="1778"/>
      <c r="D723" s="1778"/>
      <c r="E723" s="1778"/>
      <c r="F723" s="1779"/>
      <c r="G723" s="1774"/>
      <c r="H723" s="1775"/>
      <c r="I723" s="1775"/>
      <c r="J723" s="1776"/>
      <c r="K723" s="1785"/>
      <c r="L723" s="1786"/>
      <c r="M723" s="1786"/>
      <c r="N723" s="1787"/>
      <c r="O723" s="1788"/>
      <c r="P723" s="1789"/>
      <c r="Q723" s="1789"/>
      <c r="R723" s="1789"/>
      <c r="S723" s="1790"/>
      <c r="T723" s="1791">
        <f t="shared" si="42"/>
        <v>0</v>
      </c>
      <c r="U723" s="1792"/>
      <c r="V723" s="1792"/>
      <c r="W723" s="1792"/>
      <c r="X723" s="1793"/>
      <c r="Y723" s="1788">
        <v>0</v>
      </c>
      <c r="Z723" s="1789"/>
      <c r="AA723" s="1789"/>
      <c r="AB723" s="1790"/>
      <c r="AC723" s="1791">
        <f t="shared" si="43"/>
        <v>0</v>
      </c>
      <c r="AD723" s="1792"/>
      <c r="AE723" s="1792"/>
      <c r="AF723" s="1792"/>
      <c r="AG723" s="1793"/>
      <c r="AH723" s="1954">
        <v>0</v>
      </c>
      <c r="AI723" s="1955"/>
      <c r="AJ723" s="1955"/>
      <c r="AK723" s="1955"/>
      <c r="AL723" s="1956"/>
      <c r="AM723" s="1957" t="str">
        <f t="shared" si="44"/>
        <v xml:space="preserve"> </v>
      </c>
      <c r="AN723" s="1958"/>
      <c r="AO723" s="1959"/>
      <c r="BA723" s="75"/>
      <c r="BB723" s="75"/>
      <c r="BC723" s="75"/>
      <c r="BD723" s="75"/>
      <c r="BE723" s="75"/>
      <c r="BF723" s="75"/>
      <c r="BG723" s="1454">
        <f t="shared" si="46"/>
        <v>1</v>
      </c>
      <c r="BH723" s="1458">
        <f t="shared" si="47"/>
        <v>1.6949152542372881E-2</v>
      </c>
      <c r="BI723" s="1459">
        <f t="shared" si="48"/>
        <v>5.0873413450307579E-3</v>
      </c>
      <c r="BJ723" s="75"/>
      <c r="BK723" s="75"/>
      <c r="BL723" s="75"/>
      <c r="BM723" s="75"/>
      <c r="BN723" s="75"/>
      <c r="BO723" s="75"/>
      <c r="BP723" s="906" t="s">
        <v>122</v>
      </c>
      <c r="BQ723" s="905">
        <v>1710</v>
      </c>
      <c r="BR723" s="905">
        <v>1830</v>
      </c>
      <c r="BS723" s="905">
        <v>2196</v>
      </c>
      <c r="BT723" s="905">
        <v>2538</v>
      </c>
      <c r="BU723" s="905">
        <v>2832</v>
      </c>
      <c r="BV723" s="905">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92"/>
      <c r="B724" s="1777" t="s">
        <v>853</v>
      </c>
      <c r="C724" s="1778"/>
      <c r="D724" s="1778"/>
      <c r="E724" s="1778"/>
      <c r="F724" s="1779"/>
      <c r="G724" s="1774">
        <v>4</v>
      </c>
      <c r="H724" s="1775"/>
      <c r="I724" s="1775"/>
      <c r="J724" s="1776"/>
      <c r="K724" s="1785">
        <v>887</v>
      </c>
      <c r="L724" s="1786"/>
      <c r="M724" s="1786"/>
      <c r="N724" s="1787"/>
      <c r="O724" s="1788">
        <v>1166</v>
      </c>
      <c r="P724" s="1789"/>
      <c r="Q724" s="1789"/>
      <c r="R724" s="1789"/>
      <c r="S724" s="1790"/>
      <c r="T724" s="1791">
        <f t="shared" si="42"/>
        <v>4664</v>
      </c>
      <c r="U724" s="1792"/>
      <c r="V724" s="1792"/>
      <c r="W724" s="1792"/>
      <c r="X724" s="1793"/>
      <c r="Y724" s="1788">
        <v>90</v>
      </c>
      <c r="Z724" s="1789"/>
      <c r="AA724" s="1789"/>
      <c r="AB724" s="1790"/>
      <c r="AC724" s="1791">
        <f t="shared" si="43"/>
        <v>1256</v>
      </c>
      <c r="AD724" s="1792"/>
      <c r="AE724" s="1792"/>
      <c r="AF724" s="1792"/>
      <c r="AG724" s="1793"/>
      <c r="AH724" s="1954">
        <v>0.8</v>
      </c>
      <c r="AI724" s="1955"/>
      <c r="AJ724" s="1955"/>
      <c r="AK724" s="1955"/>
      <c r="AL724" s="1956"/>
      <c r="AM724" s="1957">
        <f t="shared" si="44"/>
        <v>0.8</v>
      </c>
      <c r="AN724" s="1958"/>
      <c r="AO724" s="1959"/>
      <c r="BA724" s="75"/>
      <c r="BB724" s="75"/>
      <c r="BC724" s="75"/>
      <c r="BD724" s="75"/>
      <c r="BE724" s="75"/>
      <c r="BF724" s="75"/>
      <c r="BG724" s="1454">
        <f t="shared" si="46"/>
        <v>7</v>
      </c>
      <c r="BH724" s="1458">
        <f t="shared" si="47"/>
        <v>0.11864406779661017</v>
      </c>
      <c r="BI724" s="1459">
        <f t="shared" si="48"/>
        <v>3.5593220338983052E-2</v>
      </c>
      <c r="BJ724" s="75"/>
      <c r="BK724" s="75"/>
      <c r="BL724" s="75"/>
      <c r="BM724" s="75"/>
      <c r="BN724" s="75"/>
      <c r="BO724" s="75"/>
      <c r="BP724" s="906" t="s">
        <v>123</v>
      </c>
      <c r="BQ724" s="905">
        <v>1382</v>
      </c>
      <c r="BR724" s="905">
        <v>1480</v>
      </c>
      <c r="BS724" s="905">
        <v>1776</v>
      </c>
      <c r="BT724" s="905">
        <v>2054</v>
      </c>
      <c r="BU724" s="905">
        <v>2292</v>
      </c>
      <c r="BV724" s="905">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92"/>
      <c r="B725" s="1777" t="s">
        <v>854</v>
      </c>
      <c r="C725" s="1778"/>
      <c r="D725" s="1778"/>
      <c r="E725" s="1778"/>
      <c r="F725" s="1779"/>
      <c r="G725" s="1774">
        <v>4</v>
      </c>
      <c r="H725" s="1775"/>
      <c r="I725" s="1775"/>
      <c r="J725" s="1776"/>
      <c r="K725" s="1785">
        <v>1116</v>
      </c>
      <c r="L725" s="1786"/>
      <c r="M725" s="1786"/>
      <c r="N725" s="1787"/>
      <c r="O725" s="1788">
        <v>1335</v>
      </c>
      <c r="P725" s="1789"/>
      <c r="Q725" s="1789"/>
      <c r="R725" s="1789"/>
      <c r="S725" s="1790"/>
      <c r="T725" s="1791">
        <f t="shared" si="42"/>
        <v>5340</v>
      </c>
      <c r="U725" s="1792"/>
      <c r="V725" s="1792"/>
      <c r="W725" s="1792"/>
      <c r="X725" s="1793"/>
      <c r="Y725" s="1788">
        <v>115</v>
      </c>
      <c r="Z725" s="1789"/>
      <c r="AA725" s="1789"/>
      <c r="AB725" s="1790"/>
      <c r="AC725" s="1791">
        <f t="shared" si="43"/>
        <v>1450</v>
      </c>
      <c r="AD725" s="1792"/>
      <c r="AE725" s="1792"/>
      <c r="AF725" s="1792"/>
      <c r="AG725" s="1793"/>
      <c r="AH725" s="1954">
        <v>0.8</v>
      </c>
      <c r="AI725" s="1955"/>
      <c r="AJ725" s="1955"/>
      <c r="AK725" s="1955"/>
      <c r="AL725" s="1956"/>
      <c r="AM725" s="1957">
        <f t="shared" si="44"/>
        <v>0.80022075055187636</v>
      </c>
      <c r="AN725" s="1958"/>
      <c r="AO725" s="1959"/>
      <c r="BA725" s="75"/>
      <c r="BB725" s="75"/>
      <c r="BC725" s="75"/>
      <c r="BD725" s="75"/>
      <c r="BE725" s="75"/>
      <c r="BF725" s="75"/>
      <c r="BG725" s="1454">
        <f t="shared" si="46"/>
        <v>2</v>
      </c>
      <c r="BH725" s="1458">
        <f t="shared" si="47"/>
        <v>3.3898305084745763E-2</v>
      </c>
      <c r="BI725" s="1459">
        <f t="shared" si="48"/>
        <v>1.0158266921091031E-2</v>
      </c>
      <c r="BJ725" s="75"/>
      <c r="BK725" s="75"/>
      <c r="BL725" s="75"/>
      <c r="BM725" s="75"/>
      <c r="BN725" s="75"/>
      <c r="BO725" s="75"/>
      <c r="BP725" s="906" t="s">
        <v>124</v>
      </c>
      <c r="BQ725" s="905">
        <v>2122</v>
      </c>
      <c r="BR725" s="905">
        <v>2272</v>
      </c>
      <c r="BS725" s="905">
        <v>2726</v>
      </c>
      <c r="BT725" s="905">
        <v>3150</v>
      </c>
      <c r="BU725" s="905">
        <v>3514</v>
      </c>
      <c r="BV725" s="905">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92"/>
      <c r="B726" s="1777"/>
      <c r="C726" s="1778"/>
      <c r="D726" s="1778"/>
      <c r="E726" s="1778"/>
      <c r="F726" s="1779"/>
      <c r="G726" s="1774"/>
      <c r="H726" s="1775"/>
      <c r="I726" s="1775"/>
      <c r="J726" s="1776"/>
      <c r="K726" s="1785"/>
      <c r="L726" s="1786"/>
      <c r="M726" s="1786"/>
      <c r="N726" s="1787"/>
      <c r="O726" s="1788"/>
      <c r="P726" s="1789"/>
      <c r="Q726" s="1789"/>
      <c r="R726" s="1789"/>
      <c r="S726" s="1790"/>
      <c r="T726" s="1791">
        <f t="shared" si="42"/>
        <v>0</v>
      </c>
      <c r="U726" s="1792"/>
      <c r="V726" s="1792"/>
      <c r="W726" s="1792"/>
      <c r="X726" s="1793"/>
      <c r="Y726" s="1788">
        <v>0</v>
      </c>
      <c r="Z726" s="1789"/>
      <c r="AA726" s="1789"/>
      <c r="AB726" s="1790"/>
      <c r="AC726" s="1791">
        <f t="shared" si="43"/>
        <v>0</v>
      </c>
      <c r="AD726" s="1792"/>
      <c r="AE726" s="1792"/>
      <c r="AF726" s="1792"/>
      <c r="AG726" s="1793"/>
      <c r="AH726" s="1954">
        <v>0</v>
      </c>
      <c r="AI726" s="1955"/>
      <c r="AJ726" s="1955"/>
      <c r="AK726" s="1955"/>
      <c r="AL726" s="1956"/>
      <c r="AM726" s="1957" t="str">
        <f t="shared" si="44"/>
        <v xml:space="preserve"> </v>
      </c>
      <c r="AN726" s="1958"/>
      <c r="AO726" s="1959"/>
      <c r="BA726" s="75"/>
      <c r="BB726" s="75"/>
      <c r="BC726" s="75"/>
      <c r="BD726" s="75"/>
      <c r="BE726" s="75"/>
      <c r="BF726" s="75"/>
      <c r="BG726" s="1454">
        <f t="shared" si="46"/>
        <v>0</v>
      </c>
      <c r="BH726" s="1458">
        <f t="shared" si="47"/>
        <v>0</v>
      </c>
      <c r="BI726" s="1459" t="str">
        <f t="shared" si="48"/>
        <v xml:space="preserve"> </v>
      </c>
      <c r="BJ726" s="75"/>
      <c r="BK726" s="75"/>
      <c r="BL726" s="75"/>
      <c r="BM726" s="75"/>
      <c r="BN726" s="75"/>
      <c r="BO726" s="75"/>
      <c r="BP726" s="906" t="s">
        <v>125</v>
      </c>
      <c r="BQ726" s="905">
        <v>3196</v>
      </c>
      <c r="BR726" s="905">
        <v>3426</v>
      </c>
      <c r="BS726" s="905">
        <v>4112</v>
      </c>
      <c r="BT726" s="905">
        <v>4750</v>
      </c>
      <c r="BU726" s="905">
        <v>5300</v>
      </c>
      <c r="BV726" s="905">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92"/>
      <c r="B727" s="1777"/>
      <c r="C727" s="1778"/>
      <c r="D727" s="1778"/>
      <c r="E727" s="1778"/>
      <c r="F727" s="1779"/>
      <c r="G727" s="1774"/>
      <c r="H727" s="1775"/>
      <c r="I727" s="1775"/>
      <c r="J727" s="1776"/>
      <c r="K727" s="1785"/>
      <c r="L727" s="1786"/>
      <c r="M727" s="1786"/>
      <c r="N727" s="1787"/>
      <c r="O727" s="1788"/>
      <c r="P727" s="1789"/>
      <c r="Q727" s="1789"/>
      <c r="R727" s="1789"/>
      <c r="S727" s="1790"/>
      <c r="T727" s="1791">
        <f t="shared" si="42"/>
        <v>0</v>
      </c>
      <c r="U727" s="1792"/>
      <c r="V727" s="1792"/>
      <c r="W727" s="1792"/>
      <c r="X727" s="1793"/>
      <c r="Y727" s="1788">
        <v>0</v>
      </c>
      <c r="Z727" s="1789"/>
      <c r="AA727" s="1789"/>
      <c r="AB727" s="1790"/>
      <c r="AC727" s="1791">
        <f t="shared" si="43"/>
        <v>0</v>
      </c>
      <c r="AD727" s="1792"/>
      <c r="AE727" s="1792"/>
      <c r="AF727" s="1792"/>
      <c r="AG727" s="1793"/>
      <c r="AH727" s="1954">
        <v>0</v>
      </c>
      <c r="AI727" s="1955"/>
      <c r="AJ727" s="1955"/>
      <c r="AK727" s="1955"/>
      <c r="AL727" s="1956"/>
      <c r="AM727" s="1957" t="str">
        <f t="shared" si="44"/>
        <v xml:space="preserve"> </v>
      </c>
      <c r="AN727" s="1958"/>
      <c r="AO727" s="1959"/>
      <c r="BA727" s="75"/>
      <c r="BB727" s="75"/>
      <c r="BC727" s="75"/>
      <c r="BD727" s="75"/>
      <c r="BE727" s="75"/>
      <c r="BF727" s="75"/>
      <c r="BG727" s="1454">
        <f t="shared" si="46"/>
        <v>6</v>
      </c>
      <c r="BH727" s="1458">
        <f t="shared" si="47"/>
        <v>0.10169491525423729</v>
      </c>
      <c r="BI727" s="1459">
        <f t="shared" si="48"/>
        <v>4.0677966101694919E-2</v>
      </c>
      <c r="BJ727" s="75"/>
      <c r="BK727" s="75"/>
      <c r="BL727" s="75"/>
      <c r="BM727" s="75"/>
      <c r="BN727" s="75"/>
      <c r="BO727" s="75"/>
      <c r="BP727" s="906" t="s">
        <v>126</v>
      </c>
      <c r="BQ727" s="905">
        <v>1294</v>
      </c>
      <c r="BR727" s="905">
        <v>1386</v>
      </c>
      <c r="BS727" s="905">
        <v>1664</v>
      </c>
      <c r="BT727" s="905">
        <v>1924</v>
      </c>
      <c r="BU727" s="905">
        <v>2146</v>
      </c>
      <c r="BV727" s="905">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92"/>
      <c r="B728" s="1777"/>
      <c r="C728" s="1778"/>
      <c r="D728" s="1778"/>
      <c r="E728" s="1778"/>
      <c r="F728" s="1779"/>
      <c r="G728" s="1774"/>
      <c r="H728" s="1775"/>
      <c r="I728" s="1775"/>
      <c r="J728" s="1776"/>
      <c r="K728" s="1785"/>
      <c r="L728" s="1786"/>
      <c r="M728" s="1786"/>
      <c r="N728" s="1787"/>
      <c r="O728" s="1788"/>
      <c r="P728" s="1789"/>
      <c r="Q728" s="1789"/>
      <c r="R728" s="1789"/>
      <c r="S728" s="1790"/>
      <c r="T728" s="1791">
        <f t="shared" si="42"/>
        <v>0</v>
      </c>
      <c r="U728" s="1792"/>
      <c r="V728" s="1792"/>
      <c r="W728" s="1792"/>
      <c r="X728" s="1793"/>
      <c r="Y728" s="1788">
        <v>0</v>
      </c>
      <c r="Z728" s="1789"/>
      <c r="AA728" s="1789"/>
      <c r="AB728" s="1790"/>
      <c r="AC728" s="1791">
        <f t="shared" si="43"/>
        <v>0</v>
      </c>
      <c r="AD728" s="1792"/>
      <c r="AE728" s="1792"/>
      <c r="AF728" s="1792"/>
      <c r="AG728" s="1793"/>
      <c r="AH728" s="1954">
        <v>0</v>
      </c>
      <c r="AI728" s="1955"/>
      <c r="AJ728" s="1955"/>
      <c r="AK728" s="1955"/>
      <c r="AL728" s="1956"/>
      <c r="AM728" s="1957" t="str">
        <f t="shared" si="44"/>
        <v xml:space="preserve"> </v>
      </c>
      <c r="AN728" s="1958"/>
      <c r="AO728" s="1959"/>
      <c r="BA728" s="62"/>
      <c r="BB728" s="326"/>
      <c r="BC728" s="326"/>
      <c r="BD728" s="326"/>
      <c r="BE728" s="805"/>
      <c r="BF728" s="805"/>
      <c r="BG728" s="1454">
        <f t="shared" si="46"/>
        <v>3</v>
      </c>
      <c r="BH728" s="1458">
        <f t="shared" si="47"/>
        <v>5.0847457627118647E-2</v>
      </c>
      <c r="BI728" s="1459">
        <f t="shared" si="48"/>
        <v>2.0344595353013806E-2</v>
      </c>
      <c r="BJ728" s="75"/>
      <c r="BK728" s="75"/>
      <c r="BL728" s="75"/>
      <c r="BM728" s="75"/>
      <c r="BN728" s="75"/>
      <c r="BO728" s="75"/>
      <c r="BP728" s="906" t="s">
        <v>127</v>
      </c>
      <c r="BQ728" s="905">
        <v>1712</v>
      </c>
      <c r="BR728" s="905">
        <v>1834</v>
      </c>
      <c r="BS728" s="905">
        <v>2202</v>
      </c>
      <c r="BT728" s="905">
        <v>2542</v>
      </c>
      <c r="BU728" s="905">
        <v>2836</v>
      </c>
      <c r="BV728" s="905">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92"/>
      <c r="B729" s="1777"/>
      <c r="C729" s="1778"/>
      <c r="D729" s="1778"/>
      <c r="E729" s="1778"/>
      <c r="F729" s="1779"/>
      <c r="G729" s="1774"/>
      <c r="H729" s="1775"/>
      <c r="I729" s="1775"/>
      <c r="J729" s="1776"/>
      <c r="K729" s="1785"/>
      <c r="L729" s="1786"/>
      <c r="M729" s="1786"/>
      <c r="N729" s="1787"/>
      <c r="O729" s="1788"/>
      <c r="P729" s="1789"/>
      <c r="Q729" s="1789"/>
      <c r="R729" s="1789"/>
      <c r="S729" s="1790"/>
      <c r="T729" s="1791">
        <f t="shared" si="42"/>
        <v>0</v>
      </c>
      <c r="U729" s="1792"/>
      <c r="V729" s="1792"/>
      <c r="W729" s="1792"/>
      <c r="X729" s="1793"/>
      <c r="Y729" s="1788">
        <v>0</v>
      </c>
      <c r="Z729" s="1789"/>
      <c r="AA729" s="1789"/>
      <c r="AB729" s="1790"/>
      <c r="AC729" s="1791">
        <f t="shared" si="43"/>
        <v>0</v>
      </c>
      <c r="AD729" s="1792"/>
      <c r="AE729" s="1792"/>
      <c r="AF729" s="1792"/>
      <c r="AG729" s="1793"/>
      <c r="AH729" s="1954">
        <v>0</v>
      </c>
      <c r="AI729" s="1955"/>
      <c r="AJ729" s="1955"/>
      <c r="AK729" s="1955"/>
      <c r="AL729" s="1956"/>
      <c r="AM729" s="1957" t="str">
        <f t="shared" si="44"/>
        <v xml:space="preserve"> </v>
      </c>
      <c r="AN729" s="1958"/>
      <c r="AO729" s="1959"/>
      <c r="BA729" s="326"/>
      <c r="BB729" s="326"/>
      <c r="BC729" s="326"/>
      <c r="BD729" s="326"/>
      <c r="BE729" s="805"/>
      <c r="BF729" s="805"/>
      <c r="BG729" s="1454">
        <f t="shared" si="46"/>
        <v>0</v>
      </c>
      <c r="BH729" s="1458">
        <f t="shared" si="47"/>
        <v>0</v>
      </c>
      <c r="BI729" s="1459" t="str">
        <f t="shared" si="48"/>
        <v xml:space="preserve"> </v>
      </c>
      <c r="BJ729" s="75"/>
      <c r="BK729" s="75"/>
      <c r="BL729" s="75"/>
      <c r="BM729" s="75"/>
      <c r="BN729" s="75"/>
      <c r="BO729" s="75"/>
      <c r="BP729" s="906" t="s">
        <v>128</v>
      </c>
      <c r="BQ729" s="905">
        <v>3196</v>
      </c>
      <c r="BR729" s="905">
        <v>3426</v>
      </c>
      <c r="BS729" s="905">
        <v>4112</v>
      </c>
      <c r="BT729" s="905">
        <v>4750</v>
      </c>
      <c r="BU729" s="905">
        <v>5300</v>
      </c>
      <c r="BV729" s="905">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92"/>
      <c r="B730" s="1777"/>
      <c r="C730" s="1778"/>
      <c r="D730" s="1778"/>
      <c r="E730" s="1778"/>
      <c r="F730" s="1779"/>
      <c r="G730" s="1774"/>
      <c r="H730" s="1775"/>
      <c r="I730" s="1775"/>
      <c r="J730" s="1776"/>
      <c r="K730" s="1785"/>
      <c r="L730" s="1786"/>
      <c r="M730" s="1786"/>
      <c r="N730" s="1787"/>
      <c r="O730" s="1788"/>
      <c r="P730" s="1789"/>
      <c r="Q730" s="1789"/>
      <c r="R730" s="1789"/>
      <c r="S730" s="1790"/>
      <c r="T730" s="1791">
        <f t="shared" si="42"/>
        <v>0</v>
      </c>
      <c r="U730" s="1792"/>
      <c r="V730" s="1792"/>
      <c r="W730" s="1792"/>
      <c r="X730" s="1793"/>
      <c r="Y730" s="1788">
        <v>0</v>
      </c>
      <c r="Z730" s="1789"/>
      <c r="AA730" s="1789"/>
      <c r="AB730" s="1790"/>
      <c r="AC730" s="1791">
        <f t="shared" si="43"/>
        <v>0</v>
      </c>
      <c r="AD730" s="1792"/>
      <c r="AE730" s="1792"/>
      <c r="AF730" s="1792"/>
      <c r="AG730" s="1793"/>
      <c r="AH730" s="1954">
        <v>0</v>
      </c>
      <c r="AI730" s="1955"/>
      <c r="AJ730" s="1955"/>
      <c r="AK730" s="1955"/>
      <c r="AL730" s="1956"/>
      <c r="AM730" s="1957" t="str">
        <f t="shared" si="44"/>
        <v xml:space="preserve"> </v>
      </c>
      <c r="AN730" s="1958"/>
      <c r="AO730" s="1959"/>
      <c r="BA730" s="326"/>
      <c r="BB730" s="326"/>
      <c r="BC730" s="326"/>
      <c r="BD730" s="326"/>
      <c r="BE730" s="805"/>
      <c r="BF730" s="805"/>
      <c r="BG730" s="1454">
        <f t="shared" ref="BG730:BG735" si="49">G715</f>
        <v>6</v>
      </c>
      <c r="BH730" s="1458">
        <f t="shared" si="47"/>
        <v>0.10169491525423729</v>
      </c>
      <c r="BI730" s="1459">
        <f t="shared" si="48"/>
        <v>5.0847457627118647E-2</v>
      </c>
      <c r="BJ730" s="75"/>
      <c r="BK730" s="75"/>
      <c r="BL730" s="75"/>
      <c r="BM730" s="75"/>
      <c r="BN730" s="75"/>
      <c r="BO730" s="75"/>
      <c r="BP730" s="906" t="s">
        <v>885</v>
      </c>
      <c r="BQ730" s="905">
        <v>2186</v>
      </c>
      <c r="BR730" s="905">
        <v>2342</v>
      </c>
      <c r="BS730" s="905">
        <v>2812</v>
      </c>
      <c r="BT730" s="905">
        <v>3246</v>
      </c>
      <c r="BU730" s="905">
        <v>3622</v>
      </c>
      <c r="BV730" s="905">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92"/>
      <c r="B731" s="1795" t="s">
        <v>976</v>
      </c>
      <c r="C731" s="1796"/>
      <c r="D731" s="1796"/>
      <c r="E731" s="1796"/>
      <c r="F731" s="1797"/>
      <c r="G731" s="1828">
        <f>SUM(G706:J730)</f>
        <v>59</v>
      </c>
      <c r="H731" s="1829"/>
      <c r="I731" s="1829"/>
      <c r="J731" s="1830"/>
      <c r="K731" s="1392"/>
      <c r="L731" s="1392"/>
      <c r="M731" s="1392"/>
      <c r="N731" s="1392"/>
      <c r="O731" s="682" t="s">
        <v>975</v>
      </c>
      <c r="P731" s="683"/>
      <c r="Q731" s="683"/>
      <c r="R731" s="683"/>
      <c r="S731" s="1444"/>
      <c r="T731" s="1791">
        <f>SUM(T706:X730)</f>
        <v>43443</v>
      </c>
      <c r="U731" s="1792"/>
      <c r="V731" s="1792"/>
      <c r="W731" s="1792"/>
      <c r="X731" s="1793"/>
      <c r="Y731" s="1392"/>
      <c r="Z731" s="1392"/>
      <c r="AA731" s="1392"/>
      <c r="AB731" s="1392"/>
      <c r="AC731" s="1445" t="s">
        <v>1262</v>
      </c>
      <c r="AD731" s="1446"/>
      <c r="AE731" s="1446"/>
      <c r="AF731" s="1446"/>
      <c r="AG731" s="1447"/>
      <c r="AH731" s="1960">
        <f>BI715</f>
        <v>0.5</v>
      </c>
      <c r="AI731" s="1961"/>
      <c r="AJ731" s="1961"/>
      <c r="AK731" s="1961"/>
      <c r="AL731" s="1962"/>
      <c r="AM731" s="1960">
        <f>BI746</f>
        <v>0.4999713311343652</v>
      </c>
      <c r="AN731" s="1961"/>
      <c r="AO731" s="1962"/>
      <c r="BA731" s="326"/>
      <c r="BB731" s="326"/>
      <c r="BC731" s="326"/>
      <c r="BD731" s="326"/>
      <c r="BE731" s="805"/>
      <c r="BF731" s="805"/>
      <c r="BG731" s="1454">
        <f t="shared" si="49"/>
        <v>2</v>
      </c>
      <c r="BH731" s="1458">
        <f t="shared" si="47"/>
        <v>3.3898305084745763E-2</v>
      </c>
      <c r="BI731" s="1459">
        <f t="shared" si="48"/>
        <v>1.6949152542372881E-2</v>
      </c>
      <c r="BJ731" s="75"/>
      <c r="BK731" s="75"/>
      <c r="BL731" s="75"/>
      <c r="BM731" s="75"/>
      <c r="BN731" s="75"/>
      <c r="BO731" s="75"/>
      <c r="BP731" s="906" t="s">
        <v>886</v>
      </c>
      <c r="BQ731" s="905">
        <v>2900</v>
      </c>
      <c r="BR731" s="905">
        <v>3106</v>
      </c>
      <c r="BS731" s="905">
        <v>3730</v>
      </c>
      <c r="BT731" s="905">
        <v>4308</v>
      </c>
      <c r="BU731" s="905">
        <v>4806</v>
      </c>
      <c r="BV731" s="905">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03"/>
      <c r="D732" s="103"/>
      <c r="E732" s="103"/>
      <c r="F732" s="103"/>
      <c r="G732" s="782"/>
      <c r="H732" s="782"/>
      <c r="I732" s="782"/>
      <c r="J732" s="782"/>
      <c r="K732" s="103"/>
      <c r="L732" s="103"/>
      <c r="M732" s="103"/>
      <c r="N732" s="103"/>
      <c r="O732" s="103"/>
      <c r="P732" s="467"/>
      <c r="Q732" s="467"/>
      <c r="R732" s="467"/>
      <c r="S732" s="467"/>
      <c r="T732" s="467"/>
      <c r="U732" s="499"/>
      <c r="Y732" s="103"/>
      <c r="Z732" s="103"/>
      <c r="AA732" s="103"/>
      <c r="AB732" s="103"/>
      <c r="AC732" s="103"/>
      <c r="AD732" s="781"/>
      <c r="AE732" s="89"/>
      <c r="AF732" s="89"/>
      <c r="AG732" s="89"/>
      <c r="AH732" s="89"/>
      <c r="AL732" s="72"/>
      <c r="AM732" s="805"/>
      <c r="BA732" s="72"/>
      <c r="BB732" s="72"/>
      <c r="BC732" s="72"/>
      <c r="BD732" s="72"/>
      <c r="BE732" s="72"/>
      <c r="BF732" s="72"/>
      <c r="BG732" s="1454">
        <f t="shared" si="49"/>
        <v>0</v>
      </c>
      <c r="BH732" s="1458">
        <f t="shared" si="47"/>
        <v>0</v>
      </c>
      <c r="BI732" s="1459" t="str">
        <f t="shared" si="48"/>
        <v xml:space="preserve"> </v>
      </c>
      <c r="BJ732" s="72"/>
      <c r="BK732" s="72"/>
      <c r="BL732" s="72"/>
      <c r="BM732" s="72"/>
      <c r="BN732" s="72"/>
      <c r="BO732" s="72"/>
      <c r="BP732" s="906" t="s">
        <v>887</v>
      </c>
      <c r="BQ732" s="905">
        <v>2432</v>
      </c>
      <c r="BR732" s="905">
        <v>2606</v>
      </c>
      <c r="BS732" s="905">
        <v>3126</v>
      </c>
      <c r="BT732" s="905">
        <v>3614</v>
      </c>
      <c r="BU732" s="905">
        <v>4032</v>
      </c>
      <c r="BV732" s="905">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B733" s="785" t="s">
        <v>1372</v>
      </c>
      <c r="C733" s="784"/>
      <c r="D733" s="784"/>
      <c r="E733" s="784"/>
      <c r="F733" s="784"/>
      <c r="G733" s="787"/>
      <c r="H733" s="787"/>
      <c r="I733" s="787"/>
      <c r="J733" s="787"/>
      <c r="K733" s="784"/>
      <c r="L733" s="784"/>
      <c r="M733" s="784"/>
      <c r="N733" s="784"/>
      <c r="O733" s="784"/>
      <c r="P733" s="786"/>
      <c r="Q733" s="786"/>
      <c r="R733" s="786"/>
      <c r="S733" s="786"/>
      <c r="T733" s="786"/>
      <c r="U733" s="596"/>
      <c r="V733" s="596"/>
      <c r="W733" s="596"/>
      <c r="X733" s="596"/>
      <c r="Y733" s="784"/>
      <c r="Z733" s="784"/>
      <c r="AA733" s="784"/>
      <c r="AB733" s="784"/>
      <c r="AC733" s="784"/>
      <c r="AD733" s="788"/>
      <c r="AE733" s="789"/>
      <c r="AF733" s="2164" t="s">
        <v>136</v>
      </c>
      <c r="AG733" s="2164"/>
      <c r="AH733" s="2164"/>
      <c r="AL733" s="72"/>
      <c r="AM733" s="72"/>
      <c r="BA733" s="72"/>
      <c r="BB733" s="72"/>
      <c r="BC733" s="72"/>
      <c r="BD733" s="72"/>
      <c r="BE733" s="72"/>
      <c r="BF733" s="72"/>
      <c r="BG733" s="1454">
        <f t="shared" si="49"/>
        <v>4</v>
      </c>
      <c r="BH733" s="1458">
        <f t="shared" si="47"/>
        <v>6.7796610169491525E-2</v>
      </c>
      <c r="BI733" s="1459">
        <f t="shared" si="48"/>
        <v>4.0677966101694912E-2</v>
      </c>
      <c r="BJ733" s="72"/>
      <c r="BK733" s="72"/>
      <c r="BL733" s="72"/>
      <c r="BM733" s="72"/>
      <c r="BN733" s="72"/>
      <c r="BO733" s="72"/>
      <c r="BP733" s="906" t="s">
        <v>888</v>
      </c>
      <c r="BQ733" s="905">
        <v>1242</v>
      </c>
      <c r="BR733" s="905">
        <v>1330</v>
      </c>
      <c r="BS733" s="905">
        <v>1596</v>
      </c>
      <c r="BT733" s="905">
        <v>1846</v>
      </c>
      <c r="BU733" s="905">
        <v>2060</v>
      </c>
      <c r="BV733" s="905">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B734" s="783" t="s">
        <v>1703</v>
      </c>
      <c r="C734" s="802"/>
      <c r="D734" s="802"/>
      <c r="E734" s="802"/>
      <c r="F734" s="802"/>
      <c r="G734" s="787"/>
      <c r="H734" s="787"/>
      <c r="I734" s="787"/>
      <c r="J734" s="787"/>
      <c r="K734" s="802"/>
      <c r="L734" s="802"/>
      <c r="M734" s="802"/>
      <c r="N734" s="802"/>
      <c r="O734" s="802"/>
      <c r="P734" s="786"/>
      <c r="Q734" s="786"/>
      <c r="R734" s="786"/>
      <c r="S734" s="786"/>
      <c r="T734" s="786"/>
      <c r="U734" s="792"/>
      <c r="V734" s="792"/>
      <c r="W734" s="792"/>
      <c r="X734" s="792"/>
      <c r="Y734" s="802"/>
      <c r="Z734" s="802"/>
      <c r="AA734" s="802"/>
      <c r="AB734" s="802"/>
      <c r="AC734" s="802"/>
      <c r="AD734" s="803"/>
      <c r="AE734" s="804"/>
      <c r="AF734" s="804"/>
      <c r="AG734" s="804"/>
      <c r="AH734" s="804"/>
      <c r="AI734" s="50"/>
      <c r="AJ734" s="50"/>
      <c r="AK734" s="50"/>
      <c r="AL734" s="72"/>
      <c r="AM734" s="72"/>
      <c r="BA734" s="72"/>
      <c r="BB734" s="72"/>
      <c r="BC734" s="72"/>
      <c r="BD734" s="72"/>
      <c r="BE734" s="72"/>
      <c r="BF734" s="72"/>
      <c r="BG734" s="1454">
        <f t="shared" si="49"/>
        <v>4</v>
      </c>
      <c r="BH734" s="1458">
        <f t="shared" si="47"/>
        <v>6.7796610169491525E-2</v>
      </c>
      <c r="BI734" s="1459">
        <f t="shared" si="48"/>
        <v>4.0670483032139784E-2</v>
      </c>
      <c r="BJ734" s="72"/>
      <c r="BK734" s="72"/>
      <c r="BL734" s="72"/>
      <c r="BM734" s="72"/>
      <c r="BN734" s="72"/>
      <c r="BO734" s="72"/>
      <c r="BP734" s="906" t="s">
        <v>889</v>
      </c>
      <c r="BQ734" s="905">
        <v>1480</v>
      </c>
      <c r="BR734" s="905">
        <v>1584</v>
      </c>
      <c r="BS734" s="905">
        <v>1902</v>
      </c>
      <c r="BT734" s="905">
        <v>2196</v>
      </c>
      <c r="BU734" s="905">
        <v>2452</v>
      </c>
      <c r="BV734" s="905">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83" t="s">
        <v>1704</v>
      </c>
      <c r="C735" s="802"/>
      <c r="D735" s="802"/>
      <c r="E735" s="802"/>
      <c r="F735" s="802"/>
      <c r="G735" s="787"/>
      <c r="H735" s="787"/>
      <c r="I735" s="787"/>
      <c r="J735" s="787"/>
      <c r="K735" s="802"/>
      <c r="L735" s="802"/>
      <c r="M735" s="802"/>
      <c r="N735" s="802"/>
      <c r="O735" s="802"/>
      <c r="P735" s="786"/>
      <c r="Q735" s="786"/>
      <c r="R735" s="786"/>
      <c r="S735" s="786"/>
      <c r="T735" s="786"/>
      <c r="U735" s="792"/>
      <c r="V735" s="792"/>
      <c r="W735" s="792"/>
      <c r="X735" s="792"/>
      <c r="Y735" s="802"/>
      <c r="Z735" s="802"/>
      <c r="AA735" s="802"/>
      <c r="AB735" s="802"/>
      <c r="AC735" s="802"/>
      <c r="AD735" s="803"/>
      <c r="AE735" s="804"/>
      <c r="AF735" s="804"/>
      <c r="AG735" s="804"/>
      <c r="AH735" s="804"/>
      <c r="AI735" s="50"/>
      <c r="AJ735" s="50"/>
      <c r="AK735" s="50"/>
      <c r="AL735" s="72"/>
      <c r="AM735" s="72"/>
      <c r="BA735" s="72"/>
      <c r="BB735" s="72"/>
      <c r="BC735" s="72"/>
      <c r="BD735" s="72"/>
      <c r="BE735" s="72"/>
      <c r="BF735" s="72"/>
      <c r="BG735" s="1454">
        <f t="shared" si="49"/>
        <v>0</v>
      </c>
      <c r="BH735" s="1458">
        <f t="shared" si="47"/>
        <v>0</v>
      </c>
      <c r="BI735" s="1459" t="str">
        <f t="shared" si="48"/>
        <v xml:space="preserve"> </v>
      </c>
      <c r="BJ735" s="72"/>
      <c r="BK735" s="72"/>
      <c r="BL735" s="72"/>
      <c r="BM735" s="72"/>
      <c r="BN735" s="72"/>
      <c r="BO735" s="72"/>
      <c r="BP735" s="906" t="s">
        <v>890</v>
      </c>
      <c r="BQ735" s="905">
        <v>1220</v>
      </c>
      <c r="BR735" s="905">
        <v>1306</v>
      </c>
      <c r="BS735" s="905">
        <v>1570</v>
      </c>
      <c r="BT735" s="905">
        <v>1812</v>
      </c>
      <c r="BU735" s="905">
        <v>2022</v>
      </c>
      <c r="BV735" s="905">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783"/>
      <c r="C736" s="784"/>
      <c r="D736" s="784"/>
      <c r="E736" s="784"/>
      <c r="F736" s="784"/>
      <c r="G736" s="787"/>
      <c r="H736" s="787"/>
      <c r="I736" s="787"/>
      <c r="J736" s="787"/>
      <c r="K736" s="784"/>
      <c r="L736" s="784"/>
      <c r="M736" s="784"/>
      <c r="N736" s="784"/>
      <c r="O736" s="784"/>
      <c r="P736" s="786"/>
      <c r="Q736" s="786"/>
      <c r="R736" s="786"/>
      <c r="S736" s="786"/>
      <c r="T736" s="786"/>
      <c r="U736" s="596"/>
      <c r="V736" s="596"/>
      <c r="W736" s="596"/>
      <c r="X736" s="596"/>
      <c r="Y736" s="784"/>
      <c r="Z736" s="784"/>
      <c r="AA736" s="784"/>
      <c r="AB736" s="596"/>
      <c r="AC736" s="596"/>
      <c r="AD736" s="596"/>
      <c r="AE736" s="596"/>
      <c r="AF736" s="596"/>
      <c r="AG736" s="789"/>
      <c r="AH736" s="789"/>
      <c r="AL736" s="72"/>
      <c r="AM736" s="72"/>
      <c r="BA736" s="72"/>
      <c r="BB736" s="72"/>
      <c r="BC736" s="72"/>
      <c r="BD736" s="72"/>
      <c r="BE736" s="72"/>
      <c r="BF736" s="72"/>
      <c r="BG736" s="1454">
        <f t="shared" si="46"/>
        <v>5</v>
      </c>
      <c r="BH736" s="1458">
        <f t="shared" si="47"/>
        <v>8.4745762711864403E-2</v>
      </c>
      <c r="BI736" s="1459">
        <f t="shared" si="48"/>
        <v>5.9322033898305079E-2</v>
      </c>
      <c r="BJ736" s="72"/>
      <c r="BK736" s="72"/>
      <c r="BL736" s="72"/>
      <c r="BM736" s="72"/>
      <c r="BN736" s="72"/>
      <c r="BO736" s="72"/>
      <c r="BP736" s="906" t="s">
        <v>891</v>
      </c>
      <c r="BQ736" s="905">
        <v>1700</v>
      </c>
      <c r="BR736" s="905">
        <v>1820</v>
      </c>
      <c r="BS736" s="905">
        <v>2184</v>
      </c>
      <c r="BT736" s="905">
        <v>2524</v>
      </c>
      <c r="BU736" s="905">
        <v>2816</v>
      </c>
      <c r="BV736" s="905">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A737" s="63" t="s">
        <v>8</v>
      </c>
      <c r="B737" s="783"/>
      <c r="C737" s="106" t="s">
        <v>398</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4">
        <f t="shared" si="46"/>
        <v>4</v>
      </c>
      <c r="BH737" s="1458">
        <f t="shared" si="47"/>
        <v>6.7796610169491525E-2</v>
      </c>
      <c r="BI737" s="1459">
        <f t="shared" si="48"/>
        <v>4.7442660979533806E-2</v>
      </c>
      <c r="BJ737" s="72"/>
      <c r="BK737" s="72"/>
      <c r="BL737" s="72"/>
      <c r="BM737" s="72"/>
      <c r="BN737" s="72"/>
      <c r="BO737" s="72"/>
      <c r="BP737" s="906" t="s">
        <v>927</v>
      </c>
      <c r="BQ737" s="905">
        <v>2036</v>
      </c>
      <c r="BR737" s="905">
        <v>2182</v>
      </c>
      <c r="BS737" s="905">
        <v>2616</v>
      </c>
      <c r="BT737" s="905">
        <v>3024</v>
      </c>
      <c r="BU737" s="905">
        <v>3374</v>
      </c>
      <c r="BV737" s="905">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 r="B738" s="105"/>
      <c r="C738" s="2096" t="s">
        <v>1702</v>
      </c>
      <c r="D738" s="2096"/>
      <c r="E738" s="2096"/>
      <c r="F738" s="2096"/>
      <c r="G738" s="2096"/>
      <c r="H738" s="2096"/>
      <c r="I738" s="2096"/>
      <c r="J738" s="2096"/>
      <c r="K738" s="2096"/>
      <c r="L738" s="2096"/>
      <c r="M738" s="2096"/>
      <c r="N738" s="2096"/>
      <c r="O738" s="2096"/>
      <c r="P738" s="2096"/>
      <c r="Q738" s="2096"/>
      <c r="R738" s="2096"/>
      <c r="S738" s="2096"/>
      <c r="T738" s="2096"/>
      <c r="U738" s="2096"/>
      <c r="V738" s="2096"/>
      <c r="W738" s="2096"/>
      <c r="X738" s="2096"/>
      <c r="Y738" s="2096"/>
      <c r="Z738" s="2096"/>
      <c r="AA738" s="2096"/>
      <c r="AB738" s="2096"/>
      <c r="AC738" s="2096"/>
      <c r="AD738" s="2096"/>
      <c r="AE738" s="2096"/>
      <c r="AF738" s="2096"/>
      <c r="AG738" s="2096"/>
      <c r="AH738" s="2096"/>
      <c r="AI738" s="2096"/>
      <c r="AJ738" s="2096"/>
      <c r="AK738" s="2096"/>
      <c r="AM738" s="72"/>
      <c r="BA738" s="72"/>
      <c r="BB738" s="72"/>
      <c r="BC738" s="72"/>
      <c r="BD738" s="72"/>
      <c r="BE738" s="72"/>
      <c r="BF738" s="72"/>
      <c r="BG738" s="1454">
        <f t="shared" si="46"/>
        <v>0</v>
      </c>
      <c r="BH738" s="1458">
        <f t="shared" si="47"/>
        <v>0</v>
      </c>
      <c r="BI738" s="1459" t="str">
        <f t="shared" si="48"/>
        <v xml:space="preserve"> </v>
      </c>
      <c r="BJ738" s="72"/>
      <c r="BK738" s="72"/>
      <c r="BL738" s="72"/>
      <c r="BM738" s="72"/>
      <c r="BN738" s="72"/>
      <c r="BO738" s="72"/>
      <c r="BP738" s="906" t="s">
        <v>892</v>
      </c>
      <c r="BQ738" s="905">
        <v>1250</v>
      </c>
      <c r="BR738" s="905">
        <v>1338</v>
      </c>
      <c r="BS738" s="905">
        <v>1604</v>
      </c>
      <c r="BT738" s="905">
        <v>1854</v>
      </c>
      <c r="BU738" s="905">
        <v>2070</v>
      </c>
      <c r="BV738" s="905">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75">
      <c r="A739" s="63"/>
      <c r="B739" s="105"/>
      <c r="C739" s="2096"/>
      <c r="D739" s="2096"/>
      <c r="E739" s="2096"/>
      <c r="F739" s="2096"/>
      <c r="G739" s="2096"/>
      <c r="H739" s="2096"/>
      <c r="I739" s="2096"/>
      <c r="J739" s="2096"/>
      <c r="K739" s="2096"/>
      <c r="L739" s="2096"/>
      <c r="M739" s="2096"/>
      <c r="N739" s="2096"/>
      <c r="O739" s="2096"/>
      <c r="P739" s="2096"/>
      <c r="Q739" s="2096"/>
      <c r="R739" s="2096"/>
      <c r="S739" s="2096"/>
      <c r="T739" s="2096"/>
      <c r="U739" s="2096"/>
      <c r="V739" s="2096"/>
      <c r="W739" s="2096"/>
      <c r="X739" s="2096"/>
      <c r="Y739" s="2096"/>
      <c r="Z739" s="2096"/>
      <c r="AA739" s="2096"/>
      <c r="AB739" s="2096"/>
      <c r="AC739" s="2096"/>
      <c r="AD739" s="2096"/>
      <c r="AE739" s="2096"/>
      <c r="AF739" s="2096"/>
      <c r="AG739" s="2096"/>
      <c r="AH739" s="2096"/>
      <c r="AI739" s="2096"/>
      <c r="AJ739" s="2096"/>
      <c r="AK739" s="2096"/>
      <c r="AM739" s="72"/>
      <c r="BA739" s="72"/>
      <c r="BB739" s="72"/>
      <c r="BC739" s="72"/>
      <c r="BD739" s="72"/>
      <c r="BE739" s="72"/>
      <c r="BF739" s="72"/>
      <c r="BG739" s="1454">
        <f t="shared" si="46"/>
        <v>4</v>
      </c>
      <c r="BH739" s="1458">
        <f t="shared" si="47"/>
        <v>6.7796610169491525E-2</v>
      </c>
      <c r="BI739" s="1459">
        <f t="shared" si="48"/>
        <v>5.4237288135593226E-2</v>
      </c>
      <c r="BJ739" s="72"/>
      <c r="BK739" s="72"/>
      <c r="BL739" s="72"/>
      <c r="BM739" s="72"/>
      <c r="BN739" s="72"/>
      <c r="BO739" s="72"/>
      <c r="BP739" s="906" t="s">
        <v>893</v>
      </c>
      <c r="BQ739" s="905">
        <v>1220</v>
      </c>
      <c r="BR739" s="905">
        <v>1306</v>
      </c>
      <c r="BS739" s="905">
        <v>1570</v>
      </c>
      <c r="BT739" s="905">
        <v>1812</v>
      </c>
      <c r="BU739" s="905">
        <v>2022</v>
      </c>
      <c r="BV739" s="905">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2096"/>
      <c r="D740" s="2096"/>
      <c r="E740" s="2096"/>
      <c r="F740" s="2096"/>
      <c r="G740" s="2096"/>
      <c r="H740" s="2096"/>
      <c r="I740" s="2096"/>
      <c r="J740" s="2096"/>
      <c r="K740" s="2096"/>
      <c r="L740" s="2096"/>
      <c r="M740" s="2096"/>
      <c r="N740" s="2096"/>
      <c r="O740" s="2096"/>
      <c r="P740" s="2096"/>
      <c r="Q740" s="2096"/>
      <c r="R740" s="2096"/>
      <c r="S740" s="2096"/>
      <c r="T740" s="2096"/>
      <c r="U740" s="2096"/>
      <c r="V740" s="2096"/>
      <c r="W740" s="2096"/>
      <c r="X740" s="2096"/>
      <c r="Y740" s="2096"/>
      <c r="Z740" s="2096"/>
      <c r="AA740" s="2096"/>
      <c r="AB740" s="2096"/>
      <c r="AC740" s="2096"/>
      <c r="AD740" s="2096"/>
      <c r="AE740" s="2096"/>
      <c r="AF740" s="2096"/>
      <c r="AG740" s="2096"/>
      <c r="AH740" s="2096"/>
      <c r="AI740" s="2096"/>
      <c r="AJ740" s="2096"/>
      <c r="AK740" s="2096"/>
      <c r="AM740" s="72"/>
      <c r="BA740" s="72"/>
      <c r="BB740" s="72"/>
      <c r="BC740" s="72"/>
      <c r="BD740" s="72"/>
      <c r="BE740" s="72"/>
      <c r="BF740" s="72"/>
      <c r="BG740" s="1454">
        <f t="shared" si="46"/>
        <v>4</v>
      </c>
      <c r="BH740" s="1458">
        <f t="shared" si="47"/>
        <v>6.7796610169491525E-2</v>
      </c>
      <c r="BI740" s="1459">
        <f t="shared" si="48"/>
        <v>5.4252254274703482E-2</v>
      </c>
      <c r="BJ740" s="72"/>
      <c r="BK740" s="72"/>
      <c r="BL740" s="72"/>
      <c r="BM740" s="72"/>
      <c r="BN740" s="72"/>
      <c r="BO740" s="72"/>
      <c r="BP740" s="906" t="s">
        <v>894</v>
      </c>
      <c r="BQ740" s="905">
        <v>1220</v>
      </c>
      <c r="BR740" s="905">
        <v>1306</v>
      </c>
      <c r="BS740" s="905">
        <v>1570</v>
      </c>
      <c r="BT740" s="905">
        <v>1812</v>
      </c>
      <c r="BU740" s="905">
        <v>2022</v>
      </c>
      <c r="BV740" s="905">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2096"/>
      <c r="D741" s="2096"/>
      <c r="E741" s="2096"/>
      <c r="F741" s="2096"/>
      <c r="G741" s="2096"/>
      <c r="H741" s="2096"/>
      <c r="I741" s="2096"/>
      <c r="J741" s="2096"/>
      <c r="K741" s="2096"/>
      <c r="L741" s="2096"/>
      <c r="M741" s="2096"/>
      <c r="N741" s="2096"/>
      <c r="O741" s="2096"/>
      <c r="P741" s="2096"/>
      <c r="Q741" s="2096"/>
      <c r="R741" s="2096"/>
      <c r="S741" s="2096"/>
      <c r="T741" s="2096"/>
      <c r="U741" s="2096"/>
      <c r="V741" s="2096"/>
      <c r="W741" s="2096"/>
      <c r="X741" s="2096"/>
      <c r="Y741" s="2096"/>
      <c r="Z741" s="2096"/>
      <c r="AA741" s="2096"/>
      <c r="AB741" s="2096"/>
      <c r="AC741" s="2096"/>
      <c r="AD741" s="2096"/>
      <c r="AE741" s="2096"/>
      <c r="AF741" s="2096"/>
      <c r="AG741" s="2096"/>
      <c r="AH741" s="2096"/>
      <c r="AI741" s="2096"/>
      <c r="AJ741" s="2096"/>
      <c r="AK741" s="2096"/>
      <c r="AM741" s="72"/>
      <c r="BA741" s="72"/>
      <c r="BB741" s="72"/>
      <c r="BC741" s="72"/>
      <c r="BD741" s="72"/>
      <c r="BE741" s="72"/>
      <c r="BF741" s="72"/>
      <c r="BG741" s="1454">
        <f t="shared" si="46"/>
        <v>0</v>
      </c>
      <c r="BH741" s="1458">
        <f t="shared" si="47"/>
        <v>0</v>
      </c>
      <c r="BI741" s="1459" t="str">
        <f t="shared" si="48"/>
        <v xml:space="preserve"> </v>
      </c>
      <c r="BJ741" s="72"/>
      <c r="BK741" s="72"/>
      <c r="BL741" s="72"/>
      <c r="BM741" s="72"/>
      <c r="BN741" s="72"/>
      <c r="BO741" s="72"/>
      <c r="BP741" s="906" t="s">
        <v>895</v>
      </c>
      <c r="BQ741" s="905">
        <v>1220</v>
      </c>
      <c r="BR741" s="905">
        <v>1306</v>
      </c>
      <c r="BS741" s="905">
        <v>1570</v>
      </c>
      <c r="BT741" s="905">
        <v>1812</v>
      </c>
      <c r="BU741" s="905">
        <v>2022</v>
      </c>
      <c r="BV741" s="905">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2096"/>
      <c r="D742" s="2096"/>
      <c r="E742" s="2096"/>
      <c r="F742" s="2096"/>
      <c r="G742" s="2096"/>
      <c r="H742" s="2096"/>
      <c r="I742" s="2096"/>
      <c r="J742" s="2096"/>
      <c r="K742" s="2096"/>
      <c r="L742" s="2096"/>
      <c r="M742" s="2096"/>
      <c r="N742" s="2096"/>
      <c r="O742" s="2096"/>
      <c r="P742" s="2096"/>
      <c r="Q742" s="2096"/>
      <c r="R742" s="2096"/>
      <c r="S742" s="2096"/>
      <c r="T742" s="2096"/>
      <c r="U742" s="2096"/>
      <c r="V742" s="2096"/>
      <c r="W742" s="2096"/>
      <c r="X742" s="2096"/>
      <c r="Y742" s="2096"/>
      <c r="Z742" s="2096"/>
      <c r="AA742" s="2096"/>
      <c r="AB742" s="2096"/>
      <c r="AC742" s="2096"/>
      <c r="AD742" s="2096"/>
      <c r="AE742" s="2096"/>
      <c r="AF742" s="2096"/>
      <c r="AG742" s="2096"/>
      <c r="AH742" s="2096"/>
      <c r="AI742" s="2096"/>
      <c r="AJ742" s="2096"/>
      <c r="AK742" s="2096"/>
      <c r="AM742" s="72"/>
      <c r="BA742" s="72"/>
      <c r="BB742" s="72"/>
      <c r="BC742" s="72"/>
      <c r="BD742" s="72"/>
      <c r="BE742" s="72"/>
      <c r="BF742" s="72"/>
      <c r="BG742" s="1454">
        <f t="shared" si="46"/>
        <v>0</v>
      </c>
      <c r="BH742" s="1458">
        <f t="shared" si="47"/>
        <v>0</v>
      </c>
      <c r="BI742" s="1459" t="str">
        <f t="shared" si="48"/>
        <v xml:space="preserve"> </v>
      </c>
      <c r="BJ742" s="72"/>
      <c r="BK742" s="72"/>
      <c r="BL742" s="72"/>
      <c r="BM742" s="72"/>
      <c r="BN742" s="72"/>
      <c r="BO742" s="72"/>
      <c r="BP742" s="906" t="s">
        <v>896</v>
      </c>
      <c r="BQ742" s="905">
        <v>1220</v>
      </c>
      <c r="BR742" s="905">
        <v>1306</v>
      </c>
      <c r="BS742" s="905">
        <v>1570</v>
      </c>
      <c r="BT742" s="905">
        <v>1812</v>
      </c>
      <c r="BU742" s="905">
        <v>2022</v>
      </c>
      <c r="BV742" s="905">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2096"/>
      <c r="D743" s="2096"/>
      <c r="E743" s="2096"/>
      <c r="F743" s="2096"/>
      <c r="G743" s="2096"/>
      <c r="H743" s="2096"/>
      <c r="I743" s="2096"/>
      <c r="J743" s="2096"/>
      <c r="K743" s="2096"/>
      <c r="L743" s="2096"/>
      <c r="M743" s="2096"/>
      <c r="N743" s="2096"/>
      <c r="O743" s="2096"/>
      <c r="P743" s="2096"/>
      <c r="Q743" s="2096"/>
      <c r="R743" s="2096"/>
      <c r="S743" s="2096"/>
      <c r="T743" s="2096"/>
      <c r="U743" s="2096"/>
      <c r="V743" s="2096"/>
      <c r="W743" s="2096"/>
      <c r="X743" s="2096"/>
      <c r="Y743" s="2096"/>
      <c r="Z743" s="2096"/>
      <c r="AA743" s="2096"/>
      <c r="AB743" s="2096"/>
      <c r="AC743" s="2096"/>
      <c r="AD743" s="2096"/>
      <c r="AE743" s="2096"/>
      <c r="AF743" s="2096"/>
      <c r="AG743" s="2096"/>
      <c r="AH743" s="2096"/>
      <c r="AI743" s="2096"/>
      <c r="AJ743" s="2096"/>
      <c r="AK743" s="2096"/>
      <c r="AM743" s="72"/>
      <c r="BA743" s="72"/>
      <c r="BB743" s="72"/>
      <c r="BC743" s="72"/>
      <c r="BD743" s="72"/>
      <c r="BE743" s="72"/>
      <c r="BF743" s="72"/>
      <c r="BG743" s="1454">
        <f t="shared" si="46"/>
        <v>0</v>
      </c>
      <c r="BH743" s="1458">
        <f t="shared" si="47"/>
        <v>0</v>
      </c>
      <c r="BI743" s="1459" t="str">
        <f t="shared" si="48"/>
        <v xml:space="preserve"> </v>
      </c>
      <c r="BJ743" s="72"/>
      <c r="BK743" s="72"/>
      <c r="BL743" s="72"/>
      <c r="BM743" s="72"/>
      <c r="BN743" s="72"/>
      <c r="BO743" s="72"/>
      <c r="BP743" s="906" t="s">
        <v>22</v>
      </c>
      <c r="BQ743" s="905">
        <v>1302</v>
      </c>
      <c r="BR743" s="905">
        <v>1396</v>
      </c>
      <c r="BS743" s="905">
        <v>1674</v>
      </c>
      <c r="BT743" s="905">
        <v>1934</v>
      </c>
      <c r="BU743" s="905">
        <v>2160</v>
      </c>
      <c r="BV743" s="905">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2096"/>
      <c r="D744" s="2096"/>
      <c r="E744" s="2096"/>
      <c r="F744" s="2096"/>
      <c r="G744" s="2096"/>
      <c r="H744" s="2096"/>
      <c r="I744" s="2096"/>
      <c r="J744" s="2096"/>
      <c r="K744" s="2096"/>
      <c r="L744" s="2096"/>
      <c r="M744" s="2096"/>
      <c r="N744" s="2096"/>
      <c r="O744" s="2096"/>
      <c r="P744" s="2096"/>
      <c r="Q744" s="2096"/>
      <c r="R744" s="2096"/>
      <c r="S744" s="2096"/>
      <c r="T744" s="2096"/>
      <c r="U744" s="2096"/>
      <c r="V744" s="2096"/>
      <c r="W744" s="2096"/>
      <c r="X744" s="2096"/>
      <c r="Y744" s="2096"/>
      <c r="Z744" s="2096"/>
      <c r="AA744" s="2096"/>
      <c r="AB744" s="2096"/>
      <c r="AC744" s="2096"/>
      <c r="AD744" s="2096"/>
      <c r="AE744" s="2096"/>
      <c r="AF744" s="2096"/>
      <c r="AG744" s="2096"/>
      <c r="AH744" s="2096"/>
      <c r="AI744" s="2096"/>
      <c r="AJ744" s="2096"/>
      <c r="AK744" s="2096"/>
      <c r="AM744" s="72"/>
      <c r="BA744" s="72"/>
      <c r="BB744" s="72"/>
      <c r="BC744" s="72"/>
      <c r="BD744" s="72"/>
      <c r="BE744" s="72"/>
      <c r="BF744" s="72"/>
      <c r="BG744" s="1454">
        <f t="shared" si="46"/>
        <v>0</v>
      </c>
      <c r="BH744" s="1458">
        <f t="shared" si="47"/>
        <v>0</v>
      </c>
      <c r="BI744" s="1459" t="str">
        <f t="shared" si="48"/>
        <v xml:space="preserve"> </v>
      </c>
      <c r="BJ744" s="72"/>
      <c r="BK744" s="72"/>
      <c r="BL744" s="72"/>
      <c r="BM744" s="72"/>
      <c r="BN744" s="72"/>
      <c r="BO744" s="72"/>
      <c r="BP744" s="906" t="s">
        <v>897</v>
      </c>
      <c r="BQ744" s="905">
        <v>1962</v>
      </c>
      <c r="BR744" s="905">
        <v>2102</v>
      </c>
      <c r="BS744" s="905">
        <v>2522</v>
      </c>
      <c r="BT744" s="905">
        <v>2914</v>
      </c>
      <c r="BU744" s="905">
        <v>3252</v>
      </c>
      <c r="BV744" s="905">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2096"/>
      <c r="D745" s="2096"/>
      <c r="E745" s="2096"/>
      <c r="F745" s="2096"/>
      <c r="G745" s="2096"/>
      <c r="H745" s="2096"/>
      <c r="I745" s="2096"/>
      <c r="J745" s="2096"/>
      <c r="K745" s="2096"/>
      <c r="L745" s="2096"/>
      <c r="M745" s="2096"/>
      <c r="N745" s="2096"/>
      <c r="O745" s="2096"/>
      <c r="P745" s="2096"/>
      <c r="Q745" s="2096"/>
      <c r="R745" s="2096"/>
      <c r="S745" s="2096"/>
      <c r="T745" s="2096"/>
      <c r="U745" s="2096"/>
      <c r="V745" s="2096"/>
      <c r="W745" s="2096"/>
      <c r="X745" s="2096"/>
      <c r="Y745" s="2096"/>
      <c r="Z745" s="2096"/>
      <c r="AA745" s="2096"/>
      <c r="AB745" s="2096"/>
      <c r="AC745" s="2096"/>
      <c r="AD745" s="2096"/>
      <c r="AE745" s="2096"/>
      <c r="AF745" s="2096"/>
      <c r="AG745" s="2096"/>
      <c r="AH745" s="2096"/>
      <c r="AI745" s="2096"/>
      <c r="AJ745" s="2096"/>
      <c r="AK745" s="2096"/>
      <c r="AM745" s="72"/>
      <c r="BA745" s="72"/>
      <c r="BB745" s="72"/>
      <c r="BC745" s="72"/>
      <c r="BD745" s="72"/>
      <c r="BE745" s="72"/>
      <c r="BF745" s="72"/>
      <c r="BG745" s="1457">
        <f t="shared" si="46"/>
        <v>0</v>
      </c>
      <c r="BH745" s="1458">
        <f t="shared" si="47"/>
        <v>0</v>
      </c>
      <c r="BI745" s="1459" t="str">
        <f t="shared" si="48"/>
        <v xml:space="preserve"> </v>
      </c>
      <c r="BJ745" s="72"/>
      <c r="BK745" s="72"/>
      <c r="BL745" s="72"/>
      <c r="BM745" s="72"/>
      <c r="BN745" s="72"/>
      <c r="BO745" s="72"/>
      <c r="BP745" s="906" t="s">
        <v>898</v>
      </c>
      <c r="BQ745" s="905">
        <v>1552</v>
      </c>
      <c r="BR745" s="905">
        <v>1662</v>
      </c>
      <c r="BS745" s="905">
        <v>1994</v>
      </c>
      <c r="BT745" s="905">
        <v>2302</v>
      </c>
      <c r="BU745" s="905">
        <v>2570</v>
      </c>
      <c r="BV745" s="905">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2096"/>
      <c r="D746" s="2096"/>
      <c r="E746" s="2096"/>
      <c r="F746" s="2096"/>
      <c r="G746" s="2096"/>
      <c r="H746" s="2096"/>
      <c r="I746" s="2096"/>
      <c r="J746" s="2096"/>
      <c r="K746" s="2096"/>
      <c r="L746" s="2096"/>
      <c r="M746" s="2096"/>
      <c r="N746" s="2096"/>
      <c r="O746" s="2096"/>
      <c r="P746" s="2096"/>
      <c r="Q746" s="2096"/>
      <c r="R746" s="2096"/>
      <c r="S746" s="2096"/>
      <c r="T746" s="2096"/>
      <c r="U746" s="2096"/>
      <c r="V746" s="2096"/>
      <c r="W746" s="2096"/>
      <c r="X746" s="2096"/>
      <c r="Y746" s="2096"/>
      <c r="Z746" s="2096"/>
      <c r="AA746" s="2096"/>
      <c r="AB746" s="2096"/>
      <c r="AC746" s="2096"/>
      <c r="AD746" s="2096"/>
      <c r="AE746" s="2096"/>
      <c r="AF746" s="2096"/>
      <c r="AG746" s="2096"/>
      <c r="AH746" s="2096"/>
      <c r="AI746" s="2096"/>
      <c r="AJ746" s="2096"/>
      <c r="AK746" s="2096"/>
      <c r="AM746" s="72"/>
      <c r="BA746" s="72"/>
      <c r="BB746" s="72"/>
      <c r="BC746" s="72"/>
      <c r="BD746" s="72"/>
      <c r="BE746" s="72"/>
      <c r="BF746" s="72"/>
      <c r="BG746" s="1455">
        <f>SUM(BG721:BG745)</f>
        <v>59</v>
      </c>
      <c r="BH746" s="1456">
        <f>SUM(BH721:BH745)</f>
        <v>1.0000000000000002</v>
      </c>
      <c r="BI746" s="1456">
        <f>SUM(BI721:BI745)</f>
        <v>0.4999713311343652</v>
      </c>
      <c r="BJ746" s="72"/>
      <c r="BK746" s="72"/>
      <c r="BL746" s="72"/>
      <c r="BM746" s="72"/>
      <c r="BN746" s="72"/>
      <c r="BO746" s="72"/>
      <c r="BP746" s="906" t="s">
        <v>899</v>
      </c>
      <c r="BQ746" s="905">
        <v>1220</v>
      </c>
      <c r="BR746" s="905">
        <v>1306</v>
      </c>
      <c r="BS746" s="905">
        <v>1570</v>
      </c>
      <c r="BT746" s="905">
        <v>1812</v>
      </c>
      <c r="BU746" s="905">
        <v>2022</v>
      </c>
      <c r="BV746" s="905">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7"/>
      <c r="BQ747" s="501"/>
      <c r="BR747" s="728"/>
      <c r="BS747" s="728"/>
      <c r="BT747" s="728"/>
      <c r="BU747" s="728"/>
      <c r="BV747" s="728"/>
      <c r="BW747" s="728"/>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800" t="s">
        <v>59</v>
      </c>
      <c r="K748" s="1801"/>
      <c r="L748" s="1801"/>
      <c r="M748" s="1801"/>
      <c r="N748" s="1802"/>
      <c r="O748" s="1953" t="s">
        <v>284</v>
      </c>
      <c r="P748" s="1953"/>
      <c r="Q748" s="1953"/>
      <c r="R748" s="1953"/>
      <c r="S748" s="1953"/>
      <c r="T748" s="1963" t="s">
        <v>2289</v>
      </c>
      <c r="U748" s="1964"/>
      <c r="V748" s="1964"/>
      <c r="W748" s="1965"/>
      <c r="X748" s="1800" t="s">
        <v>655</v>
      </c>
      <c r="Y748" s="1801"/>
      <c r="Z748" s="1801"/>
      <c r="AA748" s="1801"/>
      <c r="AB748" s="1802"/>
      <c r="AC748" s="1800" t="s">
        <v>285</v>
      </c>
      <c r="AD748" s="1801"/>
      <c r="AE748" s="1801"/>
      <c r="AF748" s="1801"/>
      <c r="AG748" s="1802"/>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803"/>
      <c r="K749" s="1804"/>
      <c r="L749" s="1804"/>
      <c r="M749" s="1804"/>
      <c r="N749" s="1805"/>
      <c r="O749" s="1953"/>
      <c r="P749" s="1953"/>
      <c r="Q749" s="1953"/>
      <c r="R749" s="1953"/>
      <c r="S749" s="1953"/>
      <c r="T749" s="1966"/>
      <c r="U749" s="1967"/>
      <c r="V749" s="1967"/>
      <c r="W749" s="1968"/>
      <c r="X749" s="1803"/>
      <c r="Y749" s="1804"/>
      <c r="Z749" s="1804"/>
      <c r="AA749" s="1804"/>
      <c r="AB749" s="1805"/>
      <c r="AC749" s="1803"/>
      <c r="AD749" s="1804"/>
      <c r="AE749" s="1804"/>
      <c r="AF749" s="1804"/>
      <c r="AG749" s="1805"/>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803"/>
      <c r="K750" s="1804"/>
      <c r="L750" s="1804"/>
      <c r="M750" s="1804"/>
      <c r="N750" s="1805"/>
      <c r="O750" s="1953"/>
      <c r="P750" s="1953"/>
      <c r="Q750" s="1953"/>
      <c r="R750" s="1953"/>
      <c r="S750" s="1953"/>
      <c r="T750" s="1966"/>
      <c r="U750" s="1967"/>
      <c r="V750" s="1967"/>
      <c r="W750" s="1968"/>
      <c r="X750" s="1803"/>
      <c r="Y750" s="1804"/>
      <c r="Z750" s="1804"/>
      <c r="AA750" s="1804"/>
      <c r="AB750" s="1805"/>
      <c r="AC750" s="1803"/>
      <c r="AD750" s="1804"/>
      <c r="AE750" s="1804"/>
      <c r="AF750" s="1804"/>
      <c r="AG750" s="1805"/>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806"/>
      <c r="K751" s="1807"/>
      <c r="L751" s="1807"/>
      <c r="M751" s="1807"/>
      <c r="N751" s="1808"/>
      <c r="O751" s="1953"/>
      <c r="P751" s="1953"/>
      <c r="Q751" s="1953"/>
      <c r="R751" s="1953"/>
      <c r="S751" s="1953"/>
      <c r="T751" s="1969"/>
      <c r="U751" s="1970"/>
      <c r="V751" s="1970"/>
      <c r="W751" s="1971"/>
      <c r="X751" s="1806"/>
      <c r="Y751" s="1807"/>
      <c r="Z751" s="1807"/>
      <c r="AA751" s="1807"/>
      <c r="AB751" s="1808"/>
      <c r="AC751" s="1806"/>
      <c r="AD751" s="1807"/>
      <c r="AE751" s="1807"/>
      <c r="AF751" s="1807"/>
      <c r="AG751" s="1808"/>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777" t="s">
        <v>854</v>
      </c>
      <c r="K752" s="1778"/>
      <c r="L752" s="1778"/>
      <c r="M752" s="1778"/>
      <c r="N752" s="1779"/>
      <c r="O752" s="1784">
        <v>1</v>
      </c>
      <c r="P752" s="1784"/>
      <c r="Q752" s="1784"/>
      <c r="R752" s="1784"/>
      <c r="S752" s="1784"/>
      <c r="T752" s="1785">
        <v>1116</v>
      </c>
      <c r="U752" s="1786"/>
      <c r="V752" s="1786"/>
      <c r="W752" s="1787"/>
      <c r="X752" s="1788">
        <v>0</v>
      </c>
      <c r="Y752" s="1789"/>
      <c r="Z752" s="1789"/>
      <c r="AA752" s="1789"/>
      <c r="AB752" s="1790"/>
      <c r="AC752" s="1791">
        <f>X752*O752</f>
        <v>0</v>
      </c>
      <c r="AD752" s="1792"/>
      <c r="AE752" s="1792"/>
      <c r="AF752" s="1792"/>
      <c r="AG752" s="1793"/>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77"/>
      <c r="K753" s="1778"/>
      <c r="L753" s="1778"/>
      <c r="M753" s="1778"/>
      <c r="N753" s="1779"/>
      <c r="O753" s="1784"/>
      <c r="P753" s="1784"/>
      <c r="Q753" s="1784"/>
      <c r="R753" s="1784"/>
      <c r="S753" s="1784"/>
      <c r="T753" s="1785"/>
      <c r="U753" s="1786"/>
      <c r="V753" s="1786"/>
      <c r="W753" s="1787"/>
      <c r="X753" s="1788"/>
      <c r="Y753" s="1789"/>
      <c r="Z753" s="1789"/>
      <c r="AA753" s="1789"/>
      <c r="AB753" s="1790"/>
      <c r="AC753" s="1791">
        <f>X753*O753</f>
        <v>0</v>
      </c>
      <c r="AD753" s="1792"/>
      <c r="AE753" s="1792"/>
      <c r="AF753" s="1792"/>
      <c r="AG753" s="1793"/>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77"/>
      <c r="K754" s="1778"/>
      <c r="L754" s="1778"/>
      <c r="M754" s="1778"/>
      <c r="N754" s="1779"/>
      <c r="O754" s="1784"/>
      <c r="P754" s="1784"/>
      <c r="Q754" s="1784"/>
      <c r="R754" s="1784"/>
      <c r="S754" s="1784"/>
      <c r="T754" s="1785"/>
      <c r="U754" s="1786"/>
      <c r="V754" s="1786"/>
      <c r="W754" s="1787"/>
      <c r="X754" s="1788"/>
      <c r="Y754" s="1789"/>
      <c r="Z754" s="1789"/>
      <c r="AA754" s="1789"/>
      <c r="AB754" s="1790"/>
      <c r="AC754" s="1791">
        <f>X754*O754</f>
        <v>0</v>
      </c>
      <c r="AD754" s="1792"/>
      <c r="AE754" s="1792"/>
      <c r="AF754" s="1792"/>
      <c r="AG754" s="1793"/>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777"/>
      <c r="K755" s="1778"/>
      <c r="L755" s="1778"/>
      <c r="M755" s="1778"/>
      <c r="N755" s="1779"/>
      <c r="O755" s="1784"/>
      <c r="P755" s="1784"/>
      <c r="Q755" s="1784"/>
      <c r="R755" s="1784"/>
      <c r="S755" s="1784"/>
      <c r="T755" s="1785"/>
      <c r="U755" s="1786"/>
      <c r="V755" s="1786"/>
      <c r="W755" s="1787"/>
      <c r="X755" s="1788"/>
      <c r="Y755" s="1789"/>
      <c r="Z755" s="1789"/>
      <c r="AA755" s="1789"/>
      <c r="AB755" s="1790"/>
      <c r="AC755" s="1791">
        <f>X755*O755</f>
        <v>0</v>
      </c>
      <c r="AD755" s="1792"/>
      <c r="AE755" s="1792"/>
      <c r="AF755" s="1792"/>
      <c r="AG755" s="1793"/>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95" t="s">
        <v>976</v>
      </c>
      <c r="K756" s="1796"/>
      <c r="L756" s="1796"/>
      <c r="M756" s="1796"/>
      <c r="N756" s="1797"/>
      <c r="O756" s="2083">
        <f>SUM(O752:S755)</f>
        <v>1</v>
      </c>
      <c r="P756" s="2084"/>
      <c r="Q756" s="2084"/>
      <c r="R756" s="2084"/>
      <c r="S756" s="2085"/>
      <c r="X756" s="2165" t="s">
        <v>975</v>
      </c>
      <c r="Y756" s="2166"/>
      <c r="Z756" s="2166"/>
      <c r="AA756" s="2166"/>
      <c r="AB756" s="2167"/>
      <c r="AC756" s="1791">
        <f>SUM(AC752:AG755)</f>
        <v>0</v>
      </c>
      <c r="AD756" s="1792"/>
      <c r="AE756" s="1792"/>
      <c r="AF756" s="1792"/>
      <c r="AG756" s="1793"/>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67"/>
      <c r="Z757" s="468"/>
      <c r="AA757" s="468"/>
      <c r="AB757" s="468"/>
      <c r="AC757" s="468"/>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809" t="s">
        <v>531</v>
      </c>
      <c r="K758" s="1809"/>
      <c r="L758" s="105"/>
      <c r="M758" s="806" t="s">
        <v>1399</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806" t="s">
        <v>1400</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131</v>
      </c>
      <c r="B760" s="107"/>
      <c r="C760" s="107" t="s">
        <v>288</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800" t="s">
        <v>59</v>
      </c>
      <c r="K762" s="1801"/>
      <c r="L762" s="1801"/>
      <c r="M762" s="1801"/>
      <c r="N762" s="1802"/>
      <c r="O762" s="1953" t="s">
        <v>284</v>
      </c>
      <c r="P762" s="1953"/>
      <c r="Q762" s="1953"/>
      <c r="R762" s="1953"/>
      <c r="S762" s="1953"/>
      <c r="T762" s="1963" t="s">
        <v>2289</v>
      </c>
      <c r="U762" s="1964"/>
      <c r="V762" s="1964"/>
      <c r="W762" s="1965"/>
      <c r="X762" s="1800" t="s">
        <v>655</v>
      </c>
      <c r="Y762" s="1801"/>
      <c r="Z762" s="1801"/>
      <c r="AA762" s="1801"/>
      <c r="AB762" s="1802"/>
      <c r="AC762" s="1800" t="s">
        <v>285</v>
      </c>
      <c r="AD762" s="1801"/>
      <c r="AE762" s="1801"/>
      <c r="AF762" s="1801"/>
      <c r="AG762" s="180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803"/>
      <c r="K763" s="1804"/>
      <c r="L763" s="1804"/>
      <c r="M763" s="1804"/>
      <c r="N763" s="1805"/>
      <c r="O763" s="1953"/>
      <c r="P763" s="1953"/>
      <c r="Q763" s="1953"/>
      <c r="R763" s="1953"/>
      <c r="S763" s="1953"/>
      <c r="T763" s="1966"/>
      <c r="U763" s="1967"/>
      <c r="V763" s="1967"/>
      <c r="W763" s="1968"/>
      <c r="X763" s="1803"/>
      <c r="Y763" s="1804"/>
      <c r="Z763" s="1804"/>
      <c r="AA763" s="1804"/>
      <c r="AB763" s="1805"/>
      <c r="AC763" s="1803"/>
      <c r="AD763" s="1804"/>
      <c r="AE763" s="1804"/>
      <c r="AF763" s="1804"/>
      <c r="AG763" s="1805"/>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803"/>
      <c r="K764" s="1804"/>
      <c r="L764" s="1804"/>
      <c r="M764" s="1804"/>
      <c r="N764" s="1805"/>
      <c r="O764" s="1953"/>
      <c r="P764" s="1953"/>
      <c r="Q764" s="1953"/>
      <c r="R764" s="1953"/>
      <c r="S764" s="1953"/>
      <c r="T764" s="1966"/>
      <c r="U764" s="1967"/>
      <c r="V764" s="1967"/>
      <c r="W764" s="1968"/>
      <c r="X764" s="1803"/>
      <c r="Y764" s="1804"/>
      <c r="Z764" s="1804"/>
      <c r="AA764" s="1804"/>
      <c r="AB764" s="1805"/>
      <c r="AC764" s="1803"/>
      <c r="AD764" s="1804"/>
      <c r="AE764" s="1804"/>
      <c r="AF764" s="1804"/>
      <c r="AG764" s="1805"/>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806"/>
      <c r="K765" s="1807"/>
      <c r="L765" s="1807"/>
      <c r="M765" s="1807"/>
      <c r="N765" s="1808"/>
      <c r="O765" s="1953"/>
      <c r="P765" s="1953"/>
      <c r="Q765" s="1953"/>
      <c r="R765" s="1953"/>
      <c r="S765" s="1953"/>
      <c r="T765" s="1969"/>
      <c r="U765" s="1970"/>
      <c r="V765" s="1970"/>
      <c r="W765" s="1971"/>
      <c r="X765" s="1806"/>
      <c r="Y765" s="1807"/>
      <c r="Z765" s="1807"/>
      <c r="AA765" s="1807"/>
      <c r="AB765" s="1808"/>
      <c r="AC765" s="1806"/>
      <c r="AD765" s="1807"/>
      <c r="AE765" s="1807"/>
      <c r="AF765" s="1807"/>
      <c r="AG765" s="1808"/>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77"/>
      <c r="K766" s="1778"/>
      <c r="L766" s="1778"/>
      <c r="M766" s="1778"/>
      <c r="N766" s="1779"/>
      <c r="O766" s="1784"/>
      <c r="P766" s="1784"/>
      <c r="Q766" s="1784"/>
      <c r="R766" s="1784"/>
      <c r="S766" s="1784"/>
      <c r="T766" s="1785"/>
      <c r="U766" s="1786"/>
      <c r="V766" s="1786"/>
      <c r="W766" s="1787"/>
      <c r="X766" s="1788"/>
      <c r="Y766" s="1789"/>
      <c r="Z766" s="1789"/>
      <c r="AA766" s="1789"/>
      <c r="AB766" s="1790"/>
      <c r="AC766" s="1791">
        <f t="shared" ref="AC766:AC775" si="50">X766*O766</f>
        <v>0</v>
      </c>
      <c r="AD766" s="1792"/>
      <c r="AE766" s="1792"/>
      <c r="AF766" s="1792"/>
      <c r="AG766" s="1793"/>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77"/>
      <c r="K767" s="1778"/>
      <c r="L767" s="1778"/>
      <c r="M767" s="1778"/>
      <c r="N767" s="1779"/>
      <c r="O767" s="1784"/>
      <c r="P767" s="1784"/>
      <c r="Q767" s="1784"/>
      <c r="R767" s="1784"/>
      <c r="S767" s="1784"/>
      <c r="T767" s="1785"/>
      <c r="U767" s="1786"/>
      <c r="V767" s="1786"/>
      <c r="W767" s="1787"/>
      <c r="X767" s="1788"/>
      <c r="Y767" s="1789"/>
      <c r="Z767" s="1789"/>
      <c r="AA767" s="1789"/>
      <c r="AB767" s="1790"/>
      <c r="AC767" s="1791">
        <f t="shared" si="50"/>
        <v>0</v>
      </c>
      <c r="AD767" s="1792"/>
      <c r="AE767" s="1792"/>
      <c r="AF767" s="1792"/>
      <c r="AG767" s="1793"/>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77"/>
      <c r="K768" s="1778"/>
      <c r="L768" s="1778"/>
      <c r="M768" s="1778"/>
      <c r="N768" s="1779"/>
      <c r="O768" s="1784"/>
      <c r="P768" s="1784"/>
      <c r="Q768" s="1784"/>
      <c r="R768" s="1784"/>
      <c r="S768" s="1784"/>
      <c r="T768" s="1785"/>
      <c r="U768" s="1786"/>
      <c r="V768" s="1786"/>
      <c r="W768" s="1787"/>
      <c r="X768" s="1788"/>
      <c r="Y768" s="1789"/>
      <c r="Z768" s="1789"/>
      <c r="AA768" s="1789"/>
      <c r="AB768" s="1790"/>
      <c r="AC768" s="1791">
        <f t="shared" si="50"/>
        <v>0</v>
      </c>
      <c r="AD768" s="1792"/>
      <c r="AE768" s="1792"/>
      <c r="AF768" s="1792"/>
      <c r="AG768" s="1793"/>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77"/>
      <c r="K769" s="1778"/>
      <c r="L769" s="1778"/>
      <c r="M769" s="1778"/>
      <c r="N769" s="1779"/>
      <c r="O769" s="1784"/>
      <c r="P769" s="1784"/>
      <c r="Q769" s="1784"/>
      <c r="R769" s="1784"/>
      <c r="S769" s="1784"/>
      <c r="T769" s="1785"/>
      <c r="U769" s="1786"/>
      <c r="V769" s="1786"/>
      <c r="W769" s="1787"/>
      <c r="X769" s="1788"/>
      <c r="Y769" s="1789"/>
      <c r="Z769" s="1789"/>
      <c r="AA769" s="1789"/>
      <c r="AB769" s="1790"/>
      <c r="AC769" s="1791">
        <f t="shared" si="50"/>
        <v>0</v>
      </c>
      <c r="AD769" s="1792"/>
      <c r="AE769" s="1792"/>
      <c r="AF769" s="1792"/>
      <c r="AG769" s="1793"/>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77"/>
      <c r="K770" s="1778"/>
      <c r="L770" s="1778"/>
      <c r="M770" s="1778"/>
      <c r="N770" s="1779"/>
      <c r="O770" s="1784"/>
      <c r="P770" s="1784"/>
      <c r="Q770" s="1784"/>
      <c r="R770" s="1784"/>
      <c r="S770" s="1784"/>
      <c r="T770" s="1785"/>
      <c r="U770" s="1786"/>
      <c r="V770" s="1786"/>
      <c r="W770" s="1787"/>
      <c r="X770" s="1788"/>
      <c r="Y770" s="1789"/>
      <c r="Z770" s="1789"/>
      <c r="AA770" s="1789"/>
      <c r="AB770" s="1790"/>
      <c r="AC770" s="1791">
        <f t="shared" si="50"/>
        <v>0</v>
      </c>
      <c r="AD770" s="1792"/>
      <c r="AE770" s="1792"/>
      <c r="AF770" s="1792"/>
      <c r="AG770" s="1793"/>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77"/>
      <c r="K771" s="1778"/>
      <c r="L771" s="1778"/>
      <c r="M771" s="1778"/>
      <c r="N771" s="1779"/>
      <c r="O771" s="1784"/>
      <c r="P771" s="1784"/>
      <c r="Q771" s="1784"/>
      <c r="R771" s="1784"/>
      <c r="S771" s="1784"/>
      <c r="T771" s="1785"/>
      <c r="U771" s="1786"/>
      <c r="V771" s="1786"/>
      <c r="W771" s="1787"/>
      <c r="X771" s="1788"/>
      <c r="Y771" s="1789"/>
      <c r="Z771" s="1789"/>
      <c r="AA771" s="1789"/>
      <c r="AB771" s="1790"/>
      <c r="AC771" s="1791">
        <f t="shared" si="50"/>
        <v>0</v>
      </c>
      <c r="AD771" s="1792"/>
      <c r="AE771" s="1792"/>
      <c r="AF771" s="1792"/>
      <c r="AG771" s="1793"/>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77"/>
      <c r="K772" s="1778"/>
      <c r="L772" s="1778"/>
      <c r="M772" s="1778"/>
      <c r="N772" s="1779"/>
      <c r="O772" s="1784"/>
      <c r="P772" s="1784"/>
      <c r="Q772" s="1784"/>
      <c r="R772" s="1784"/>
      <c r="S772" s="1784"/>
      <c r="T772" s="1785"/>
      <c r="U772" s="1786"/>
      <c r="V772" s="1786"/>
      <c r="W772" s="1787"/>
      <c r="X772" s="1788"/>
      <c r="Y772" s="1789"/>
      <c r="Z772" s="1789"/>
      <c r="AA772" s="1789"/>
      <c r="AB772" s="1790"/>
      <c r="AC772" s="1791">
        <f t="shared" si="50"/>
        <v>0</v>
      </c>
      <c r="AD772" s="1792"/>
      <c r="AE772" s="1792"/>
      <c r="AF772" s="1792"/>
      <c r="AG772" s="1793"/>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777"/>
      <c r="K773" s="1778"/>
      <c r="L773" s="1778"/>
      <c r="M773" s="1778"/>
      <c r="N773" s="1779"/>
      <c r="O773" s="1784"/>
      <c r="P773" s="1784"/>
      <c r="Q773" s="1784"/>
      <c r="R773" s="1784"/>
      <c r="S773" s="1784"/>
      <c r="T773" s="1785"/>
      <c r="U773" s="1786"/>
      <c r="V773" s="1786"/>
      <c r="W773" s="1787"/>
      <c r="X773" s="1788"/>
      <c r="Y773" s="1789"/>
      <c r="Z773" s="1789"/>
      <c r="AA773" s="1789"/>
      <c r="AB773" s="1790"/>
      <c r="AC773" s="1791">
        <f t="shared" si="50"/>
        <v>0</v>
      </c>
      <c r="AD773" s="1792"/>
      <c r="AE773" s="1792"/>
      <c r="AF773" s="1792"/>
      <c r="AG773" s="1793"/>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777"/>
      <c r="K774" s="1778"/>
      <c r="L774" s="1778"/>
      <c r="M774" s="1778"/>
      <c r="N774" s="1779"/>
      <c r="O774" s="1784"/>
      <c r="P774" s="1784"/>
      <c r="Q774" s="1784"/>
      <c r="R774" s="1784"/>
      <c r="S774" s="1784"/>
      <c r="T774" s="1785"/>
      <c r="U774" s="1786"/>
      <c r="V774" s="1786"/>
      <c r="W774" s="1787"/>
      <c r="X774" s="1788"/>
      <c r="Y774" s="1789"/>
      <c r="Z774" s="1789"/>
      <c r="AA774" s="1789"/>
      <c r="AB774" s="1790"/>
      <c r="AC774" s="1791">
        <f t="shared" si="50"/>
        <v>0</v>
      </c>
      <c r="AD774" s="1792"/>
      <c r="AE774" s="1792"/>
      <c r="AF774" s="1792"/>
      <c r="AG774" s="1793"/>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77"/>
      <c r="K775" s="1778"/>
      <c r="L775" s="1778"/>
      <c r="M775" s="1778"/>
      <c r="N775" s="1779"/>
      <c r="O775" s="1784"/>
      <c r="P775" s="1784"/>
      <c r="Q775" s="1784"/>
      <c r="R775" s="1784"/>
      <c r="S775" s="1784"/>
      <c r="T775" s="1785"/>
      <c r="U775" s="1786"/>
      <c r="V775" s="1786"/>
      <c r="W775" s="1787"/>
      <c r="X775" s="1788"/>
      <c r="Y775" s="1789"/>
      <c r="Z775" s="1789"/>
      <c r="AA775" s="1789"/>
      <c r="AB775" s="1790"/>
      <c r="AC775" s="1791">
        <f t="shared" si="50"/>
        <v>0</v>
      </c>
      <c r="AD775" s="1792"/>
      <c r="AE775" s="1792"/>
      <c r="AF775" s="1792"/>
      <c r="AG775" s="1793"/>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4.1" customHeight="1">
      <c r="J776" s="1795" t="s">
        <v>976</v>
      </c>
      <c r="K776" s="1796"/>
      <c r="L776" s="1796"/>
      <c r="M776" s="1796"/>
      <c r="N776" s="1797"/>
      <c r="O776" s="1870">
        <f>SUM(O766:S775)</f>
        <v>0</v>
      </c>
      <c r="P776" s="1870"/>
      <c r="Q776" s="1870"/>
      <c r="R776" s="1870"/>
      <c r="S776" s="1870"/>
      <c r="X776" s="1460" t="s">
        <v>975</v>
      </c>
      <c r="Y776" s="255"/>
      <c r="Z776" s="255"/>
      <c r="AA776" s="255"/>
      <c r="AB776" s="1461"/>
      <c r="AC776" s="1791">
        <f>SUM(AC766:AG775)</f>
        <v>0</v>
      </c>
      <c r="AD776" s="1792"/>
      <c r="AE776" s="1792"/>
      <c r="AF776" s="1792"/>
      <c r="AG776" s="1793"/>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851</v>
      </c>
      <c r="Y778" s="1722">
        <f>T731+AC756+AC776</f>
        <v>43443</v>
      </c>
      <c r="Z778" s="1722"/>
      <c r="AA778" s="1722"/>
      <c r="AB778" s="1722"/>
      <c r="AC778" s="1722"/>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852</v>
      </c>
      <c r="Y779" s="1722">
        <f>(T731+AC756+AC776)*12</f>
        <v>521316</v>
      </c>
      <c r="Z779" s="1722"/>
      <c r="AA779" s="1722"/>
      <c r="AB779" s="1722"/>
      <c r="AC779" s="1722"/>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4.1" customHeight="1">
      <c r="A781" s="63" t="s">
        <v>134</v>
      </c>
      <c r="B781" s="63"/>
      <c r="C781" s="63" t="s">
        <v>168</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1298</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363</v>
      </c>
      <c r="I784" s="91"/>
      <c r="J784" s="91"/>
      <c r="K784" s="91"/>
      <c r="L784" s="91"/>
      <c r="M784" s="91"/>
      <c r="N784" s="91"/>
      <c r="O784" s="91"/>
      <c r="P784" s="91"/>
      <c r="Q784" s="91"/>
      <c r="R784" s="91"/>
      <c r="S784" s="91"/>
      <c r="T784" s="91"/>
      <c r="U784" s="91"/>
      <c r="V784" s="91"/>
      <c r="W784" s="91"/>
      <c r="X784" s="91"/>
      <c r="Y784" s="91"/>
      <c r="Z784" s="2107">
        <v>15</v>
      </c>
      <c r="AA784" s="2101"/>
      <c r="AB784" s="2101"/>
      <c r="AC784" s="2101"/>
      <c r="AD784" s="2101"/>
      <c r="AE784" s="2102"/>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364</v>
      </c>
      <c r="I785" s="91"/>
      <c r="J785" s="91"/>
      <c r="K785" s="91"/>
      <c r="L785" s="91"/>
      <c r="M785" s="91"/>
      <c r="N785" s="91"/>
      <c r="O785" s="91"/>
      <c r="P785" s="91"/>
      <c r="Q785" s="91"/>
      <c r="R785" s="91"/>
      <c r="S785" s="91"/>
      <c r="T785" s="91"/>
      <c r="U785" s="91"/>
      <c r="V785" s="91"/>
      <c r="W785" s="91"/>
      <c r="X785" s="91"/>
      <c r="Y785" s="91"/>
      <c r="Z785" s="2100">
        <v>20</v>
      </c>
      <c r="AA785" s="2101"/>
      <c r="AB785" s="2101"/>
      <c r="AC785" s="2101"/>
      <c r="AD785" s="2101"/>
      <c r="AE785" s="2102"/>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755</v>
      </c>
      <c r="I786" s="91"/>
      <c r="J786" s="91"/>
      <c r="K786" s="91"/>
      <c r="L786" s="91"/>
      <c r="M786" s="91"/>
      <c r="N786" s="91"/>
      <c r="O786" s="91"/>
      <c r="P786" s="91"/>
      <c r="Q786" s="91"/>
      <c r="R786" s="91"/>
      <c r="S786" s="91"/>
      <c r="T786" s="91"/>
      <c r="U786" s="91"/>
      <c r="V786" s="91"/>
      <c r="W786" s="91"/>
      <c r="X786" s="91"/>
      <c r="Y786" s="91"/>
      <c r="Z786" s="2170">
        <v>52475</v>
      </c>
      <c r="AA786" s="1766"/>
      <c r="AB786" s="1766"/>
      <c r="AC786" s="1766"/>
      <c r="AD786" s="1766"/>
      <c r="AE786" s="1767"/>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849</v>
      </c>
      <c r="Z787" s="1719">
        <f>'Subsidy Contract Calculation'!I30</f>
        <v>76428</v>
      </c>
      <c r="AA787" s="1720"/>
      <c r="AB787" s="1720"/>
      <c r="AC787" s="1720"/>
      <c r="AD787" s="1720"/>
      <c r="AE787" s="1721"/>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135</v>
      </c>
      <c r="B789" s="63"/>
      <c r="C789" s="63" t="s">
        <v>289</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756</v>
      </c>
      <c r="I791" s="91"/>
      <c r="J791" s="91"/>
      <c r="K791" s="91"/>
      <c r="L791" s="91"/>
      <c r="M791" s="91"/>
      <c r="N791" s="91"/>
      <c r="O791" s="91"/>
      <c r="P791" s="91"/>
      <c r="Q791" s="91"/>
      <c r="R791" s="91"/>
      <c r="S791" s="91"/>
      <c r="T791" s="91"/>
      <c r="U791" s="91"/>
      <c r="V791" s="91"/>
      <c r="W791" s="91"/>
      <c r="X791" s="91"/>
      <c r="Y791" s="91"/>
      <c r="Z791" s="1709">
        <v>4160</v>
      </c>
      <c r="AA791" s="1710"/>
      <c r="AB791" s="1710"/>
      <c r="AC791" s="1710"/>
      <c r="AD791" s="1710"/>
      <c r="AE791" s="1711"/>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757</v>
      </c>
      <c r="I792" s="91"/>
      <c r="J792" s="91"/>
      <c r="K792" s="91"/>
      <c r="L792" s="91"/>
      <c r="M792" s="91"/>
      <c r="N792" s="91"/>
      <c r="O792" s="91"/>
      <c r="P792" s="91"/>
      <c r="Q792" s="91"/>
      <c r="R792" s="91"/>
      <c r="S792" s="91"/>
      <c r="T792" s="91"/>
      <c r="U792" s="91"/>
      <c r="V792" s="91"/>
      <c r="W792" s="91"/>
      <c r="X792" s="91"/>
      <c r="Y792" s="91"/>
      <c r="Z792" s="1709"/>
      <c r="AA792" s="1710"/>
      <c r="AB792" s="1710"/>
      <c r="AC792" s="1710"/>
      <c r="AD792" s="1710"/>
      <c r="AE792" s="1711"/>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758</v>
      </c>
      <c r="I793" s="91"/>
      <c r="J793" s="91"/>
      <c r="K793" s="91"/>
      <c r="L793" s="91"/>
      <c r="M793" s="91"/>
      <c r="N793" s="91"/>
      <c r="O793" s="91"/>
      <c r="P793" s="91"/>
      <c r="Q793" s="91"/>
      <c r="R793" s="91"/>
      <c r="S793" s="91"/>
      <c r="T793" s="91"/>
      <c r="U793" s="91"/>
      <c r="V793" s="91"/>
      <c r="W793" s="91"/>
      <c r="X793" s="91"/>
      <c r="Y793" s="91"/>
      <c r="Z793" s="1709"/>
      <c r="AA793" s="1710"/>
      <c r="AB793" s="1710"/>
      <c r="AC793" s="1710"/>
      <c r="AD793" s="1710"/>
      <c r="AE793" s="1711"/>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759</v>
      </c>
      <c r="I794" s="91"/>
      <c r="J794" s="91"/>
      <c r="K794" s="91"/>
      <c r="L794" s="91"/>
      <c r="M794" s="91"/>
      <c r="N794" s="91"/>
      <c r="O794" s="91"/>
      <c r="P794" s="1723" t="s">
        <v>622</v>
      </c>
      <c r="Q794" s="1724"/>
      <c r="R794" s="1724"/>
      <c r="S794" s="1724"/>
      <c r="T794" s="1724"/>
      <c r="U794" s="1724"/>
      <c r="V794" s="1724"/>
      <c r="W794" s="1724"/>
      <c r="X794" s="1724"/>
      <c r="Y794" s="1725"/>
      <c r="Z794" s="1709"/>
      <c r="AA794" s="1710"/>
      <c r="AB794" s="1710"/>
      <c r="AC794" s="1710"/>
      <c r="AD794" s="1710"/>
      <c r="AE794" s="1711"/>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850</v>
      </c>
      <c r="Z795" s="1716">
        <f>SUM(Z791:AE794)</f>
        <v>4160</v>
      </c>
      <c r="AA795" s="1717"/>
      <c r="AB795" s="1717"/>
      <c r="AC795" s="1717"/>
      <c r="AD795" s="1717"/>
      <c r="AE795" s="1718"/>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721</v>
      </c>
      <c r="Z796" s="1716">
        <f>Z795+Y779+Z787</f>
        <v>601904</v>
      </c>
      <c r="AA796" s="1717"/>
      <c r="AB796" s="1717"/>
      <c r="AC796" s="1717"/>
      <c r="AD796" s="1717"/>
      <c r="AE796" s="1718"/>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137</v>
      </c>
      <c r="B798" s="63"/>
      <c r="C798" s="63" t="s">
        <v>399</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1154</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103" t="s">
        <v>977</v>
      </c>
      <c r="N801" s="2103"/>
      <c r="O801" s="2103"/>
      <c r="P801" s="2104"/>
      <c r="Q801" s="1780" t="s">
        <v>291</v>
      </c>
      <c r="R801" s="1780"/>
      <c r="S801" s="1780"/>
      <c r="T801" s="1780"/>
      <c r="U801" s="1780" t="s">
        <v>292</v>
      </c>
      <c r="V801" s="1780"/>
      <c r="W801" s="1780"/>
      <c r="X801" s="1780"/>
      <c r="Y801" s="1780" t="s">
        <v>293</v>
      </c>
      <c r="Z801" s="1780"/>
      <c r="AA801" s="1780"/>
      <c r="AB801" s="1780"/>
      <c r="AC801" s="1780" t="s">
        <v>36</v>
      </c>
      <c r="AD801" s="1780"/>
      <c r="AE801" s="1780"/>
      <c r="AF801" s="1780"/>
      <c r="AG801" s="2169" t="s">
        <v>623</v>
      </c>
      <c r="AH801" s="2169"/>
      <c r="AI801" s="2169"/>
      <c r="AJ801" s="2169"/>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105"/>
      <c r="N802" s="2105"/>
      <c r="O802" s="2105"/>
      <c r="P802" s="2106"/>
      <c r="Q802" s="1780"/>
      <c r="R802" s="1780"/>
      <c r="S802" s="1780"/>
      <c r="T802" s="1780"/>
      <c r="U802" s="1780"/>
      <c r="V802" s="1780"/>
      <c r="W802" s="1780"/>
      <c r="X802" s="1780"/>
      <c r="Y802" s="1780"/>
      <c r="Z802" s="1780"/>
      <c r="AA802" s="1780"/>
      <c r="AB802" s="1780"/>
      <c r="AC802" s="1780"/>
      <c r="AD802" s="1780"/>
      <c r="AE802" s="1780"/>
      <c r="AF802" s="1780"/>
      <c r="AG802" s="2169"/>
      <c r="AH802" s="2169"/>
      <c r="AI802" s="2169"/>
      <c r="AJ802" s="2169"/>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908" t="s">
        <v>760</v>
      </c>
      <c r="D803" s="1909"/>
      <c r="E803" s="1909"/>
      <c r="F803" s="1909"/>
      <c r="G803" s="1909"/>
      <c r="H803" s="1909"/>
      <c r="I803" s="94"/>
      <c r="J803" s="94"/>
      <c r="K803" s="94"/>
      <c r="L803" s="95"/>
      <c r="M803" s="1799"/>
      <c r="N803" s="1799"/>
      <c r="O803" s="1799"/>
      <c r="P803" s="1799"/>
      <c r="Q803" s="1799">
        <v>14</v>
      </c>
      <c r="R803" s="1799"/>
      <c r="S803" s="1799"/>
      <c r="T803" s="1799"/>
      <c r="U803" s="1799">
        <v>18</v>
      </c>
      <c r="V803" s="1799"/>
      <c r="W803" s="1799"/>
      <c r="X803" s="1799"/>
      <c r="Y803" s="1799">
        <v>21</v>
      </c>
      <c r="Z803" s="1799"/>
      <c r="AA803" s="1799"/>
      <c r="AB803" s="1799"/>
      <c r="AC803" s="1781"/>
      <c r="AD803" s="1782"/>
      <c r="AE803" s="1782"/>
      <c r="AF803" s="1783"/>
      <c r="AG803" s="1781"/>
      <c r="AH803" s="1782"/>
      <c r="AI803" s="1782"/>
      <c r="AJ803" s="1783"/>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826" t="s">
        <v>761</v>
      </c>
      <c r="D804" s="1827"/>
      <c r="E804" s="1827"/>
      <c r="F804" s="1827"/>
      <c r="G804" s="1827"/>
      <c r="H804" s="1827"/>
      <c r="I804" s="91"/>
      <c r="J804" s="91"/>
      <c r="K804" s="91"/>
      <c r="L804" s="92"/>
      <c r="M804" s="1799"/>
      <c r="N804" s="1799"/>
      <c r="O804" s="1799"/>
      <c r="P804" s="1799"/>
      <c r="Q804" s="1781">
        <v>15</v>
      </c>
      <c r="R804" s="1782"/>
      <c r="S804" s="1782"/>
      <c r="T804" s="1783"/>
      <c r="U804" s="1799">
        <v>18</v>
      </c>
      <c r="V804" s="1799"/>
      <c r="W804" s="1799"/>
      <c r="X804" s="1799"/>
      <c r="Y804" s="1799">
        <v>23</v>
      </c>
      <c r="Z804" s="1799"/>
      <c r="AA804" s="1799"/>
      <c r="AB804" s="1799"/>
      <c r="AC804" s="1781"/>
      <c r="AD804" s="1782"/>
      <c r="AE804" s="1782"/>
      <c r="AF804" s="1783"/>
      <c r="AG804" s="1781"/>
      <c r="AH804" s="1782"/>
      <c r="AI804" s="1782"/>
      <c r="AJ804" s="1783"/>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826" t="s">
        <v>78</v>
      </c>
      <c r="D805" s="1827"/>
      <c r="E805" s="1827"/>
      <c r="F805" s="1827"/>
      <c r="G805" s="1827"/>
      <c r="H805" s="1827"/>
      <c r="I805" s="110"/>
      <c r="J805" s="110"/>
      <c r="K805" s="110"/>
      <c r="L805" s="111"/>
      <c r="M805" s="1799"/>
      <c r="N805" s="1799"/>
      <c r="O805" s="1799"/>
      <c r="P805" s="1799"/>
      <c r="Q805" s="1799">
        <v>6</v>
      </c>
      <c r="R805" s="1799"/>
      <c r="S805" s="1799"/>
      <c r="T805" s="1799"/>
      <c r="U805" s="1799">
        <v>9</v>
      </c>
      <c r="V805" s="1799"/>
      <c r="W805" s="1799"/>
      <c r="X805" s="1799"/>
      <c r="Y805" s="1799">
        <v>12</v>
      </c>
      <c r="Z805" s="1799"/>
      <c r="AA805" s="1799"/>
      <c r="AB805" s="1799"/>
      <c r="AC805" s="1781"/>
      <c r="AD805" s="1782"/>
      <c r="AE805" s="1782"/>
      <c r="AF805" s="1783"/>
      <c r="AG805" s="1781"/>
      <c r="AH805" s="1782"/>
      <c r="AI805" s="1782"/>
      <c r="AJ805" s="1783"/>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826" t="s">
        <v>195</v>
      </c>
      <c r="D806" s="1827"/>
      <c r="E806" s="1827"/>
      <c r="F806" s="1827"/>
      <c r="G806" s="1827"/>
      <c r="H806" s="1827"/>
      <c r="I806" s="110"/>
      <c r="J806" s="110"/>
      <c r="K806" s="110"/>
      <c r="L806" s="111"/>
      <c r="M806" s="1799"/>
      <c r="N806" s="1799"/>
      <c r="O806" s="1799"/>
      <c r="P806" s="1799"/>
      <c r="Q806" s="1799">
        <v>18</v>
      </c>
      <c r="R806" s="1799"/>
      <c r="S806" s="1799"/>
      <c r="T806" s="1799"/>
      <c r="U806" s="1799">
        <v>27</v>
      </c>
      <c r="V806" s="1799"/>
      <c r="W806" s="1799"/>
      <c r="X806" s="1799"/>
      <c r="Y806" s="1799">
        <v>36</v>
      </c>
      <c r="Z806" s="1799"/>
      <c r="AA806" s="1799"/>
      <c r="AB806" s="1799"/>
      <c r="AC806" s="1781"/>
      <c r="AD806" s="1782"/>
      <c r="AE806" s="1782"/>
      <c r="AF806" s="1783"/>
      <c r="AG806" s="1781"/>
      <c r="AH806" s="1782"/>
      <c r="AI806" s="1782"/>
      <c r="AJ806" s="1783"/>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826" t="s">
        <v>866</v>
      </c>
      <c r="D807" s="1827"/>
      <c r="E807" s="1827"/>
      <c r="F807" s="1827"/>
      <c r="G807" s="1827"/>
      <c r="H807" s="1827"/>
      <c r="I807" s="110"/>
      <c r="J807" s="110"/>
      <c r="K807" s="110"/>
      <c r="L807" s="111"/>
      <c r="M807" s="1799"/>
      <c r="N807" s="1799"/>
      <c r="O807" s="1799"/>
      <c r="P807" s="1799"/>
      <c r="Q807" s="1799" t="s">
        <v>255</v>
      </c>
      <c r="R807" s="1799"/>
      <c r="S807" s="1799"/>
      <c r="T807" s="1799"/>
      <c r="U807" s="1799" t="s">
        <v>255</v>
      </c>
      <c r="V807" s="1799"/>
      <c r="W807" s="1799"/>
      <c r="X807" s="1799"/>
      <c r="Y807" s="1799" t="s">
        <v>255</v>
      </c>
      <c r="Z807" s="1799"/>
      <c r="AA807" s="1799"/>
      <c r="AB807" s="1799"/>
      <c r="AC807" s="1781"/>
      <c r="AD807" s="1782"/>
      <c r="AE807" s="1782"/>
      <c r="AF807" s="1783"/>
      <c r="AG807" s="1781"/>
      <c r="AH807" s="1782"/>
      <c r="AI807" s="1782"/>
      <c r="AJ807" s="1783"/>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869" t="s">
        <v>1047</v>
      </c>
      <c r="D808" s="1827"/>
      <c r="E808" s="1827"/>
      <c r="F808" s="1827"/>
      <c r="G808" s="1827"/>
      <c r="H808" s="1827"/>
      <c r="I808" s="110"/>
      <c r="J808" s="110"/>
      <c r="K808" s="110"/>
      <c r="L808" s="111"/>
      <c r="M808" s="1799"/>
      <c r="N808" s="1799"/>
      <c r="O808" s="1799"/>
      <c r="P808" s="1799"/>
      <c r="Q808" s="1799"/>
      <c r="R808" s="1799"/>
      <c r="S808" s="1799"/>
      <c r="T808" s="1799"/>
      <c r="U808" s="1799"/>
      <c r="V808" s="1799"/>
      <c r="W808" s="1799"/>
      <c r="X808" s="1799"/>
      <c r="Y808" s="1799"/>
      <c r="Z808" s="1799"/>
      <c r="AA808" s="1799"/>
      <c r="AB808" s="1799"/>
      <c r="AC808" s="1781"/>
      <c r="AD808" s="1782"/>
      <c r="AE808" s="1782"/>
      <c r="AF808" s="1783"/>
      <c r="AG808" s="1781"/>
      <c r="AH808" s="1782"/>
      <c r="AI808" s="1782"/>
      <c r="AJ808" s="1783"/>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294</v>
      </c>
      <c r="D809" s="110"/>
      <c r="E809" s="110"/>
      <c r="F809" s="1706" t="s">
        <v>2442</v>
      </c>
      <c r="G809" s="1707"/>
      <c r="H809" s="1707"/>
      <c r="I809" s="1707"/>
      <c r="J809" s="1707"/>
      <c r="K809" s="1707"/>
      <c r="L809" s="1708"/>
      <c r="M809" s="1799"/>
      <c r="N809" s="1799"/>
      <c r="O809" s="1799"/>
      <c r="P809" s="1799"/>
      <c r="Q809" s="1799">
        <v>13</v>
      </c>
      <c r="R809" s="1799"/>
      <c r="S809" s="1799"/>
      <c r="T809" s="1799"/>
      <c r="U809" s="1799">
        <v>18</v>
      </c>
      <c r="V809" s="1799"/>
      <c r="W809" s="1799"/>
      <c r="X809" s="1799"/>
      <c r="Y809" s="1799">
        <v>23</v>
      </c>
      <c r="Z809" s="1799"/>
      <c r="AA809" s="1799"/>
      <c r="AB809" s="1799"/>
      <c r="AC809" s="1781"/>
      <c r="AD809" s="1782"/>
      <c r="AE809" s="1782"/>
      <c r="AF809" s="1783"/>
      <c r="AG809" s="1781"/>
      <c r="AH809" s="1782"/>
      <c r="AI809" s="1782"/>
      <c r="AJ809" s="1783"/>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95" t="s">
        <v>975</v>
      </c>
      <c r="D810" s="1796"/>
      <c r="E810" s="1796"/>
      <c r="F810" s="1796"/>
      <c r="G810" s="1796"/>
      <c r="H810" s="1796"/>
      <c r="I810" s="1796"/>
      <c r="J810" s="1796"/>
      <c r="K810" s="1796"/>
      <c r="L810" s="1797"/>
      <c r="M810" s="1798">
        <f>SUM(M803:P809)</f>
        <v>0</v>
      </c>
      <c r="N810" s="1798"/>
      <c r="O810" s="1798"/>
      <c r="P810" s="1798"/>
      <c r="Q810" s="1798">
        <f>SUM(Q803:T809)</f>
        <v>66</v>
      </c>
      <c r="R810" s="1798"/>
      <c r="S810" s="1798"/>
      <c r="T810" s="1798"/>
      <c r="U810" s="1798">
        <f>SUM(U803:X809)</f>
        <v>90</v>
      </c>
      <c r="V810" s="1798"/>
      <c r="W810" s="1798"/>
      <c r="X810" s="1798"/>
      <c r="Y810" s="1798">
        <f>SUM(Y803:AB809)</f>
        <v>115</v>
      </c>
      <c r="Z810" s="1798"/>
      <c r="AA810" s="1798"/>
      <c r="AB810" s="1798"/>
      <c r="AC810" s="1798">
        <f>SUM(AC803:AF809)</f>
        <v>0</v>
      </c>
      <c r="AD810" s="1798"/>
      <c r="AE810" s="1798"/>
      <c r="AF810" s="1798"/>
      <c r="AG810" s="1798">
        <f>SUM(AG803:AJ809)</f>
        <v>0</v>
      </c>
      <c r="AH810" s="1798"/>
      <c r="AI810" s="1798"/>
      <c r="AJ810" s="1798"/>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1048</v>
      </c>
      <c r="D811" s="103"/>
      <c r="E811" s="103"/>
      <c r="F811" s="103"/>
      <c r="G811" s="103"/>
      <c r="H811" s="103"/>
      <c r="I811" s="103"/>
      <c r="J811" s="103"/>
      <c r="K811" s="103"/>
      <c r="L811" s="103"/>
      <c r="M811" s="492"/>
      <c r="N811" s="492"/>
      <c r="O811" s="492"/>
      <c r="P811" s="492"/>
      <c r="Q811" s="492"/>
      <c r="R811" s="492"/>
      <c r="S811" s="492"/>
      <c r="T811" s="492"/>
      <c r="U811" s="492"/>
      <c r="V811" s="492"/>
      <c r="W811" s="492"/>
      <c r="X811" s="492"/>
      <c r="Y811" s="492"/>
      <c r="Z811" s="492"/>
      <c r="AA811" s="492"/>
      <c r="AB811" s="492"/>
      <c r="AC811" s="492"/>
      <c r="AD811" s="492"/>
      <c r="AE811" s="492"/>
      <c r="AF811" s="492"/>
      <c r="AG811" s="492"/>
      <c r="AH811" s="492"/>
      <c r="AI811" s="492"/>
      <c r="AJ811" s="492"/>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1049</v>
      </c>
      <c r="D812" s="103"/>
      <c r="E812" s="103"/>
      <c r="F812" s="103"/>
      <c r="G812" s="103"/>
      <c r="H812" s="103"/>
      <c r="I812" s="103"/>
      <c r="J812" s="103"/>
      <c r="K812" s="103"/>
      <c r="L812" s="103"/>
      <c r="M812" s="492"/>
      <c r="N812" s="492"/>
      <c r="O812" s="492"/>
      <c r="P812" s="492"/>
      <c r="Q812" s="492"/>
      <c r="R812" s="492"/>
      <c r="S812" s="492"/>
      <c r="T812" s="492"/>
      <c r="U812" s="492"/>
      <c r="V812" s="492"/>
      <c r="W812" s="492"/>
      <c r="X812" s="492"/>
      <c r="Y812" s="492"/>
      <c r="Z812" s="492"/>
      <c r="AA812" s="492"/>
      <c r="AB812" s="492"/>
      <c r="AC812" s="492"/>
      <c r="AD812" s="492"/>
      <c r="AE812" s="492"/>
      <c r="AF812" s="492"/>
      <c r="AG812" s="492"/>
      <c r="AH812" s="492"/>
      <c r="AI812" s="492"/>
      <c r="AJ812" s="492"/>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92"/>
      <c r="N813" s="492"/>
      <c r="O813" s="492"/>
      <c r="P813" s="492"/>
      <c r="Q813" s="492"/>
      <c r="R813" s="492"/>
      <c r="S813" s="492"/>
      <c r="T813" s="492"/>
      <c r="U813" s="492"/>
      <c r="V813" s="492"/>
      <c r="W813" s="492"/>
      <c r="X813" s="492"/>
      <c r="Y813" s="492"/>
      <c r="Z813" s="492"/>
      <c r="AA813" s="492"/>
      <c r="AB813" s="492"/>
      <c r="AC813" s="492"/>
      <c r="AD813" s="492"/>
      <c r="AE813" s="492"/>
      <c r="AF813" s="492"/>
      <c r="AG813" s="492"/>
      <c r="AH813" s="492"/>
      <c r="AI813" s="492"/>
      <c r="AJ813" s="492"/>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772</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79" t="s">
        <v>2371</v>
      </c>
      <c r="D815" s="2180"/>
      <c r="E815" s="2180"/>
      <c r="F815" s="2180"/>
      <c r="G815" s="2180"/>
      <c r="H815" s="2180"/>
      <c r="I815" s="2180"/>
      <c r="J815" s="2180"/>
      <c r="K815" s="2180"/>
      <c r="L815" s="2180"/>
      <c r="M815" s="2180"/>
      <c r="N815" s="2180"/>
      <c r="O815" s="2180"/>
      <c r="P815" s="2180"/>
      <c r="Q815" s="2180"/>
      <c r="R815" s="2180"/>
      <c r="S815" s="2180"/>
      <c r="T815" s="2180"/>
      <c r="U815" s="2180"/>
      <c r="V815" s="2180"/>
      <c r="W815" s="2180"/>
      <c r="X815" s="2180"/>
      <c r="Y815" s="2180"/>
      <c r="Z815" s="2180"/>
      <c r="AA815" s="2180"/>
      <c r="AB815" s="2180"/>
      <c r="AC815" s="2180"/>
      <c r="AD815" s="2180"/>
      <c r="AE815" s="2180"/>
      <c r="AF815" s="2180"/>
      <c r="AG815" s="2180"/>
      <c r="AH815" s="2180"/>
      <c r="AI815" s="2180"/>
      <c r="AJ815" s="2181"/>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1889</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411</v>
      </c>
      <c r="C818" s="63" t="s">
        <v>705</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467</v>
      </c>
      <c r="AY819" s="65"/>
      <c r="AZ819" s="65"/>
      <c r="BA819" s="1744" t="s">
        <v>412</v>
      </c>
      <c r="BB819" s="1745"/>
      <c r="BC819" s="72"/>
      <c r="BD819" s="72"/>
      <c r="BE819" s="72"/>
      <c r="BF819" s="65" t="s">
        <v>469</v>
      </c>
      <c r="BG819" s="65"/>
      <c r="BH819" s="65"/>
      <c r="BI819" s="65"/>
      <c r="BJ819" s="65"/>
      <c r="BK819" s="65"/>
      <c r="BL819" s="65"/>
      <c r="BM819" s="65"/>
      <c r="BN819" s="65"/>
      <c r="BO819" s="1741" t="str">
        <f>T189</f>
        <v>Fresno</v>
      </c>
      <c r="BP819" s="1742"/>
      <c r="BQ819" s="1742"/>
      <c r="BR819" s="1742"/>
      <c r="BS819" s="1742"/>
      <c r="BT819" s="1742"/>
      <c r="BU819" s="1743"/>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4.1" customHeight="1">
      <c r="C820" s="63" t="s">
        <v>516</v>
      </c>
      <c r="J820" s="90" t="s">
        <v>362</v>
      </c>
      <c r="K820" s="91"/>
      <c r="L820" s="91"/>
      <c r="M820" s="91"/>
      <c r="N820" s="91"/>
      <c r="O820" s="91"/>
      <c r="P820" s="91"/>
      <c r="Q820" s="91"/>
      <c r="R820" s="91"/>
      <c r="S820" s="91"/>
      <c r="T820" s="91"/>
      <c r="U820" s="91"/>
      <c r="V820" s="92"/>
      <c r="W820" s="1757">
        <v>1000</v>
      </c>
      <c r="X820" s="1757"/>
      <c r="Y820" s="1757"/>
      <c r="Z820" s="1757"/>
      <c r="AA820" s="1757"/>
      <c r="AB820" s="1757"/>
      <c r="AC820" s="1757"/>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361</v>
      </c>
      <c r="K821" s="91"/>
      <c r="L821" s="91"/>
      <c r="M821" s="91"/>
      <c r="N821" s="91"/>
      <c r="O821" s="91"/>
      <c r="P821" s="91"/>
      <c r="Q821" s="91"/>
      <c r="R821" s="91"/>
      <c r="S821" s="91"/>
      <c r="T821" s="91"/>
      <c r="U821" s="91"/>
      <c r="V821" s="92"/>
      <c r="W821" s="1757">
        <v>5000</v>
      </c>
      <c r="X821" s="1757"/>
      <c r="Y821" s="1757"/>
      <c r="Z821" s="1757"/>
      <c r="AA821" s="1757"/>
      <c r="AB821" s="1757"/>
      <c r="AC821" s="1757"/>
      <c r="AD821" s="16"/>
      <c r="AE821" s="16"/>
      <c r="AF821" s="16"/>
      <c r="AG821" s="16"/>
      <c r="AH821" s="16"/>
      <c r="AI821" s="16"/>
      <c r="AJ821" s="16"/>
      <c r="AK821" s="16"/>
      <c r="AL821" s="16"/>
      <c r="AM821" s="66"/>
      <c r="AN821" s="66"/>
      <c r="AO821" s="30"/>
      <c r="AP821" s="30"/>
      <c r="AQ821" s="30"/>
      <c r="AR821" s="30"/>
      <c r="AS821" s="30"/>
      <c r="BA821" s="120" t="s">
        <v>414</v>
      </c>
      <c r="BC821" s="68"/>
      <c r="BD821" s="68"/>
      <c r="BE821" s="68"/>
      <c r="BF821" s="68"/>
      <c r="BG821" s="68"/>
    </row>
    <row r="822" spans="1:97" s="65" customFormat="1" ht="12.75" customHeight="1">
      <c r="A822" s="16"/>
      <c r="B822" s="16"/>
      <c r="C822" s="16"/>
      <c r="D822" s="16"/>
      <c r="E822" s="16"/>
      <c r="F822" s="16"/>
      <c r="G822" s="16"/>
      <c r="H822" s="16"/>
      <c r="I822" s="16"/>
      <c r="J822" s="90" t="s">
        <v>360</v>
      </c>
      <c r="K822" s="91"/>
      <c r="L822" s="91"/>
      <c r="M822" s="91"/>
      <c r="N822" s="91"/>
      <c r="O822" s="91"/>
      <c r="P822" s="91"/>
      <c r="Q822" s="91"/>
      <c r="R822" s="91"/>
      <c r="S822" s="91"/>
      <c r="T822" s="91"/>
      <c r="U822" s="91"/>
      <c r="V822" s="92"/>
      <c r="W822" s="1757">
        <v>13500</v>
      </c>
      <c r="X822" s="1757"/>
      <c r="Y822" s="1757"/>
      <c r="Z822" s="1757"/>
      <c r="AA822" s="1757"/>
      <c r="AB822" s="1757"/>
      <c r="AC822" s="1757"/>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359</v>
      </c>
      <c r="K823" s="91"/>
      <c r="L823" s="91"/>
      <c r="M823" s="91"/>
      <c r="N823" s="91"/>
      <c r="O823" s="91"/>
      <c r="P823" s="91"/>
      <c r="Q823" s="91"/>
      <c r="R823" s="91"/>
      <c r="S823" s="91"/>
      <c r="T823" s="91"/>
      <c r="U823" s="91"/>
      <c r="V823" s="92"/>
      <c r="W823" s="1757">
        <v>15000</v>
      </c>
      <c r="X823" s="1757"/>
      <c r="Y823" s="1757"/>
      <c r="Z823" s="1757"/>
      <c r="AA823" s="1757"/>
      <c r="AB823" s="1757"/>
      <c r="AC823" s="1757"/>
      <c r="AD823" s="16"/>
      <c r="AE823" s="16"/>
      <c r="AF823" s="16"/>
      <c r="AG823" s="16"/>
      <c r="AH823" s="16"/>
      <c r="AI823" s="16"/>
      <c r="AJ823" s="16"/>
      <c r="AK823" s="16"/>
      <c r="AL823" s="16"/>
      <c r="AM823" s="66"/>
      <c r="AN823" s="66"/>
      <c r="AO823" s="30"/>
      <c r="AP823" s="30"/>
      <c r="AQ823" s="30"/>
      <c r="AR823" s="30"/>
      <c r="AS823" s="30"/>
      <c r="BA823" s="120" t="s">
        <v>412</v>
      </c>
      <c r="BB823" s="67" t="s">
        <v>2212</v>
      </c>
      <c r="BC823" s="68"/>
      <c r="BD823" s="68"/>
      <c r="BE823" s="68"/>
      <c r="BF823" s="68"/>
      <c r="BG823" s="68"/>
      <c r="BI823" s="67" t="s">
        <v>2213</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311</v>
      </c>
      <c r="K824" s="91"/>
      <c r="L824" s="91"/>
      <c r="M824" s="1706" t="s">
        <v>2443</v>
      </c>
      <c r="N824" s="1707"/>
      <c r="O824" s="1707"/>
      <c r="P824" s="1707"/>
      <c r="Q824" s="1707"/>
      <c r="R824" s="1707"/>
      <c r="S824" s="1707"/>
      <c r="T824" s="1707"/>
      <c r="U824" s="1707"/>
      <c r="V824" s="1708"/>
      <c r="W824" s="1757">
        <v>20000</v>
      </c>
      <c r="X824" s="1757"/>
      <c r="Y824" s="1757"/>
      <c r="Z824" s="1757"/>
      <c r="AA824" s="1757"/>
      <c r="AB824" s="1757"/>
      <c r="AC824" s="1757"/>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515</v>
      </c>
      <c r="W825" s="1716">
        <f>SUM(W820:AC824)</f>
        <v>54500</v>
      </c>
      <c r="X825" s="1717"/>
      <c r="Y825" s="1717"/>
      <c r="Z825" s="1717"/>
      <c r="AA825" s="1717"/>
      <c r="AB825" s="1717"/>
      <c r="AC825" s="1718"/>
      <c r="AD825" s="16"/>
      <c r="AE825" s="16"/>
      <c r="AF825" s="16"/>
      <c r="AG825" s="16"/>
      <c r="AH825" s="16"/>
      <c r="AI825" s="16"/>
      <c r="AJ825" s="16"/>
      <c r="AK825" s="16"/>
      <c r="AL825" s="16"/>
      <c r="AM825" s="66"/>
      <c r="AN825" s="66"/>
      <c r="AO825" s="30"/>
      <c r="AP825" s="30"/>
      <c r="AQ825" s="30"/>
      <c r="AR825" s="30"/>
      <c r="AS825" s="30"/>
      <c r="BA825" s="120" t="s">
        <v>414</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517</v>
      </c>
      <c r="D827" s="16"/>
      <c r="E827" s="16"/>
      <c r="F827" s="16"/>
      <c r="G827" s="16"/>
      <c r="H827" s="16"/>
      <c r="I827" s="16"/>
      <c r="J827" s="1795" t="s">
        <v>518</v>
      </c>
      <c r="K827" s="1796"/>
      <c r="L827" s="1796"/>
      <c r="M827" s="1796"/>
      <c r="N827" s="1796"/>
      <c r="O827" s="1796"/>
      <c r="P827" s="1796"/>
      <c r="Q827" s="1796"/>
      <c r="R827" s="1796"/>
      <c r="S827" s="1796"/>
      <c r="T827" s="1796"/>
      <c r="U827" s="1796"/>
      <c r="V827" s="1797"/>
      <c r="W827" s="1709">
        <v>29736</v>
      </c>
      <c r="X827" s="1710"/>
      <c r="Y827" s="1710"/>
      <c r="Z827" s="1710"/>
      <c r="AA827" s="1710"/>
      <c r="AB827" s="1710"/>
      <c r="AC827" s="1711"/>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801</v>
      </c>
      <c r="D829" s="16"/>
      <c r="E829" s="16"/>
      <c r="F829" s="16"/>
      <c r="G829" s="16"/>
      <c r="H829" s="16"/>
      <c r="I829" s="16"/>
      <c r="J829" s="90" t="s">
        <v>358</v>
      </c>
      <c r="K829" s="91"/>
      <c r="L829" s="91"/>
      <c r="M829" s="91"/>
      <c r="N829" s="91"/>
      <c r="O829" s="91"/>
      <c r="P829" s="91"/>
      <c r="Q829" s="91"/>
      <c r="R829" s="91"/>
      <c r="S829" s="91"/>
      <c r="T829" s="91"/>
      <c r="U829" s="91"/>
      <c r="V829" s="92"/>
      <c r="W829" s="1794"/>
      <c r="X829" s="1794"/>
      <c r="Y829" s="1794"/>
      <c r="Z829" s="1794"/>
      <c r="AA829" s="1794"/>
      <c r="AB829" s="1794"/>
      <c r="AC829" s="1794"/>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357</v>
      </c>
      <c r="K830" s="91"/>
      <c r="L830" s="91"/>
      <c r="M830" s="91"/>
      <c r="N830" s="91"/>
      <c r="O830" s="91"/>
      <c r="P830" s="91"/>
      <c r="Q830" s="91"/>
      <c r="R830" s="91"/>
      <c r="S830" s="91"/>
      <c r="T830" s="91"/>
      <c r="U830" s="91"/>
      <c r="V830" s="92"/>
      <c r="W830" s="1794"/>
      <c r="X830" s="1794"/>
      <c r="Y830" s="1794"/>
      <c r="Z830" s="1794"/>
      <c r="AA830" s="1794"/>
      <c r="AB830" s="1794"/>
      <c r="AC830" s="1794"/>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866</v>
      </c>
      <c r="K831" s="91"/>
      <c r="L831" s="91"/>
      <c r="M831" s="91"/>
      <c r="N831" s="91"/>
      <c r="O831" s="91"/>
      <c r="P831" s="91"/>
      <c r="Q831" s="91"/>
      <c r="R831" s="91"/>
      <c r="S831" s="91"/>
      <c r="T831" s="91"/>
      <c r="U831" s="91"/>
      <c r="V831" s="92"/>
      <c r="W831" s="1794">
        <v>40000</v>
      </c>
      <c r="X831" s="1794"/>
      <c r="Y831" s="1794"/>
      <c r="Z831" s="1794"/>
      <c r="AA831" s="1794"/>
      <c r="AB831" s="1794"/>
      <c r="AC831" s="1794"/>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468</v>
      </c>
      <c r="BD831" s="123" t="s">
        <v>491</v>
      </c>
      <c r="BE831" s="123" t="s">
        <v>853</v>
      </c>
      <c r="BF831" s="123" t="s">
        <v>854</v>
      </c>
      <c r="BG831" s="123" t="s">
        <v>867</v>
      </c>
      <c r="BH831" s="70"/>
      <c r="BI831" s="70"/>
      <c r="BJ831" s="122" t="s">
        <v>468</v>
      </c>
      <c r="BK831" s="123" t="s">
        <v>491</v>
      </c>
      <c r="BL831" s="123" t="s">
        <v>853</v>
      </c>
      <c r="BM831" s="123" t="s">
        <v>854</v>
      </c>
      <c r="BN831" s="123" t="s">
        <v>867</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511</v>
      </c>
      <c r="K832" s="91"/>
      <c r="L832" s="91"/>
      <c r="M832" s="91"/>
      <c r="N832" s="91"/>
      <c r="O832" s="91"/>
      <c r="P832" s="91"/>
      <c r="Q832" s="91"/>
      <c r="R832" s="91"/>
      <c r="S832" s="91"/>
      <c r="T832" s="91"/>
      <c r="U832" s="91"/>
      <c r="V832" s="92"/>
      <c r="W832" s="1794">
        <v>45000</v>
      </c>
      <c r="X832" s="1794"/>
      <c r="Y832" s="1794"/>
      <c r="Z832" s="1794"/>
      <c r="AA832" s="1794"/>
      <c r="AB832" s="1794"/>
      <c r="AC832" s="1794"/>
      <c r="AD832" s="16"/>
      <c r="AE832" s="16"/>
      <c r="AF832" s="16"/>
      <c r="AG832" s="16"/>
      <c r="AH832" s="16"/>
      <c r="AI832" s="16"/>
      <c r="AJ832" s="16"/>
      <c r="AK832" s="16"/>
      <c r="AL832" s="50"/>
      <c r="AR832" s="30"/>
      <c r="AS832" s="30"/>
      <c r="AT832" s="70"/>
      <c r="AU832" s="70"/>
      <c r="AV832" s="70"/>
      <c r="AW832" s="70"/>
      <c r="AX832" s="70"/>
      <c r="AY832" s="70"/>
      <c r="AZ832" s="70"/>
      <c r="BA832" s="70"/>
      <c r="BB832" s="70"/>
      <c r="BC832" s="506"/>
      <c r="BD832" s="507"/>
      <c r="BE832" s="507"/>
      <c r="BF832" s="507"/>
      <c r="BG832" s="507"/>
      <c r="BH832" s="70"/>
      <c r="BI832" s="70"/>
      <c r="BJ832" s="506"/>
      <c r="BK832" s="507"/>
      <c r="BL832" s="507"/>
      <c r="BM832" s="507"/>
      <c r="BN832" s="507"/>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2168">
        <f>SUM(W829:AC832)</f>
        <v>85000</v>
      </c>
      <c r="X833" s="2168"/>
      <c r="Y833" s="2168"/>
      <c r="Z833" s="2168"/>
      <c r="AA833" s="2168"/>
      <c r="AB833" s="2168"/>
      <c r="AC833" s="2168"/>
      <c r="AD833" s="16"/>
      <c r="AE833" s="16"/>
      <c r="AF833" s="16"/>
      <c r="AG833" s="16"/>
      <c r="AH833" s="16"/>
      <c r="AI833" s="16"/>
      <c r="AJ833" s="16"/>
      <c r="AK833" s="16"/>
      <c r="AL833" s="50"/>
      <c r="AR833" s="30"/>
      <c r="AS833" s="30"/>
      <c r="AT833" s="70"/>
      <c r="AU833" s="70"/>
      <c r="AV833" s="70"/>
      <c r="AW833" s="70"/>
      <c r="AX833" s="70"/>
      <c r="AY833" s="70"/>
      <c r="AZ833" s="70"/>
      <c r="BA833" s="70"/>
      <c r="BB833" s="47" t="s">
        <v>471</v>
      </c>
      <c r="BC833" s="865">
        <v>365252</v>
      </c>
      <c r="BD833" s="865">
        <v>421132</v>
      </c>
      <c r="BE833" s="865">
        <v>508000</v>
      </c>
      <c r="BF833" s="865">
        <v>650240</v>
      </c>
      <c r="BG833" s="865">
        <v>724408</v>
      </c>
      <c r="BH833" s="70"/>
      <c r="BI833" s="47" t="s">
        <v>471</v>
      </c>
      <c r="BJ833" s="865">
        <v>365252</v>
      </c>
      <c r="BK833" s="865">
        <v>421132</v>
      </c>
      <c r="BL833" s="865">
        <v>508000</v>
      </c>
      <c r="BM833" s="865">
        <v>650240</v>
      </c>
      <c r="BN833" s="865">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472</v>
      </c>
      <c r="BC834" s="864">
        <v>262291</v>
      </c>
      <c r="BD834" s="864">
        <v>302419</v>
      </c>
      <c r="BE834" s="864">
        <v>364800</v>
      </c>
      <c r="BF834" s="864">
        <v>466944</v>
      </c>
      <c r="BG834" s="864">
        <v>520205</v>
      </c>
      <c r="BH834" s="70"/>
      <c r="BI834" s="47" t="s">
        <v>472</v>
      </c>
      <c r="BJ834" s="864">
        <v>262291</v>
      </c>
      <c r="BK834" s="864">
        <v>302419</v>
      </c>
      <c r="BL834" s="864">
        <v>364800</v>
      </c>
      <c r="BM834" s="864">
        <v>466944</v>
      </c>
      <c r="BN834" s="864">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519</v>
      </c>
      <c r="D835" s="16"/>
      <c r="E835" s="16"/>
      <c r="F835" s="16"/>
      <c r="G835" s="16"/>
      <c r="H835" s="16"/>
      <c r="I835" s="16"/>
      <c r="J835" s="90" t="s">
        <v>510</v>
      </c>
      <c r="K835" s="91"/>
      <c r="L835" s="91"/>
      <c r="M835" s="91"/>
      <c r="N835" s="91"/>
      <c r="O835" s="91"/>
      <c r="P835" s="91"/>
      <c r="Q835" s="91"/>
      <c r="R835" s="91"/>
      <c r="S835" s="91"/>
      <c r="T835" s="91"/>
      <c r="U835" s="91"/>
      <c r="V835" s="92"/>
      <c r="W835" s="1874">
        <v>40000</v>
      </c>
      <c r="X835" s="1875"/>
      <c r="Y835" s="1875"/>
      <c r="Z835" s="1875"/>
      <c r="AA835" s="1875"/>
      <c r="AB835" s="1875"/>
      <c r="AC835" s="1876"/>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65">
        <v>262291</v>
      </c>
      <c r="BD835" s="865">
        <v>302419</v>
      </c>
      <c r="BE835" s="865">
        <v>364800</v>
      </c>
      <c r="BF835" s="865">
        <v>466944</v>
      </c>
      <c r="BG835" s="865">
        <v>520205</v>
      </c>
      <c r="BH835" s="70"/>
      <c r="BI835" s="47" t="s">
        <v>80</v>
      </c>
      <c r="BJ835" s="865">
        <v>262291</v>
      </c>
      <c r="BK835" s="865">
        <v>302419</v>
      </c>
      <c r="BL835" s="865">
        <v>364800</v>
      </c>
      <c r="BM835" s="865">
        <v>466944</v>
      </c>
      <c r="BN835" s="865">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2214</v>
      </c>
      <c r="K836" s="91"/>
      <c r="L836" s="91"/>
      <c r="M836" s="91"/>
      <c r="N836" s="91"/>
      <c r="O836" s="91"/>
      <c r="P836" s="91"/>
      <c r="Q836" s="91"/>
      <c r="R836" s="91"/>
      <c r="S836" s="91"/>
      <c r="T836" s="2173">
        <v>1</v>
      </c>
      <c r="U836" s="2174"/>
      <c r="V836" s="2175"/>
      <c r="W836" s="1380"/>
      <c r="X836" s="1381"/>
      <c r="Y836" s="1381"/>
      <c r="Z836" s="1381"/>
      <c r="AA836" s="1381"/>
      <c r="AB836" s="1381"/>
      <c r="AC836" s="1382"/>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64">
        <v>230655</v>
      </c>
      <c r="BD836" s="864">
        <v>265943</v>
      </c>
      <c r="BE836" s="864">
        <v>320800</v>
      </c>
      <c r="BF836" s="864">
        <v>410624</v>
      </c>
      <c r="BG836" s="864">
        <v>457461</v>
      </c>
      <c r="BH836" s="70"/>
      <c r="BI836" s="47" t="s">
        <v>82</v>
      </c>
      <c r="BJ836" s="864">
        <v>230655</v>
      </c>
      <c r="BK836" s="864">
        <v>265943</v>
      </c>
      <c r="BL836" s="864">
        <v>320800</v>
      </c>
      <c r="BM836" s="864">
        <v>410624</v>
      </c>
      <c r="BN836" s="864">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951</v>
      </c>
      <c r="D837" s="16"/>
      <c r="E837" s="16"/>
      <c r="F837" s="16"/>
      <c r="G837" s="16"/>
      <c r="H837" s="16"/>
      <c r="I837" s="16"/>
      <c r="J837" s="90" t="s">
        <v>509</v>
      </c>
      <c r="K837" s="91"/>
      <c r="L837" s="91"/>
      <c r="M837" s="91"/>
      <c r="N837" s="91"/>
      <c r="O837" s="91"/>
      <c r="P837" s="91"/>
      <c r="Q837" s="91"/>
      <c r="R837" s="91"/>
      <c r="S837" s="91"/>
      <c r="T837" s="91"/>
      <c r="U837" s="91"/>
      <c r="V837" s="92"/>
      <c r="W837" s="1874">
        <v>25000</v>
      </c>
      <c r="X837" s="1875"/>
      <c r="Y837" s="1875"/>
      <c r="Z837" s="1875"/>
      <c r="AA837" s="1875"/>
      <c r="AB837" s="1875"/>
      <c r="AC837" s="1876"/>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65">
        <v>262291</v>
      </c>
      <c r="BD837" s="865">
        <v>302419</v>
      </c>
      <c r="BE837" s="865">
        <v>364800</v>
      </c>
      <c r="BF837" s="865">
        <v>466944</v>
      </c>
      <c r="BG837" s="865">
        <v>520205</v>
      </c>
      <c r="BH837" s="70"/>
      <c r="BI837" s="47" t="s">
        <v>83</v>
      </c>
      <c r="BJ837" s="865">
        <v>262291</v>
      </c>
      <c r="BK837" s="865">
        <v>302419</v>
      </c>
      <c r="BL837" s="865">
        <v>364800</v>
      </c>
      <c r="BM837" s="865">
        <v>466944</v>
      </c>
      <c r="BN837" s="865">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2215</v>
      </c>
      <c r="K838" s="91"/>
      <c r="L838" s="91"/>
      <c r="M838" s="91"/>
      <c r="N838" s="91"/>
      <c r="O838" s="91"/>
      <c r="P838" s="91"/>
      <c r="Q838" s="91"/>
      <c r="R838" s="91"/>
      <c r="S838" s="91"/>
      <c r="T838" s="2173">
        <v>1</v>
      </c>
      <c r="U838" s="2174"/>
      <c r="V838" s="2175"/>
      <c r="W838" s="1380"/>
      <c r="X838" s="1381"/>
      <c r="Y838" s="1381"/>
      <c r="Z838" s="1381"/>
      <c r="AA838" s="1381"/>
      <c r="AB838" s="1381"/>
      <c r="AC838" s="1382"/>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64">
        <v>262291</v>
      </c>
      <c r="BD838" s="864">
        <v>302419</v>
      </c>
      <c r="BE838" s="864">
        <v>364800</v>
      </c>
      <c r="BF838" s="864">
        <v>466944</v>
      </c>
      <c r="BG838" s="864">
        <v>520205</v>
      </c>
      <c r="BH838" s="70"/>
      <c r="BI838" s="47" t="s">
        <v>84</v>
      </c>
      <c r="BJ838" s="864">
        <v>262291</v>
      </c>
      <c r="BK838" s="864">
        <v>302419</v>
      </c>
      <c r="BL838" s="864">
        <v>364800</v>
      </c>
      <c r="BM838" s="864">
        <v>466944</v>
      </c>
      <c r="BN838" s="864">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311</v>
      </c>
      <c r="K839" s="91"/>
      <c r="L839" s="91"/>
      <c r="M839" s="1706" t="s">
        <v>2480</v>
      </c>
      <c r="N839" s="1707"/>
      <c r="O839" s="1707"/>
      <c r="P839" s="1707"/>
      <c r="Q839" s="1707"/>
      <c r="R839" s="1707"/>
      <c r="S839" s="1707"/>
      <c r="T839" s="1707"/>
      <c r="U839" s="1707"/>
      <c r="V839" s="1708"/>
      <c r="W839" s="1874">
        <v>21714</v>
      </c>
      <c r="X839" s="1875"/>
      <c r="Y839" s="1875"/>
      <c r="Z839" s="1875"/>
      <c r="AA839" s="1875"/>
      <c r="AB839" s="1875"/>
      <c r="AC839" s="1876"/>
      <c r="AD839" s="16"/>
      <c r="AE839" s="16"/>
      <c r="AF839" s="16"/>
      <c r="AG839" s="16"/>
      <c r="AH839" s="16"/>
      <c r="AI839" s="16"/>
      <c r="AJ839" s="16"/>
      <c r="AK839" s="16"/>
      <c r="AL839" s="269"/>
      <c r="AR839" s="30"/>
      <c r="AS839" s="30"/>
      <c r="AT839" s="70"/>
      <c r="AU839" s="70"/>
      <c r="AV839" s="70"/>
      <c r="AW839" s="70"/>
      <c r="AX839" s="70"/>
      <c r="AY839" s="70"/>
      <c r="AZ839" s="70"/>
      <c r="BA839" s="70"/>
      <c r="BB839" s="47" t="s">
        <v>525</v>
      </c>
      <c r="BC839" s="865">
        <v>365252</v>
      </c>
      <c r="BD839" s="865">
        <v>421132</v>
      </c>
      <c r="BE839" s="865">
        <v>508000</v>
      </c>
      <c r="BF839" s="865">
        <v>650240</v>
      </c>
      <c r="BG839" s="865">
        <v>724408</v>
      </c>
      <c r="BH839" s="70"/>
      <c r="BI839" s="47" t="s">
        <v>525</v>
      </c>
      <c r="BJ839" s="865">
        <v>365252</v>
      </c>
      <c r="BK839" s="865">
        <v>421132</v>
      </c>
      <c r="BL839" s="865">
        <v>508000</v>
      </c>
      <c r="BM839" s="865">
        <v>650240</v>
      </c>
      <c r="BN839" s="865">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871">
        <f>SUM(W835:AC839)</f>
        <v>86714</v>
      </c>
      <c r="X840" s="1872"/>
      <c r="Y840" s="1872"/>
      <c r="Z840" s="1872"/>
      <c r="AA840" s="1872"/>
      <c r="AB840" s="1872"/>
      <c r="AC840" s="1873"/>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526</v>
      </c>
      <c r="BC840" s="864">
        <v>262291</v>
      </c>
      <c r="BD840" s="864">
        <v>302419</v>
      </c>
      <c r="BE840" s="864">
        <v>364800</v>
      </c>
      <c r="BF840" s="864">
        <v>466944</v>
      </c>
      <c r="BG840" s="864">
        <v>520205</v>
      </c>
      <c r="BH840" s="70"/>
      <c r="BI840" s="47" t="s">
        <v>526</v>
      </c>
      <c r="BJ840" s="864">
        <v>262291</v>
      </c>
      <c r="BK840" s="864">
        <v>302419</v>
      </c>
      <c r="BL840" s="864">
        <v>364800</v>
      </c>
      <c r="BM840" s="864">
        <v>466944</v>
      </c>
      <c r="BN840" s="864">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874">
        <v>40000</v>
      </c>
      <c r="X841" s="1875"/>
      <c r="Y841" s="1875"/>
      <c r="Z841" s="1875"/>
      <c r="AA841" s="1875"/>
      <c r="AB841" s="1875"/>
      <c r="AC841" s="1876"/>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527</v>
      </c>
      <c r="BC841" s="865">
        <v>278397</v>
      </c>
      <c r="BD841" s="865">
        <v>320989</v>
      </c>
      <c r="BE841" s="865">
        <v>387200</v>
      </c>
      <c r="BF841" s="865">
        <v>495616</v>
      </c>
      <c r="BG841" s="865">
        <v>552147</v>
      </c>
      <c r="BH841" s="70"/>
      <c r="BI841" s="47" t="s">
        <v>527</v>
      </c>
      <c r="BJ841" s="865">
        <v>278397</v>
      </c>
      <c r="BK841" s="865">
        <v>320989</v>
      </c>
      <c r="BL841" s="865">
        <v>387200</v>
      </c>
      <c r="BM841" s="865">
        <v>495616</v>
      </c>
      <c r="BN841" s="865">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529</v>
      </c>
      <c r="BC842" s="864">
        <v>238133</v>
      </c>
      <c r="BD842" s="864">
        <v>274565</v>
      </c>
      <c r="BE842" s="864">
        <v>331200</v>
      </c>
      <c r="BF842" s="864">
        <v>423936</v>
      </c>
      <c r="BG842" s="864">
        <v>472291</v>
      </c>
      <c r="BH842" s="70"/>
      <c r="BI842" s="47" t="s">
        <v>529</v>
      </c>
      <c r="BJ842" s="864">
        <v>238133</v>
      </c>
      <c r="BK842" s="864">
        <v>274565</v>
      </c>
      <c r="BL842" s="864">
        <v>331200</v>
      </c>
      <c r="BM842" s="864">
        <v>423936</v>
      </c>
      <c r="BN842" s="864">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792</v>
      </c>
      <c r="K843" s="91"/>
      <c r="L843" s="91"/>
      <c r="M843" s="91"/>
      <c r="N843" s="91"/>
      <c r="O843" s="91"/>
      <c r="P843" s="91"/>
      <c r="Q843" s="91"/>
      <c r="R843" s="91"/>
      <c r="S843" s="91"/>
      <c r="T843" s="91"/>
      <c r="U843" s="91"/>
      <c r="V843" s="92"/>
      <c r="W843" s="1757">
        <v>10000</v>
      </c>
      <c r="X843" s="1757"/>
      <c r="Y843" s="1757"/>
      <c r="Z843" s="1757"/>
      <c r="AA843" s="1757"/>
      <c r="AB843" s="1757"/>
      <c r="AC843" s="1757"/>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532</v>
      </c>
      <c r="BC843" s="865">
        <v>262291</v>
      </c>
      <c r="BD843" s="865">
        <v>302419</v>
      </c>
      <c r="BE843" s="865">
        <v>364800</v>
      </c>
      <c r="BF843" s="865">
        <v>466944</v>
      </c>
      <c r="BG843" s="865">
        <v>520205</v>
      </c>
      <c r="BH843" s="70"/>
      <c r="BI843" s="47" t="s">
        <v>532</v>
      </c>
      <c r="BJ843" s="865">
        <v>262291</v>
      </c>
      <c r="BK843" s="865">
        <v>302419</v>
      </c>
      <c r="BL843" s="865">
        <v>364800</v>
      </c>
      <c r="BM843" s="865">
        <v>466944</v>
      </c>
      <c r="BN843" s="865">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688</v>
      </c>
      <c r="K844" s="91"/>
      <c r="L844" s="91"/>
      <c r="M844" s="91"/>
      <c r="N844" s="91"/>
      <c r="O844" s="91"/>
      <c r="P844" s="91"/>
      <c r="Q844" s="91"/>
      <c r="R844" s="91"/>
      <c r="S844" s="91"/>
      <c r="T844" s="91"/>
      <c r="U844" s="91"/>
      <c r="V844" s="92"/>
      <c r="W844" s="1757">
        <v>35000</v>
      </c>
      <c r="X844" s="1757"/>
      <c r="Y844" s="1757"/>
      <c r="Z844" s="1757"/>
      <c r="AA844" s="1757"/>
      <c r="AB844" s="1757"/>
      <c r="AC844" s="1757"/>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533</v>
      </c>
      <c r="BC844" s="864">
        <v>262291</v>
      </c>
      <c r="BD844" s="864">
        <v>302419</v>
      </c>
      <c r="BE844" s="864">
        <v>364800</v>
      </c>
      <c r="BF844" s="864">
        <v>466944</v>
      </c>
      <c r="BG844" s="864">
        <v>520205</v>
      </c>
      <c r="BH844" s="70"/>
      <c r="BI844" s="47" t="s">
        <v>533</v>
      </c>
      <c r="BJ844" s="864">
        <v>262291</v>
      </c>
      <c r="BK844" s="864">
        <v>302419</v>
      </c>
      <c r="BL844" s="864">
        <v>364800</v>
      </c>
      <c r="BM844" s="864">
        <v>466944</v>
      </c>
      <c r="BN844" s="864">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687</v>
      </c>
      <c r="K845" s="91"/>
      <c r="L845" s="91"/>
      <c r="M845" s="91"/>
      <c r="N845" s="91"/>
      <c r="O845" s="91"/>
      <c r="P845" s="91"/>
      <c r="Q845" s="91"/>
      <c r="R845" s="91"/>
      <c r="S845" s="91"/>
      <c r="T845" s="91"/>
      <c r="U845" s="91"/>
      <c r="V845" s="92"/>
      <c r="W845" s="1757">
        <v>25000</v>
      </c>
      <c r="X845" s="1757"/>
      <c r="Y845" s="1757"/>
      <c r="Z845" s="1757"/>
      <c r="AA845" s="1757"/>
      <c r="AB845" s="1757"/>
      <c r="AC845" s="1757"/>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535</v>
      </c>
      <c r="BC845" s="865">
        <v>228930</v>
      </c>
      <c r="BD845" s="865">
        <v>263954</v>
      </c>
      <c r="BE845" s="865">
        <v>318400</v>
      </c>
      <c r="BF845" s="865">
        <v>407552</v>
      </c>
      <c r="BG845" s="865">
        <v>454038</v>
      </c>
      <c r="BH845" s="70"/>
      <c r="BI845" s="47" t="s">
        <v>535</v>
      </c>
      <c r="BJ845" s="865">
        <v>228930</v>
      </c>
      <c r="BK845" s="865">
        <v>263954</v>
      </c>
      <c r="BL845" s="865">
        <v>318400</v>
      </c>
      <c r="BM845" s="865">
        <v>407552</v>
      </c>
      <c r="BN845" s="865">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686</v>
      </c>
      <c r="K846" s="91"/>
      <c r="L846" s="91"/>
      <c r="M846" s="91"/>
      <c r="N846" s="91"/>
      <c r="O846" s="91"/>
      <c r="P846" s="91"/>
      <c r="Q846" s="91"/>
      <c r="R846" s="91"/>
      <c r="S846" s="91"/>
      <c r="T846" s="91"/>
      <c r="U846" s="91"/>
      <c r="V846" s="92"/>
      <c r="W846" s="1757">
        <v>10000</v>
      </c>
      <c r="X846" s="1757"/>
      <c r="Y846" s="1757"/>
      <c r="Z846" s="1757"/>
      <c r="AA846" s="1757"/>
      <c r="AB846" s="1757"/>
      <c r="AC846" s="1757"/>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536</v>
      </c>
      <c r="BC846" s="864">
        <v>262291</v>
      </c>
      <c r="BD846" s="864">
        <v>302419</v>
      </c>
      <c r="BE846" s="864">
        <v>364800</v>
      </c>
      <c r="BF846" s="864">
        <v>466944</v>
      </c>
      <c r="BG846" s="864">
        <v>520205</v>
      </c>
      <c r="BH846" s="70"/>
      <c r="BI846" s="47" t="s">
        <v>536</v>
      </c>
      <c r="BJ846" s="864">
        <v>262291</v>
      </c>
      <c r="BK846" s="864">
        <v>302419</v>
      </c>
      <c r="BL846" s="864">
        <v>364800</v>
      </c>
      <c r="BM846" s="864">
        <v>466944</v>
      </c>
      <c r="BN846" s="864">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685</v>
      </c>
      <c r="K847" s="91"/>
      <c r="L847" s="91"/>
      <c r="M847" s="91"/>
      <c r="N847" s="91"/>
      <c r="O847" s="91"/>
      <c r="P847" s="91"/>
      <c r="Q847" s="91"/>
      <c r="R847" s="91"/>
      <c r="S847" s="91"/>
      <c r="T847" s="91"/>
      <c r="U847" s="91"/>
      <c r="V847" s="92"/>
      <c r="W847" s="1757">
        <v>25000</v>
      </c>
      <c r="X847" s="1757"/>
      <c r="Y847" s="1757"/>
      <c r="Z847" s="1757"/>
      <c r="AA847" s="1757"/>
      <c r="AB847" s="1757"/>
      <c r="AC847" s="1757"/>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537</v>
      </c>
      <c r="BC847" s="865">
        <v>238133</v>
      </c>
      <c r="BD847" s="865">
        <v>274565</v>
      </c>
      <c r="BE847" s="865">
        <v>331200</v>
      </c>
      <c r="BF847" s="865">
        <v>423936</v>
      </c>
      <c r="BG847" s="865">
        <v>472291</v>
      </c>
      <c r="BH847" s="70"/>
      <c r="BI847" s="47" t="s">
        <v>537</v>
      </c>
      <c r="BJ847" s="865">
        <v>238133</v>
      </c>
      <c r="BK847" s="865">
        <v>274565</v>
      </c>
      <c r="BL847" s="865">
        <v>331200</v>
      </c>
      <c r="BM847" s="865">
        <v>423936</v>
      </c>
      <c r="BN847" s="865">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684</v>
      </c>
      <c r="K848" s="91"/>
      <c r="L848" s="91"/>
      <c r="M848" s="91"/>
      <c r="N848" s="91"/>
      <c r="O848" s="91"/>
      <c r="P848" s="91"/>
      <c r="Q848" s="91"/>
      <c r="R848" s="91"/>
      <c r="S848" s="91"/>
      <c r="T848" s="91"/>
      <c r="U848" s="91"/>
      <c r="V848" s="92"/>
      <c r="W848" s="1757"/>
      <c r="X848" s="1757"/>
      <c r="Y848" s="1757"/>
      <c r="Z848" s="1757"/>
      <c r="AA848" s="1757"/>
      <c r="AB848" s="1757"/>
      <c r="AC848" s="1757"/>
      <c r="AM848" s="72"/>
      <c r="AN848" s="72"/>
      <c r="AO848" s="72"/>
      <c r="AP848" s="72"/>
      <c r="AQ848" s="72"/>
      <c r="AR848" s="72"/>
      <c r="AS848" s="72"/>
      <c r="AT848" s="72"/>
      <c r="AU848" s="72"/>
      <c r="AV848" s="72"/>
      <c r="AW848" s="72"/>
      <c r="AX848" s="72"/>
      <c r="AY848" s="72"/>
      <c r="AZ848" s="72"/>
      <c r="BA848" s="72"/>
      <c r="BB848" s="47" t="s">
        <v>539</v>
      </c>
      <c r="BC848" s="864">
        <v>238133</v>
      </c>
      <c r="BD848" s="864">
        <v>274565</v>
      </c>
      <c r="BE848" s="864">
        <v>331200</v>
      </c>
      <c r="BF848" s="864">
        <v>423936</v>
      </c>
      <c r="BG848" s="864">
        <v>472291</v>
      </c>
      <c r="BH848" s="70"/>
      <c r="BI848" s="47" t="s">
        <v>539</v>
      </c>
      <c r="BJ848" s="864">
        <v>238133</v>
      </c>
      <c r="BK848" s="864">
        <v>274565</v>
      </c>
      <c r="BL848" s="864">
        <v>331200</v>
      </c>
      <c r="BM848" s="864">
        <v>423936</v>
      </c>
      <c r="BN848" s="864">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311</v>
      </c>
      <c r="K849" s="91"/>
      <c r="L849" s="91"/>
      <c r="M849" s="1706" t="s">
        <v>2525</v>
      </c>
      <c r="N849" s="1707"/>
      <c r="O849" s="1707"/>
      <c r="P849" s="1707"/>
      <c r="Q849" s="1707"/>
      <c r="R849" s="1707"/>
      <c r="S849" s="1707"/>
      <c r="T849" s="1707"/>
      <c r="U849" s="1707"/>
      <c r="V849" s="1708"/>
      <c r="W849" s="1757">
        <v>11500</v>
      </c>
      <c r="X849" s="1757"/>
      <c r="Y849" s="1757"/>
      <c r="Z849" s="1757"/>
      <c r="AA849" s="1757"/>
      <c r="AB849" s="1757"/>
      <c r="AC849" s="1757"/>
      <c r="AM849" s="72"/>
      <c r="AN849" s="72"/>
      <c r="AO849" s="72"/>
      <c r="AP849" s="72"/>
      <c r="AQ849" s="72"/>
      <c r="AR849" s="72"/>
      <c r="AS849" s="72"/>
      <c r="AT849" s="72"/>
      <c r="AU849" s="72"/>
      <c r="AV849" s="72"/>
      <c r="AW849" s="72"/>
      <c r="AX849" s="72"/>
      <c r="AY849" s="72"/>
      <c r="AZ849" s="72"/>
      <c r="BA849" s="72"/>
      <c r="BB849" s="47" t="s">
        <v>540</v>
      </c>
      <c r="BC849" s="865">
        <v>262291</v>
      </c>
      <c r="BD849" s="865">
        <v>302419</v>
      </c>
      <c r="BE849" s="865">
        <v>364800</v>
      </c>
      <c r="BF849" s="865">
        <v>466944</v>
      </c>
      <c r="BG849" s="865">
        <v>520205</v>
      </c>
      <c r="BH849" s="70"/>
      <c r="BI849" s="47" t="s">
        <v>540</v>
      </c>
      <c r="BJ849" s="865">
        <v>262291</v>
      </c>
      <c r="BK849" s="865">
        <v>302419</v>
      </c>
      <c r="BL849" s="865">
        <v>364800</v>
      </c>
      <c r="BM849" s="865">
        <v>466944</v>
      </c>
      <c r="BN849" s="865">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722">
        <f>SUM(W843:AC849)</f>
        <v>116500</v>
      </c>
      <c r="X850" s="1722"/>
      <c r="Y850" s="1722"/>
      <c r="Z850" s="1722"/>
      <c r="AA850" s="1722"/>
      <c r="AB850" s="1722"/>
      <c r="AC850" s="1722"/>
      <c r="AM850" s="72"/>
      <c r="AN850" s="72"/>
      <c r="AO850" s="72"/>
      <c r="AP850" s="72"/>
      <c r="AQ850" s="72"/>
      <c r="AR850" s="72"/>
      <c r="AS850" s="72"/>
      <c r="AT850" s="72"/>
      <c r="AU850" s="72"/>
      <c r="AV850" s="72"/>
      <c r="AW850" s="72"/>
      <c r="AX850" s="72"/>
      <c r="AY850" s="72"/>
      <c r="AZ850" s="72"/>
      <c r="BA850" s="72"/>
      <c r="BB850" s="47" t="s">
        <v>660</v>
      </c>
      <c r="BC850" s="864">
        <v>262291</v>
      </c>
      <c r="BD850" s="864">
        <v>302419</v>
      </c>
      <c r="BE850" s="864">
        <v>364800</v>
      </c>
      <c r="BF850" s="864">
        <v>466944</v>
      </c>
      <c r="BG850" s="864">
        <v>520205</v>
      </c>
      <c r="BH850" s="70"/>
      <c r="BI850" s="47" t="s">
        <v>660</v>
      </c>
      <c r="BJ850" s="864">
        <v>262291</v>
      </c>
      <c r="BK850" s="864">
        <v>302419</v>
      </c>
      <c r="BL850" s="864">
        <v>364800</v>
      </c>
      <c r="BM850" s="864">
        <v>466944</v>
      </c>
      <c r="BN850" s="864">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661</v>
      </c>
      <c r="BC851" s="865">
        <v>327289</v>
      </c>
      <c r="BD851" s="865">
        <v>377361</v>
      </c>
      <c r="BE851" s="865">
        <v>455200</v>
      </c>
      <c r="BF851" s="865">
        <v>582656</v>
      </c>
      <c r="BG851" s="865">
        <v>649115</v>
      </c>
      <c r="BH851" s="70"/>
      <c r="BI851" s="47" t="s">
        <v>661</v>
      </c>
      <c r="BJ851" s="865">
        <v>327289</v>
      </c>
      <c r="BK851" s="865">
        <v>377361</v>
      </c>
      <c r="BL851" s="865">
        <v>455200</v>
      </c>
      <c r="BM851" s="865">
        <v>582656</v>
      </c>
      <c r="BN851" s="865">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2127</v>
      </c>
      <c r="J852" s="90" t="s">
        <v>311</v>
      </c>
      <c r="K852" s="91"/>
      <c r="L852" s="91"/>
      <c r="M852" s="1706"/>
      <c r="N852" s="1707"/>
      <c r="O852" s="1707"/>
      <c r="P852" s="1707"/>
      <c r="Q852" s="1707"/>
      <c r="R852" s="1707"/>
      <c r="S852" s="1707"/>
      <c r="T852" s="1707"/>
      <c r="U852" s="1707"/>
      <c r="V852" s="1708"/>
      <c r="W852" s="1709"/>
      <c r="X852" s="1710"/>
      <c r="Y852" s="1710"/>
      <c r="Z852" s="1710"/>
      <c r="AA852" s="1710"/>
      <c r="AB852" s="1710"/>
      <c r="AC852" s="1711"/>
      <c r="AM852" s="72"/>
      <c r="AN852" s="72"/>
      <c r="AO852" s="72"/>
      <c r="AP852" s="72"/>
      <c r="AQ852" s="72"/>
      <c r="AR852" s="72"/>
      <c r="AS852" s="72"/>
      <c r="AT852" s="72"/>
      <c r="AU852" s="72"/>
      <c r="AV852" s="72"/>
      <c r="AW852" s="72"/>
      <c r="AX852" s="72"/>
      <c r="AY852" s="72"/>
      <c r="AZ852" s="72"/>
      <c r="BA852" s="72"/>
      <c r="BB852" s="47" t="s">
        <v>663</v>
      </c>
      <c r="BC852" s="864">
        <v>238133</v>
      </c>
      <c r="BD852" s="864">
        <v>274565</v>
      </c>
      <c r="BE852" s="864">
        <v>331200</v>
      </c>
      <c r="BF852" s="864">
        <v>423936</v>
      </c>
      <c r="BG852" s="864">
        <v>472291</v>
      </c>
      <c r="BH852" s="70"/>
      <c r="BI852" s="47" t="s">
        <v>663</v>
      </c>
      <c r="BJ852" s="864">
        <v>238133</v>
      </c>
      <c r="BK852" s="864">
        <v>274565</v>
      </c>
      <c r="BL852" s="864">
        <v>331200</v>
      </c>
      <c r="BM852" s="864">
        <v>423936</v>
      </c>
      <c r="BN852" s="864">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2128</v>
      </c>
      <c r="J853" s="90" t="s">
        <v>311</v>
      </c>
      <c r="K853" s="91"/>
      <c r="L853" s="91"/>
      <c r="M853" s="1731" t="s">
        <v>622</v>
      </c>
      <c r="N853" s="1707"/>
      <c r="O853" s="1707"/>
      <c r="P853" s="1707"/>
      <c r="Q853" s="1707"/>
      <c r="R853" s="1707"/>
      <c r="S853" s="1707"/>
      <c r="T853" s="1707"/>
      <c r="U853" s="1707"/>
      <c r="V853" s="1708"/>
      <c r="W853" s="1709"/>
      <c r="X853" s="1710"/>
      <c r="Y853" s="1710"/>
      <c r="Z853" s="1710"/>
      <c r="AA853" s="1710"/>
      <c r="AB853" s="1710"/>
      <c r="AC853" s="1711"/>
      <c r="AM853" s="72"/>
      <c r="AN853" s="72"/>
      <c r="AO853" s="72"/>
      <c r="AP853" s="72"/>
      <c r="AQ853" s="72"/>
      <c r="AR853" s="72"/>
      <c r="AS853" s="72"/>
      <c r="AT853" s="72"/>
      <c r="AU853" s="72"/>
      <c r="AV853" s="72"/>
      <c r="AW853" s="72"/>
      <c r="AX853" s="72"/>
      <c r="AY853" s="72"/>
      <c r="AZ853" s="72"/>
      <c r="BA853" s="72"/>
      <c r="BB853" s="47" t="s">
        <v>664</v>
      </c>
      <c r="BC853" s="865">
        <v>299104</v>
      </c>
      <c r="BD853" s="865">
        <v>344864</v>
      </c>
      <c r="BE853" s="865">
        <v>416000</v>
      </c>
      <c r="BF853" s="865">
        <v>532480</v>
      </c>
      <c r="BG853" s="865">
        <v>593216</v>
      </c>
      <c r="BH853" s="70"/>
      <c r="BI853" s="47" t="s">
        <v>664</v>
      </c>
      <c r="BJ853" s="865">
        <v>299104</v>
      </c>
      <c r="BK853" s="865">
        <v>344864</v>
      </c>
      <c r="BL853" s="865">
        <v>416000</v>
      </c>
      <c r="BM853" s="865">
        <v>532480</v>
      </c>
      <c r="BN853" s="865">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311</v>
      </c>
      <c r="K854" s="91"/>
      <c r="L854" s="91"/>
      <c r="M854" s="1731" t="s">
        <v>622</v>
      </c>
      <c r="N854" s="1707"/>
      <c r="O854" s="1707"/>
      <c r="P854" s="1707"/>
      <c r="Q854" s="1707"/>
      <c r="R854" s="1707"/>
      <c r="S854" s="1707"/>
      <c r="T854" s="1707"/>
      <c r="U854" s="1707"/>
      <c r="V854" s="1708"/>
      <c r="W854" s="1709"/>
      <c r="X854" s="1710"/>
      <c r="Y854" s="1710"/>
      <c r="Z854" s="1710"/>
      <c r="AA854" s="1710"/>
      <c r="AB854" s="1710"/>
      <c r="AC854" s="1711"/>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665</v>
      </c>
      <c r="BC854" s="864">
        <v>262291</v>
      </c>
      <c r="BD854" s="864">
        <v>302419</v>
      </c>
      <c r="BE854" s="864">
        <v>364800</v>
      </c>
      <c r="BF854" s="864">
        <v>466944</v>
      </c>
      <c r="BG854" s="864">
        <v>520205</v>
      </c>
      <c r="BH854" s="70"/>
      <c r="BI854" s="47" t="s">
        <v>665</v>
      </c>
      <c r="BJ854" s="864">
        <v>262291</v>
      </c>
      <c r="BK854" s="864">
        <v>302419</v>
      </c>
      <c r="BL854" s="864">
        <v>364800</v>
      </c>
      <c r="BM854" s="864">
        <v>466944</v>
      </c>
      <c r="BN854" s="864">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311</v>
      </c>
      <c r="K855" s="91"/>
      <c r="L855" s="91"/>
      <c r="M855" s="1731" t="s">
        <v>622</v>
      </c>
      <c r="N855" s="1707"/>
      <c r="O855" s="1707"/>
      <c r="P855" s="1707"/>
      <c r="Q855" s="1707"/>
      <c r="R855" s="1707"/>
      <c r="S855" s="1707"/>
      <c r="T855" s="1707"/>
      <c r="U855" s="1707"/>
      <c r="V855" s="1708"/>
      <c r="W855" s="1709"/>
      <c r="X855" s="1710"/>
      <c r="Y855" s="1710"/>
      <c r="Z855" s="1710"/>
      <c r="AA855" s="1710"/>
      <c r="AB855" s="1710"/>
      <c r="AC855" s="1711"/>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666</v>
      </c>
      <c r="BC855" s="865">
        <v>262291</v>
      </c>
      <c r="BD855" s="865">
        <v>302419</v>
      </c>
      <c r="BE855" s="865">
        <v>364800</v>
      </c>
      <c r="BF855" s="865">
        <v>466944</v>
      </c>
      <c r="BG855" s="865">
        <v>520205</v>
      </c>
      <c r="BH855" s="70"/>
      <c r="BI855" s="47" t="s">
        <v>666</v>
      </c>
      <c r="BJ855" s="865">
        <v>262291</v>
      </c>
      <c r="BK855" s="865">
        <v>302419</v>
      </c>
      <c r="BL855" s="865">
        <v>364800</v>
      </c>
      <c r="BM855" s="865">
        <v>466944</v>
      </c>
      <c r="BN855" s="865">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311</v>
      </c>
      <c r="K856" s="91"/>
      <c r="L856" s="91"/>
      <c r="M856" s="1731" t="s">
        <v>622</v>
      </c>
      <c r="N856" s="1707"/>
      <c r="O856" s="1707"/>
      <c r="P856" s="1707"/>
      <c r="Q856" s="1707"/>
      <c r="R856" s="1707"/>
      <c r="S856" s="1707"/>
      <c r="T856" s="1707"/>
      <c r="U856" s="1707"/>
      <c r="V856" s="1708"/>
      <c r="W856" s="1709"/>
      <c r="X856" s="1710"/>
      <c r="Y856" s="1710"/>
      <c r="Z856" s="1710"/>
      <c r="AA856" s="1710"/>
      <c r="AB856" s="1710"/>
      <c r="AC856" s="1711"/>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668</v>
      </c>
      <c r="BC856" s="864">
        <v>238133</v>
      </c>
      <c r="BD856" s="864">
        <v>274565</v>
      </c>
      <c r="BE856" s="864">
        <v>331200</v>
      </c>
      <c r="BF856" s="864">
        <v>423936</v>
      </c>
      <c r="BG856" s="864">
        <v>472291</v>
      </c>
      <c r="BH856" s="70"/>
      <c r="BI856" s="47" t="s">
        <v>668</v>
      </c>
      <c r="BJ856" s="864">
        <v>238133</v>
      </c>
      <c r="BK856" s="864">
        <v>274565</v>
      </c>
      <c r="BL856" s="864">
        <v>331200</v>
      </c>
      <c r="BM856" s="864">
        <v>423936</v>
      </c>
      <c r="BN856" s="864">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16">
        <f>SUM(W852:AC856)</f>
        <v>0</v>
      </c>
      <c r="X857" s="1717"/>
      <c r="Y857" s="1717"/>
      <c r="Z857" s="1717"/>
      <c r="AA857" s="1717"/>
      <c r="AB857" s="1717"/>
      <c r="AC857" s="1718"/>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669</v>
      </c>
      <c r="BC857" s="865">
        <v>262291</v>
      </c>
      <c r="BD857" s="865">
        <v>302419</v>
      </c>
      <c r="BE857" s="865">
        <v>364800</v>
      </c>
      <c r="BF857" s="865">
        <v>466944</v>
      </c>
      <c r="BG857" s="865">
        <v>520205</v>
      </c>
      <c r="BH857" s="70"/>
      <c r="BI857" s="47" t="s">
        <v>669</v>
      </c>
      <c r="BJ857" s="865">
        <v>262291</v>
      </c>
      <c r="BK857" s="865">
        <v>302419</v>
      </c>
      <c r="BL857" s="865">
        <v>364800</v>
      </c>
      <c r="BM857" s="865">
        <v>466944</v>
      </c>
      <c r="BN857" s="865">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670</v>
      </c>
      <c r="BC858" s="864">
        <v>262291</v>
      </c>
      <c r="BD858" s="864">
        <v>302419</v>
      </c>
      <c r="BE858" s="864">
        <v>364800</v>
      </c>
      <c r="BF858" s="864">
        <v>466944</v>
      </c>
      <c r="BG858" s="864">
        <v>520205</v>
      </c>
      <c r="BH858" s="70"/>
      <c r="BI858" s="47" t="s">
        <v>670</v>
      </c>
      <c r="BJ858" s="864">
        <v>262291</v>
      </c>
      <c r="BK858" s="864">
        <v>302419</v>
      </c>
      <c r="BL858" s="864">
        <v>364800</v>
      </c>
      <c r="BM858" s="864">
        <v>466944</v>
      </c>
      <c r="BN858" s="864">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165</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632</v>
      </c>
      <c r="BC859" s="865">
        <v>303706</v>
      </c>
      <c r="BD859" s="865">
        <v>350170</v>
      </c>
      <c r="BE859" s="865">
        <v>422400</v>
      </c>
      <c r="BF859" s="865">
        <v>540672</v>
      </c>
      <c r="BG859" s="865">
        <v>602342</v>
      </c>
      <c r="BH859" s="70"/>
      <c r="BI859" s="47" t="s">
        <v>632</v>
      </c>
      <c r="BJ859" s="865">
        <v>303706</v>
      </c>
      <c r="BK859" s="865">
        <v>350170</v>
      </c>
      <c r="BL859" s="865">
        <v>422400</v>
      </c>
      <c r="BM859" s="865">
        <v>540672</v>
      </c>
      <c r="BN859" s="865">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634</v>
      </c>
      <c r="BC860" s="864">
        <v>299104</v>
      </c>
      <c r="BD860" s="864">
        <v>344864</v>
      </c>
      <c r="BE860" s="864">
        <v>416000</v>
      </c>
      <c r="BF860" s="864">
        <v>532480</v>
      </c>
      <c r="BG860" s="864">
        <v>593216</v>
      </c>
      <c r="BH860" s="70"/>
      <c r="BI860" s="47" t="s">
        <v>634</v>
      </c>
      <c r="BJ860" s="864">
        <v>299104</v>
      </c>
      <c r="BK860" s="864">
        <v>344864</v>
      </c>
      <c r="BL860" s="864">
        <v>416000</v>
      </c>
      <c r="BM860" s="864">
        <v>532480</v>
      </c>
      <c r="BN860" s="864">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16">
        <f>W825+W833+W840+W841+W850+W857+W827</f>
        <v>412450</v>
      </c>
      <c r="AD861" s="1717"/>
      <c r="AE861" s="1717"/>
      <c r="AF861" s="1717"/>
      <c r="AG861" s="1717"/>
      <c r="AH861" s="1718"/>
      <c r="AI861" s="16"/>
      <c r="AJ861" s="16"/>
      <c r="AK861" s="16"/>
      <c r="AL861" s="16"/>
      <c r="AM861" s="66"/>
      <c r="AN861" s="66"/>
      <c r="AO861" s="30"/>
      <c r="AP861" s="30"/>
      <c r="AQ861" s="30"/>
      <c r="AR861" s="30"/>
      <c r="AS861" s="30"/>
      <c r="AT861" s="70"/>
      <c r="AU861" s="70"/>
      <c r="AV861" s="70"/>
      <c r="AW861" s="70"/>
      <c r="AX861" s="70"/>
      <c r="AY861" s="70"/>
      <c r="AZ861" s="70"/>
      <c r="BA861" s="70"/>
      <c r="BB861" s="47" t="s">
        <v>635</v>
      </c>
      <c r="BC861" s="865">
        <v>262291</v>
      </c>
      <c r="BD861" s="865">
        <v>302419</v>
      </c>
      <c r="BE861" s="865">
        <v>364800</v>
      </c>
      <c r="BF861" s="865">
        <v>466944</v>
      </c>
      <c r="BG861" s="865">
        <v>520205</v>
      </c>
      <c r="BH861" s="70"/>
      <c r="BI861" s="47" t="s">
        <v>635</v>
      </c>
      <c r="BJ861" s="865">
        <v>262291</v>
      </c>
      <c r="BK861" s="865">
        <v>302419</v>
      </c>
      <c r="BL861" s="865">
        <v>364800</v>
      </c>
      <c r="BM861" s="865">
        <v>466944</v>
      </c>
      <c r="BN861" s="865">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764</v>
      </c>
      <c r="AC862" s="2176">
        <f>O776+O756+G731</f>
        <v>60</v>
      </c>
      <c r="AD862" s="2177"/>
      <c r="AE862" s="2177"/>
      <c r="AF862" s="2177"/>
      <c r="AG862" s="2177"/>
      <c r="AH862" s="2178"/>
      <c r="AI862" s="16"/>
      <c r="AJ862" s="16"/>
      <c r="AK862" s="16"/>
      <c r="AL862" s="16"/>
      <c r="AM862" s="66"/>
      <c r="AN862" s="66"/>
      <c r="AO862" s="30"/>
      <c r="AP862" s="30"/>
      <c r="AQ862" s="30"/>
      <c r="AR862" s="30"/>
      <c r="AS862" s="30"/>
      <c r="AT862" s="70"/>
      <c r="AU862" s="70"/>
      <c r="AV862" s="70"/>
      <c r="AW862" s="70"/>
      <c r="AX862" s="70"/>
      <c r="AY862" s="70"/>
      <c r="AZ862" s="70"/>
      <c r="BA862" s="70"/>
      <c r="BB862" s="47" t="s">
        <v>636</v>
      </c>
      <c r="BC862" s="864">
        <v>279547</v>
      </c>
      <c r="BD862" s="864">
        <v>322315</v>
      </c>
      <c r="BE862" s="864">
        <v>388800</v>
      </c>
      <c r="BF862" s="864">
        <v>497664</v>
      </c>
      <c r="BG862" s="864">
        <v>554429</v>
      </c>
      <c r="BH862" s="70"/>
      <c r="BI862" s="47" t="s">
        <v>636</v>
      </c>
      <c r="BJ862" s="864">
        <v>279547</v>
      </c>
      <c r="BK862" s="864">
        <v>322315</v>
      </c>
      <c r="BL862" s="864">
        <v>388800</v>
      </c>
      <c r="BM862" s="864">
        <v>497664</v>
      </c>
      <c r="BN862" s="864">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839" t="s">
        <v>385</v>
      </c>
      <c r="F863" s="1840"/>
      <c r="G863" s="1840"/>
      <c r="H863" s="1840"/>
      <c r="I863" s="1840"/>
      <c r="J863" s="1840"/>
      <c r="K863" s="1840"/>
      <c r="L863" s="1840"/>
      <c r="M863" s="1840"/>
      <c r="N863" s="1840"/>
      <c r="O863" s="1840"/>
      <c r="P863" s="1840"/>
      <c r="Q863" s="1840"/>
      <c r="R863" s="1840"/>
      <c r="S863" s="1840"/>
      <c r="T863" s="1840"/>
      <c r="U863" s="1840"/>
      <c r="V863" s="1840"/>
      <c r="W863" s="1840"/>
      <c r="X863" s="1840"/>
      <c r="Y863" s="1840"/>
      <c r="Z863" s="1840"/>
      <c r="AA863" s="1840"/>
      <c r="AB863" s="1841"/>
      <c r="AC863" s="2171">
        <f>IF(ISERROR((ROUNDDOWN(AC861/AC862,0))),0,(ROUNDDOWN(AC861/AC862,0)))</f>
        <v>6874</v>
      </c>
      <c r="AD863" s="2172"/>
      <c r="AE863" s="2172"/>
      <c r="AF863" s="2172"/>
      <c r="AG863" s="2172"/>
      <c r="AH863" s="2172"/>
      <c r="AI863" s="16"/>
      <c r="AJ863" s="16"/>
      <c r="AK863" s="16"/>
      <c r="AL863" s="116"/>
      <c r="AM863" s="66"/>
      <c r="AN863" s="66"/>
      <c r="AO863" s="30"/>
      <c r="AP863" s="30"/>
      <c r="AQ863" s="30"/>
      <c r="AR863" s="30"/>
      <c r="AS863" s="30"/>
      <c r="AT863" s="70"/>
      <c r="AU863" s="70"/>
      <c r="AV863" s="70"/>
      <c r="AW863" s="70"/>
      <c r="AX863" s="70"/>
      <c r="AY863" s="70"/>
      <c r="AZ863" s="70"/>
      <c r="BA863" s="70"/>
      <c r="BB863" s="47" t="s">
        <v>637</v>
      </c>
      <c r="BC863" s="865">
        <v>278397</v>
      </c>
      <c r="BD863" s="865">
        <v>320989</v>
      </c>
      <c r="BE863" s="865">
        <v>387200</v>
      </c>
      <c r="BF863" s="865">
        <v>495616</v>
      </c>
      <c r="BG863" s="865">
        <v>552147</v>
      </c>
      <c r="BH863" s="70"/>
      <c r="BI863" s="47" t="s">
        <v>637</v>
      </c>
      <c r="BJ863" s="865">
        <v>278397</v>
      </c>
      <c r="BK863" s="865">
        <v>320989</v>
      </c>
      <c r="BL863" s="865">
        <v>387200</v>
      </c>
      <c r="BM863" s="865">
        <v>495616</v>
      </c>
      <c r="BN863" s="865">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48" t="s">
        <v>706</v>
      </c>
      <c r="AC864" s="1740">
        <f>267720/2</f>
        <v>133860</v>
      </c>
      <c r="AD864" s="2183"/>
      <c r="AE864" s="2183"/>
      <c r="AF864" s="2183"/>
      <c r="AG864" s="2183"/>
      <c r="AH864" s="2183"/>
      <c r="AI864" s="16"/>
      <c r="AJ864" s="16"/>
      <c r="AK864" s="16"/>
      <c r="AL864" s="16"/>
      <c r="AM864" s="66"/>
      <c r="AN864" s="66"/>
      <c r="AO864" s="30"/>
      <c r="AP864" s="30"/>
      <c r="AQ864" s="30"/>
      <c r="AR864" s="30"/>
      <c r="AS864" s="30"/>
      <c r="AT864" s="70"/>
      <c r="AU864" s="70"/>
      <c r="AV864" s="70"/>
      <c r="AW864" s="70"/>
      <c r="AX864" s="70"/>
      <c r="AY864" s="70"/>
      <c r="AZ864" s="70"/>
      <c r="BA864" s="70"/>
      <c r="BB864" s="47" t="s">
        <v>639</v>
      </c>
      <c r="BC864" s="864">
        <v>262291</v>
      </c>
      <c r="BD864" s="864">
        <v>302419</v>
      </c>
      <c r="BE864" s="864">
        <v>364800</v>
      </c>
      <c r="BF864" s="864">
        <v>466944</v>
      </c>
      <c r="BG864" s="864">
        <v>520205</v>
      </c>
      <c r="BH864" s="70"/>
      <c r="BI864" s="47" t="s">
        <v>639</v>
      </c>
      <c r="BJ864" s="864">
        <v>262291</v>
      </c>
      <c r="BK864" s="864">
        <v>302419</v>
      </c>
      <c r="BL864" s="864">
        <v>364800</v>
      </c>
      <c r="BM864" s="864">
        <v>466944</v>
      </c>
      <c r="BN864" s="864">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1892</v>
      </c>
      <c r="AC865" s="1711"/>
      <c r="AD865" s="1757"/>
      <c r="AE865" s="1757"/>
      <c r="AF865" s="1757"/>
      <c r="AG865" s="1757"/>
      <c r="AH865" s="1757"/>
      <c r="AI865" s="16"/>
      <c r="AJ865" s="16"/>
      <c r="AK865" s="16"/>
      <c r="AL865" s="16"/>
      <c r="AM865" s="66"/>
      <c r="AN865" s="66"/>
      <c r="AO865" s="30"/>
      <c r="AP865" s="30"/>
      <c r="AQ865" s="30"/>
      <c r="AR865" s="30"/>
      <c r="AS865" s="30"/>
      <c r="AT865" s="70"/>
      <c r="AU865" s="70"/>
      <c r="AV865" s="70"/>
      <c r="AW865" s="70"/>
      <c r="AX865" s="70"/>
      <c r="AY865" s="70"/>
      <c r="AZ865" s="70"/>
      <c r="BA865" s="70"/>
      <c r="BB865" s="47" t="s">
        <v>640</v>
      </c>
      <c r="BC865" s="865">
        <v>228930</v>
      </c>
      <c r="BD865" s="865">
        <v>263954</v>
      </c>
      <c r="BE865" s="865">
        <v>318400</v>
      </c>
      <c r="BF865" s="865">
        <v>407552</v>
      </c>
      <c r="BG865" s="865">
        <v>454038</v>
      </c>
      <c r="BH865" s="70"/>
      <c r="BI865" s="47" t="s">
        <v>640</v>
      </c>
      <c r="BJ865" s="865">
        <v>228930</v>
      </c>
      <c r="BK865" s="865">
        <v>263954</v>
      </c>
      <c r="BL865" s="865">
        <v>318400</v>
      </c>
      <c r="BM865" s="865">
        <v>407552</v>
      </c>
      <c r="BN865" s="865">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151</v>
      </c>
      <c r="AC866" s="1709">
        <v>67750</v>
      </c>
      <c r="AD866" s="1710"/>
      <c r="AE866" s="1710"/>
      <c r="AF866" s="1710"/>
      <c r="AG866" s="1710"/>
      <c r="AH866" s="1711"/>
      <c r="AI866" s="16"/>
      <c r="AJ866" s="16"/>
      <c r="AK866" s="16"/>
      <c r="AL866" s="16"/>
      <c r="AM866" s="66"/>
      <c r="AN866" s="66"/>
      <c r="AO866" s="30"/>
      <c r="AP866" s="30"/>
      <c r="AQ866" s="30"/>
      <c r="AR866" s="30"/>
      <c r="AS866" s="30"/>
      <c r="AT866" s="70"/>
      <c r="AU866" s="70"/>
      <c r="AV866" s="70"/>
      <c r="AW866" s="70"/>
      <c r="AX866" s="70"/>
      <c r="AY866" s="70"/>
      <c r="AZ866" s="70"/>
      <c r="BA866" s="70"/>
      <c r="BB866" s="47" t="s">
        <v>470</v>
      </c>
      <c r="BC866" s="864">
        <v>278397</v>
      </c>
      <c r="BD866" s="864">
        <v>320989</v>
      </c>
      <c r="BE866" s="864">
        <v>387200</v>
      </c>
      <c r="BF866" s="864">
        <v>495616</v>
      </c>
      <c r="BG866" s="864">
        <v>552147</v>
      </c>
      <c r="BH866" s="70"/>
      <c r="BI866" s="47" t="s">
        <v>470</v>
      </c>
      <c r="BJ866" s="864">
        <v>278397</v>
      </c>
      <c r="BK866" s="864">
        <v>320989</v>
      </c>
      <c r="BL866" s="864">
        <v>387200</v>
      </c>
      <c r="BM866" s="864">
        <v>495616</v>
      </c>
      <c r="BN866" s="864">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773</v>
      </c>
      <c r="AC867" s="1709">
        <v>36000</v>
      </c>
      <c r="AD867" s="1710"/>
      <c r="AE867" s="1710"/>
      <c r="AF867" s="1710"/>
      <c r="AG867" s="1710"/>
      <c r="AH867" s="1711"/>
      <c r="AI867" s="16"/>
      <c r="AJ867" s="16"/>
      <c r="AK867" s="16"/>
      <c r="AL867" s="16"/>
      <c r="AM867" s="66"/>
      <c r="AN867" s="66"/>
      <c r="AO867" s="30"/>
      <c r="AP867" s="30"/>
      <c r="AQ867" s="30"/>
      <c r="AR867" s="30"/>
      <c r="AS867" s="30"/>
      <c r="AT867" s="70"/>
      <c r="AU867" s="70"/>
      <c r="AV867" s="70"/>
      <c r="AW867" s="70"/>
      <c r="AX867" s="70"/>
      <c r="AY867" s="70"/>
      <c r="AZ867" s="70"/>
      <c r="BA867" s="70"/>
      <c r="BB867" s="47" t="s">
        <v>642</v>
      </c>
      <c r="BC867" s="865">
        <v>262291</v>
      </c>
      <c r="BD867" s="865">
        <v>302419</v>
      </c>
      <c r="BE867" s="865">
        <v>364800</v>
      </c>
      <c r="BF867" s="865">
        <v>466944</v>
      </c>
      <c r="BG867" s="865">
        <v>520205</v>
      </c>
      <c r="BH867" s="70"/>
      <c r="BI867" s="47" t="s">
        <v>642</v>
      </c>
      <c r="BJ867" s="865">
        <v>262291</v>
      </c>
      <c r="BK867" s="865">
        <v>302419</v>
      </c>
      <c r="BL867" s="865">
        <v>364800</v>
      </c>
      <c r="BM867" s="865">
        <v>466944</v>
      </c>
      <c r="BN867" s="865">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79" t="s">
        <v>2217</v>
      </c>
      <c r="AC868" s="1709"/>
      <c r="AD868" s="1710"/>
      <c r="AE868" s="1710"/>
      <c r="AF868" s="1710"/>
      <c r="AG868" s="1710"/>
      <c r="AH868" s="1711"/>
      <c r="AI868" s="16"/>
      <c r="AJ868" s="16"/>
      <c r="AK868" s="16"/>
      <c r="AL868" s="16"/>
      <c r="AM868" s="66"/>
      <c r="AN868" s="66"/>
      <c r="AO868" s="30"/>
      <c r="AP868" s="30"/>
      <c r="AQ868" s="30"/>
      <c r="AR868" s="30"/>
      <c r="AS868" s="30"/>
      <c r="AT868" s="70"/>
      <c r="AU868" s="70"/>
      <c r="AV868" s="70"/>
      <c r="AW868" s="70"/>
      <c r="AX868" s="70"/>
      <c r="AY868" s="70"/>
      <c r="AZ868" s="70"/>
      <c r="BA868" s="70"/>
      <c r="BB868" s="47" t="s">
        <v>643</v>
      </c>
      <c r="BC868" s="864">
        <v>228930</v>
      </c>
      <c r="BD868" s="864">
        <v>263954</v>
      </c>
      <c r="BE868" s="864">
        <v>318400</v>
      </c>
      <c r="BF868" s="864">
        <v>407552</v>
      </c>
      <c r="BG868" s="864">
        <v>454038</v>
      </c>
      <c r="BH868" s="70"/>
      <c r="BI868" s="47" t="s">
        <v>643</v>
      </c>
      <c r="BJ868" s="864">
        <v>228930</v>
      </c>
      <c r="BK868" s="864">
        <v>263954</v>
      </c>
      <c r="BL868" s="864">
        <v>318400</v>
      </c>
      <c r="BM868" s="864">
        <v>407552</v>
      </c>
      <c r="BN868" s="864">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79" t="s">
        <v>774</v>
      </c>
      <c r="AC869" s="1709">
        <v>7500</v>
      </c>
      <c r="AD869" s="1710"/>
      <c r="AE869" s="1710"/>
      <c r="AF869" s="1710"/>
      <c r="AG869" s="1710"/>
      <c r="AH869" s="1711"/>
      <c r="AI869" s="16"/>
      <c r="AJ869" s="16"/>
      <c r="AK869" s="16"/>
      <c r="AL869" s="16"/>
      <c r="AM869" s="66"/>
      <c r="AN869" s="66"/>
      <c r="AO869" s="30"/>
      <c r="AP869" s="30"/>
      <c r="AQ869" s="30"/>
      <c r="AR869" s="30"/>
      <c r="AS869" s="30"/>
      <c r="AT869" s="70"/>
      <c r="AU869" s="70"/>
      <c r="AV869" s="70"/>
      <c r="AW869" s="70"/>
      <c r="AX869" s="70"/>
      <c r="AY869" s="70"/>
      <c r="AZ869" s="70"/>
      <c r="BA869" s="70"/>
      <c r="BB869" s="47" t="s">
        <v>644</v>
      </c>
      <c r="BC869" s="865">
        <v>260566</v>
      </c>
      <c r="BD869" s="865">
        <v>300430</v>
      </c>
      <c r="BE869" s="865">
        <v>362400</v>
      </c>
      <c r="BF869" s="865">
        <v>463872</v>
      </c>
      <c r="BG869" s="865">
        <v>516782</v>
      </c>
      <c r="BH869" s="70"/>
      <c r="BI869" s="47" t="s">
        <v>644</v>
      </c>
      <c r="BJ869" s="865">
        <v>260566</v>
      </c>
      <c r="BK869" s="865">
        <v>300430</v>
      </c>
      <c r="BL869" s="865">
        <v>362400</v>
      </c>
      <c r="BM869" s="865">
        <v>463872</v>
      </c>
      <c r="BN869" s="865">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79" t="s">
        <v>2216</v>
      </c>
      <c r="AC870" s="1715"/>
      <c r="AD870" s="1757"/>
      <c r="AE870" s="1757"/>
      <c r="AF870" s="1757"/>
      <c r="AG870" s="1757"/>
      <c r="AH870" s="1757"/>
      <c r="AI870" s="16"/>
      <c r="AJ870" s="16"/>
      <c r="AK870" s="16"/>
      <c r="AL870" s="16"/>
      <c r="AM870" s="66"/>
      <c r="AN870" s="66"/>
      <c r="AO870" s="30"/>
      <c r="AP870" s="30"/>
      <c r="AQ870" s="30"/>
      <c r="AR870" s="30"/>
      <c r="AS870" s="30"/>
      <c r="AT870" s="70"/>
      <c r="AU870" s="70"/>
      <c r="AV870" s="70"/>
      <c r="AW870" s="70"/>
      <c r="AX870" s="70"/>
      <c r="AY870" s="70"/>
      <c r="AZ870" s="70"/>
      <c r="BA870" s="70"/>
      <c r="BB870" s="47" t="s">
        <v>825</v>
      </c>
      <c r="BC870" s="864">
        <v>511928</v>
      </c>
      <c r="BD870" s="864">
        <v>590248</v>
      </c>
      <c r="BE870" s="864">
        <v>712000</v>
      </c>
      <c r="BF870" s="864">
        <v>911360</v>
      </c>
      <c r="BG870" s="864">
        <v>1015312</v>
      </c>
      <c r="BH870" s="70"/>
      <c r="BI870" s="47" t="s">
        <v>825</v>
      </c>
      <c r="BJ870" s="864">
        <v>511928</v>
      </c>
      <c r="BK870" s="864">
        <v>590248</v>
      </c>
      <c r="BL870" s="864">
        <v>712000</v>
      </c>
      <c r="BM870" s="864">
        <v>911360</v>
      </c>
      <c r="BN870" s="864">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2097" t="s">
        <v>1340</v>
      </c>
      <c r="F871" s="2098"/>
      <c r="G871" s="2098"/>
      <c r="H871" s="2098"/>
      <c r="I871" s="2098"/>
      <c r="J871" s="2098"/>
      <c r="K871" s="2098"/>
      <c r="L871" s="2098"/>
      <c r="M871" s="2098"/>
      <c r="N871" s="2098"/>
      <c r="O871" s="2098"/>
      <c r="P871" s="2098"/>
      <c r="Q871" s="2098"/>
      <c r="R871" s="2098"/>
      <c r="S871" s="2098"/>
      <c r="T871" s="2098"/>
      <c r="U871" s="2098"/>
      <c r="V871" s="2098"/>
      <c r="W871" s="2098"/>
      <c r="X871" s="2098"/>
      <c r="Y871" s="2098"/>
      <c r="Z871" s="2098"/>
      <c r="AA871" s="2098"/>
      <c r="AB871" s="2099"/>
      <c r="AC871" s="1757"/>
      <c r="AD871" s="1757"/>
      <c r="AE871" s="1757"/>
      <c r="AF871" s="1757"/>
      <c r="AG871" s="1757"/>
      <c r="AH871" s="1757"/>
      <c r="AI871" s="16"/>
      <c r="AJ871" s="16"/>
      <c r="AK871" s="16"/>
      <c r="AL871" s="16"/>
      <c r="AM871" s="66"/>
      <c r="AN871" s="66"/>
      <c r="AO871" s="30"/>
      <c r="AP871" s="30"/>
      <c r="AQ871" s="30"/>
      <c r="AR871" s="30"/>
      <c r="AS871" s="30"/>
      <c r="AT871" s="70"/>
      <c r="AU871" s="70"/>
      <c r="AV871" s="70"/>
      <c r="AW871" s="70"/>
      <c r="AX871" s="70"/>
      <c r="AY871" s="70"/>
      <c r="AZ871" s="70"/>
      <c r="BA871" s="70"/>
      <c r="BB871" s="47" t="s">
        <v>826</v>
      </c>
      <c r="BC871" s="865">
        <v>238133</v>
      </c>
      <c r="BD871" s="865">
        <v>274565</v>
      </c>
      <c r="BE871" s="865">
        <v>331200</v>
      </c>
      <c r="BF871" s="865">
        <v>423936</v>
      </c>
      <c r="BG871" s="865">
        <v>472291</v>
      </c>
      <c r="BH871" s="70"/>
      <c r="BI871" s="47" t="s">
        <v>826</v>
      </c>
      <c r="BJ871" s="865">
        <v>238133</v>
      </c>
      <c r="BK871" s="865">
        <v>274565</v>
      </c>
      <c r="BL871" s="865">
        <v>331200</v>
      </c>
      <c r="BM871" s="865">
        <v>423936</v>
      </c>
      <c r="BN871" s="865">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97" t="s">
        <v>1340</v>
      </c>
      <c r="F872" s="2098"/>
      <c r="G872" s="2098"/>
      <c r="H872" s="2098"/>
      <c r="I872" s="2098"/>
      <c r="J872" s="2098"/>
      <c r="K872" s="2098"/>
      <c r="L872" s="2098"/>
      <c r="M872" s="2098"/>
      <c r="N872" s="2098"/>
      <c r="O872" s="2098"/>
      <c r="P872" s="2098"/>
      <c r="Q872" s="2098"/>
      <c r="R872" s="2098"/>
      <c r="S872" s="2098"/>
      <c r="T872" s="2098"/>
      <c r="U872" s="2098"/>
      <c r="V872" s="2098"/>
      <c r="W872" s="2098"/>
      <c r="X872" s="2098"/>
      <c r="Y872" s="2098"/>
      <c r="Z872" s="2098"/>
      <c r="AA872" s="2098"/>
      <c r="AB872" s="2099"/>
      <c r="AC872" s="1757"/>
      <c r="AD872" s="1757"/>
      <c r="AE872" s="1757"/>
      <c r="AF872" s="1757"/>
      <c r="AG872" s="1757"/>
      <c r="AH872" s="1757"/>
      <c r="AI872" s="16"/>
      <c r="AJ872" s="16"/>
      <c r="AK872" s="16"/>
      <c r="AL872" s="16"/>
      <c r="AM872" s="66"/>
      <c r="AN872" s="66"/>
      <c r="AO872" s="30"/>
      <c r="AP872" s="30"/>
      <c r="AQ872" s="30"/>
      <c r="AR872" s="30"/>
      <c r="AS872" s="30"/>
      <c r="AT872" s="70"/>
      <c r="AU872" s="70"/>
      <c r="AV872" s="70"/>
      <c r="AW872" s="70"/>
      <c r="AX872" s="70"/>
      <c r="AY872" s="70"/>
      <c r="AZ872" s="70"/>
      <c r="BA872" s="70"/>
      <c r="BB872" s="47" t="s">
        <v>827</v>
      </c>
      <c r="BC872" s="864">
        <v>303706</v>
      </c>
      <c r="BD872" s="864">
        <v>350170</v>
      </c>
      <c r="BE872" s="864">
        <v>422400</v>
      </c>
      <c r="BF872" s="864">
        <v>540672</v>
      </c>
      <c r="BG872" s="864">
        <v>602342</v>
      </c>
      <c r="BH872" s="70"/>
      <c r="BI872" s="47" t="s">
        <v>827</v>
      </c>
      <c r="BJ872" s="864">
        <v>303706</v>
      </c>
      <c r="BK872" s="864">
        <v>350170</v>
      </c>
      <c r="BL872" s="864">
        <v>422400</v>
      </c>
      <c r="BM872" s="864">
        <v>540672</v>
      </c>
      <c r="BN872" s="864">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82"/>
      <c r="AD873" s="2182"/>
      <c r="AE873" s="2182"/>
      <c r="AF873" s="2182"/>
      <c r="AG873" s="2182"/>
      <c r="AH873" s="2182"/>
      <c r="AI873" s="16"/>
      <c r="AJ873" s="16"/>
      <c r="AK873" s="16"/>
      <c r="AL873" s="16"/>
      <c r="AM873" s="132"/>
      <c r="AN873" s="66"/>
      <c r="AO873" s="30"/>
      <c r="AP873" s="30"/>
      <c r="AQ873" s="30"/>
      <c r="AR873" s="30"/>
      <c r="AS873" s="30"/>
      <c r="AT873" s="70"/>
      <c r="AU873" s="70"/>
      <c r="AV873" s="70"/>
      <c r="AW873" s="70"/>
      <c r="AX873" s="70"/>
      <c r="AY873" s="70"/>
      <c r="AZ873" s="70"/>
      <c r="BA873" s="70"/>
      <c r="BB873" s="47" t="s">
        <v>828</v>
      </c>
      <c r="BC873" s="863">
        <v>440028</v>
      </c>
      <c r="BD873" s="863">
        <v>507348</v>
      </c>
      <c r="BE873" s="865">
        <v>612000</v>
      </c>
      <c r="BF873" s="863">
        <v>783360</v>
      </c>
      <c r="BG873" s="863">
        <v>872712</v>
      </c>
      <c r="BH873" s="70"/>
      <c r="BI873" s="47" t="s">
        <v>828</v>
      </c>
      <c r="BJ873" s="863">
        <v>440028</v>
      </c>
      <c r="BK873" s="863">
        <v>507348</v>
      </c>
      <c r="BL873" s="863">
        <v>612000</v>
      </c>
      <c r="BM873" s="863">
        <v>783360</v>
      </c>
      <c r="BN873" s="863">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169</v>
      </c>
      <c r="B874" s="50"/>
      <c r="C874" s="63" t="s">
        <v>404</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1845"/>
      <c r="AO874" s="1845"/>
      <c r="AP874" s="1831"/>
      <c r="AQ874" s="1831"/>
      <c r="AR874" s="1831"/>
      <c r="AS874" s="1831"/>
      <c r="AZ874" s="70"/>
      <c r="BA874" s="70"/>
      <c r="BB874" s="47" t="s">
        <v>829</v>
      </c>
      <c r="BC874" s="864">
        <v>303706</v>
      </c>
      <c r="BD874" s="864">
        <v>350170</v>
      </c>
      <c r="BE874" s="864">
        <v>422400</v>
      </c>
      <c r="BF874" s="864">
        <v>540672</v>
      </c>
      <c r="BG874" s="864">
        <v>602342</v>
      </c>
      <c r="BH874" s="70"/>
      <c r="BI874" s="47" t="s">
        <v>829</v>
      </c>
      <c r="BJ874" s="864">
        <v>303706</v>
      </c>
      <c r="BK874" s="864">
        <v>350170</v>
      </c>
      <c r="BL874" s="864">
        <v>422400</v>
      </c>
      <c r="BM874" s="864">
        <v>540672</v>
      </c>
      <c r="BN874" s="864">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5"/>
      <c r="AH875" s="485"/>
      <c r="AI875" s="485"/>
      <c r="AJ875" s="50"/>
      <c r="AK875" s="50"/>
      <c r="AL875" s="16"/>
      <c r="AM875" s="66"/>
      <c r="AN875" s="66"/>
      <c r="AO875" s="30"/>
      <c r="AP875" s="1831"/>
      <c r="AQ875" s="1831"/>
      <c r="AR875" s="1831"/>
      <c r="AS875" s="1831"/>
      <c r="AV875" s="1831"/>
      <c r="AW875" s="1831"/>
      <c r="AX875" s="1831"/>
      <c r="AY875" s="1831"/>
      <c r="AZ875" s="70"/>
      <c r="BA875" s="70"/>
      <c r="BB875" s="47" t="s">
        <v>830</v>
      </c>
      <c r="BC875" s="863">
        <v>440028</v>
      </c>
      <c r="BD875" s="863">
        <v>507348</v>
      </c>
      <c r="BE875" s="863">
        <v>612000</v>
      </c>
      <c r="BF875" s="863">
        <v>783360</v>
      </c>
      <c r="BG875" s="863">
        <v>872712</v>
      </c>
      <c r="BH875" s="70"/>
      <c r="BI875" s="47" t="s">
        <v>830</v>
      </c>
      <c r="BJ875" s="863">
        <v>440028</v>
      </c>
      <c r="BK875" s="863">
        <v>507348</v>
      </c>
      <c r="BL875" s="863">
        <v>612000</v>
      </c>
      <c r="BM875" s="863">
        <v>783360</v>
      </c>
      <c r="BN875" s="863">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183</v>
      </c>
      <c r="I876" s="91"/>
      <c r="J876" s="91"/>
      <c r="K876" s="91"/>
      <c r="L876" s="91"/>
      <c r="M876" s="91"/>
      <c r="N876" s="91"/>
      <c r="O876" s="91"/>
      <c r="P876" s="91"/>
      <c r="Q876" s="91"/>
      <c r="R876" s="91"/>
      <c r="S876" s="91"/>
      <c r="T876" s="91"/>
      <c r="U876" s="91"/>
      <c r="V876" s="91"/>
      <c r="W876" s="91"/>
      <c r="X876" s="91"/>
      <c r="Y876" s="92"/>
      <c r="Z876" s="1709"/>
      <c r="AA876" s="1710"/>
      <c r="AB876" s="1710"/>
      <c r="AC876" s="1710"/>
      <c r="AD876" s="1710"/>
      <c r="AE876" s="1711"/>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724</v>
      </c>
      <c r="BC876" s="864">
        <v>303706</v>
      </c>
      <c r="BD876" s="864">
        <v>350170</v>
      </c>
      <c r="BE876" s="864">
        <v>422400</v>
      </c>
      <c r="BF876" s="864">
        <v>540672</v>
      </c>
      <c r="BG876" s="864">
        <v>602342</v>
      </c>
      <c r="BH876" s="70"/>
      <c r="BI876" s="47" t="s">
        <v>724</v>
      </c>
      <c r="BJ876" s="864">
        <v>303706</v>
      </c>
      <c r="BK876" s="864">
        <v>350170</v>
      </c>
      <c r="BL876" s="864">
        <v>422400</v>
      </c>
      <c r="BM876" s="864">
        <v>540672</v>
      </c>
      <c r="BN876" s="864">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184</v>
      </c>
      <c r="I877" s="91"/>
      <c r="J877" s="91"/>
      <c r="K877" s="91"/>
      <c r="L877" s="91"/>
      <c r="M877" s="91"/>
      <c r="N877" s="91"/>
      <c r="O877" s="91"/>
      <c r="P877" s="91"/>
      <c r="Q877" s="91"/>
      <c r="R877" s="91"/>
      <c r="S877" s="91"/>
      <c r="T877" s="91"/>
      <c r="U877" s="91"/>
      <c r="V877" s="91"/>
      <c r="W877" s="91"/>
      <c r="X877" s="91"/>
      <c r="Y877" s="91"/>
      <c r="Z877" s="1709"/>
      <c r="AA877" s="1710"/>
      <c r="AB877" s="1710"/>
      <c r="AC877" s="1710"/>
      <c r="AD877" s="1710"/>
      <c r="AE877" s="1711"/>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725</v>
      </c>
      <c r="BC877" s="865">
        <v>230655</v>
      </c>
      <c r="BD877" s="865">
        <v>265943</v>
      </c>
      <c r="BE877" s="865">
        <v>320800</v>
      </c>
      <c r="BF877" s="865">
        <v>410624</v>
      </c>
      <c r="BG877" s="865">
        <v>457461</v>
      </c>
      <c r="BH877" s="70"/>
      <c r="BI877" s="47" t="s">
        <v>725</v>
      </c>
      <c r="BJ877" s="865">
        <v>230655</v>
      </c>
      <c r="BK877" s="865">
        <v>265943</v>
      </c>
      <c r="BL877" s="865">
        <v>320800</v>
      </c>
      <c r="BM877" s="865">
        <v>410624</v>
      </c>
      <c r="BN877" s="865">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862</v>
      </c>
      <c r="I878" s="91"/>
      <c r="J878" s="91"/>
      <c r="K878" s="91"/>
      <c r="L878" s="91"/>
      <c r="M878" s="91"/>
      <c r="N878" s="91"/>
      <c r="O878" s="91"/>
      <c r="P878" s="91"/>
      <c r="Q878" s="91"/>
      <c r="R878" s="91"/>
      <c r="S878" s="91"/>
      <c r="T878" s="91"/>
      <c r="U878" s="91"/>
      <c r="V878" s="91"/>
      <c r="W878" s="91"/>
      <c r="X878" s="91"/>
      <c r="Y878" s="91"/>
      <c r="Z878" s="1709"/>
      <c r="AA878" s="1710"/>
      <c r="AB878" s="1710"/>
      <c r="AC878" s="1710"/>
      <c r="AD878" s="1710"/>
      <c r="AE878" s="1711"/>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726</v>
      </c>
      <c r="BC878" s="864">
        <v>262291</v>
      </c>
      <c r="BD878" s="864">
        <v>302419</v>
      </c>
      <c r="BE878" s="864">
        <v>364800</v>
      </c>
      <c r="BF878" s="864">
        <v>466944</v>
      </c>
      <c r="BG878" s="864">
        <v>520205</v>
      </c>
      <c r="BH878" s="70"/>
      <c r="BI878" s="47" t="s">
        <v>726</v>
      </c>
      <c r="BJ878" s="864">
        <v>262291</v>
      </c>
      <c r="BK878" s="864">
        <v>302419</v>
      </c>
      <c r="BL878" s="864">
        <v>364800</v>
      </c>
      <c r="BM878" s="864">
        <v>466944</v>
      </c>
      <c r="BN878" s="864">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8" t="s">
        <v>863</v>
      </c>
      <c r="Z879" s="1716">
        <f>Z876-(Z877+Z878)</f>
        <v>0</v>
      </c>
      <c r="AA879" s="1717"/>
      <c r="AB879" s="1717"/>
      <c r="AC879" s="1717"/>
      <c r="AD879" s="1717"/>
      <c r="AE879" s="1718"/>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727</v>
      </c>
      <c r="BC879" s="865">
        <v>262291</v>
      </c>
      <c r="BD879" s="865">
        <v>302419</v>
      </c>
      <c r="BE879" s="865">
        <v>364800</v>
      </c>
      <c r="BF879" s="865">
        <v>466944</v>
      </c>
      <c r="BG879" s="865">
        <v>520205</v>
      </c>
      <c r="BH879" s="70"/>
      <c r="BI879" s="47" t="s">
        <v>727</v>
      </c>
      <c r="BJ879" s="865">
        <v>262291</v>
      </c>
      <c r="BK879" s="865">
        <v>302419</v>
      </c>
      <c r="BL879" s="865">
        <v>364800</v>
      </c>
      <c r="BM879" s="865">
        <v>466944</v>
      </c>
      <c r="BN879" s="865">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5"/>
      <c r="F880" s="485"/>
      <c r="G880" s="485"/>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5"/>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728</v>
      </c>
      <c r="BC880" s="864">
        <v>299104</v>
      </c>
      <c r="BD880" s="864">
        <v>344864</v>
      </c>
      <c r="BE880" s="864">
        <v>416000</v>
      </c>
      <c r="BF880" s="864">
        <v>532480</v>
      </c>
      <c r="BG880" s="864">
        <v>593216</v>
      </c>
      <c r="BH880" s="70"/>
      <c r="BI880" s="47" t="s">
        <v>728</v>
      </c>
      <c r="BJ880" s="864">
        <v>299104</v>
      </c>
      <c r="BK880" s="864">
        <v>344864</v>
      </c>
      <c r="BL880" s="864">
        <v>416000</v>
      </c>
      <c r="BM880" s="864">
        <v>532480</v>
      </c>
      <c r="BN880" s="864">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405</v>
      </c>
      <c r="D881" s="393"/>
      <c r="E881" s="485"/>
      <c r="F881" s="485"/>
      <c r="G881" s="485"/>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5"/>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1001</v>
      </c>
      <c r="BC881" s="865">
        <v>299104</v>
      </c>
      <c r="BD881" s="865">
        <v>344864</v>
      </c>
      <c r="BE881" s="865">
        <v>416000</v>
      </c>
      <c r="BF881" s="865">
        <v>532480</v>
      </c>
      <c r="BG881" s="865">
        <v>593216</v>
      </c>
      <c r="BH881" s="70"/>
      <c r="BI881" s="47" t="s">
        <v>1001</v>
      </c>
      <c r="BJ881" s="865">
        <v>299104</v>
      </c>
      <c r="BK881" s="865">
        <v>344864</v>
      </c>
      <c r="BL881" s="865">
        <v>416000</v>
      </c>
      <c r="BM881" s="865">
        <v>532480</v>
      </c>
      <c r="BN881" s="865">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0" t="s">
        <v>406</v>
      </c>
      <c r="D882" s="393"/>
      <c r="E882" s="485"/>
      <c r="F882" s="485"/>
      <c r="G882" s="485"/>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5"/>
      <c r="AG882" s="16"/>
      <c r="AH882" s="16"/>
      <c r="AI882" s="16"/>
      <c r="AJ882" s="16"/>
      <c r="AK882" s="16"/>
      <c r="AL882" s="16"/>
      <c r="AM882" s="133"/>
      <c r="AN882" s="133"/>
      <c r="AO882" s="30"/>
      <c r="AP882" s="30"/>
      <c r="AQ882" s="30"/>
      <c r="AR882" s="30"/>
      <c r="AS882" s="30"/>
      <c r="AT882" s="1746"/>
      <c r="AU882" s="1746"/>
      <c r="AV882" s="1746"/>
      <c r="AW882" s="1746"/>
      <c r="AX882" s="1746"/>
      <c r="AY882" s="1746"/>
      <c r="AZ882" s="70"/>
      <c r="BA882" s="70"/>
      <c r="BB882" s="47" t="s">
        <v>1002</v>
      </c>
      <c r="BC882" s="864">
        <v>238133</v>
      </c>
      <c r="BD882" s="864">
        <v>274565</v>
      </c>
      <c r="BE882" s="864">
        <v>331200</v>
      </c>
      <c r="BF882" s="864">
        <v>423936</v>
      </c>
      <c r="BG882" s="864">
        <v>472291</v>
      </c>
      <c r="BH882" s="70"/>
      <c r="BI882" s="47" t="s">
        <v>1002</v>
      </c>
      <c r="BJ882" s="864">
        <v>238133</v>
      </c>
      <c r="BK882" s="864">
        <v>274565</v>
      </c>
      <c r="BL882" s="864">
        <v>331200</v>
      </c>
      <c r="BM882" s="864">
        <v>423936</v>
      </c>
      <c r="BN882" s="864">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90" t="s">
        <v>407</v>
      </c>
      <c r="D883" s="393"/>
      <c r="E883" s="485"/>
      <c r="F883" s="485"/>
      <c r="G883" s="485"/>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5"/>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5">
        <v>278397</v>
      </c>
      <c r="BD883" s="865">
        <v>320989</v>
      </c>
      <c r="BE883" s="865">
        <v>387200</v>
      </c>
      <c r="BF883" s="865">
        <v>495616</v>
      </c>
      <c r="BG883" s="865">
        <v>552147</v>
      </c>
      <c r="BH883" s="70"/>
      <c r="BI883" s="47" t="s">
        <v>1</v>
      </c>
      <c r="BJ883" s="865">
        <v>278397</v>
      </c>
      <c r="BK883" s="865">
        <v>320989</v>
      </c>
      <c r="BL883" s="865">
        <v>387200</v>
      </c>
      <c r="BM883" s="865">
        <v>495616</v>
      </c>
      <c r="BN883" s="865">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91" t="s">
        <v>824</v>
      </c>
      <c r="D884" s="393"/>
      <c r="E884" s="485"/>
      <c r="F884" s="485"/>
      <c r="G884" s="485"/>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5"/>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4">
        <v>262291</v>
      </c>
      <c r="BD884" s="864">
        <v>302419</v>
      </c>
      <c r="BE884" s="864">
        <v>364800</v>
      </c>
      <c r="BF884" s="864">
        <v>466944</v>
      </c>
      <c r="BG884" s="864">
        <v>520205</v>
      </c>
      <c r="BH884" s="70"/>
      <c r="BI884" s="47" t="s">
        <v>2</v>
      </c>
      <c r="BJ884" s="864">
        <v>262291</v>
      </c>
      <c r="BK884" s="864">
        <v>302419</v>
      </c>
      <c r="BL884" s="864">
        <v>364800</v>
      </c>
      <c r="BM884" s="864">
        <v>466944</v>
      </c>
      <c r="BN884" s="864">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5"/>
      <c r="F885" s="485"/>
      <c r="G885" s="485"/>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5"/>
      <c r="AG885" s="485"/>
      <c r="AH885" s="485"/>
      <c r="AI885" s="485"/>
      <c r="AJ885" s="50"/>
      <c r="AK885" s="50"/>
      <c r="AL885" s="16"/>
      <c r="AM885" s="555"/>
      <c r="AN885" s="555"/>
      <c r="AO885" s="30"/>
      <c r="AP885" s="30"/>
      <c r="AQ885" s="30"/>
      <c r="BB885" s="47" t="s">
        <v>3</v>
      </c>
      <c r="BC885" s="865">
        <v>262291</v>
      </c>
      <c r="BD885" s="865">
        <v>302419</v>
      </c>
      <c r="BE885" s="865">
        <v>364800</v>
      </c>
      <c r="BF885" s="865">
        <v>466944</v>
      </c>
      <c r="BG885" s="865">
        <v>520205</v>
      </c>
      <c r="BH885" s="70"/>
      <c r="BI885" s="47" t="s">
        <v>3</v>
      </c>
      <c r="BJ885" s="865">
        <v>262291</v>
      </c>
      <c r="BK885" s="865">
        <v>302419</v>
      </c>
      <c r="BL885" s="865">
        <v>364800</v>
      </c>
      <c r="BM885" s="865">
        <v>466944</v>
      </c>
      <c r="BN885" s="865">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712" t="s">
        <v>140</v>
      </c>
      <c r="B886" s="1712"/>
      <c r="C886" s="1712"/>
      <c r="D886" s="1712"/>
      <c r="E886" s="1712"/>
      <c r="F886" s="1712"/>
      <c r="G886" s="1712"/>
      <c r="H886" s="1712"/>
      <c r="I886" s="1712"/>
      <c r="J886" s="1712"/>
      <c r="K886" s="1712"/>
      <c r="L886" s="1712"/>
      <c r="M886" s="1712"/>
      <c r="N886" s="1712"/>
      <c r="O886" s="1712"/>
      <c r="P886" s="1712"/>
      <c r="Q886" s="1712"/>
      <c r="R886" s="1712"/>
      <c r="S886" s="1712"/>
      <c r="T886" s="1712"/>
      <c r="U886" s="1712"/>
      <c r="V886" s="1712"/>
      <c r="W886" s="1712"/>
      <c r="X886" s="1712"/>
      <c r="Y886" s="1712"/>
      <c r="Z886" s="1712"/>
      <c r="AA886" s="1712"/>
      <c r="AB886" s="1712"/>
      <c r="AC886" s="1712"/>
      <c r="AD886" s="1712"/>
      <c r="AE886" s="1712"/>
      <c r="AF886" s="1712"/>
      <c r="AG886" s="1712"/>
      <c r="AH886" s="1712"/>
      <c r="AI886" s="1712"/>
      <c r="AJ886" s="1712"/>
      <c r="AK886" s="1712"/>
      <c r="AL886" s="1712"/>
      <c r="AM886" s="66"/>
      <c r="AN886" s="66"/>
      <c r="AO886" s="30"/>
      <c r="AP886" s="30"/>
      <c r="AQ886" s="30"/>
      <c r="BB886" s="47" t="s">
        <v>4</v>
      </c>
      <c r="BC886" s="864">
        <v>238133</v>
      </c>
      <c r="BD886" s="864">
        <v>274565</v>
      </c>
      <c r="BE886" s="864">
        <v>331200</v>
      </c>
      <c r="BF886" s="864">
        <v>423936</v>
      </c>
      <c r="BG886" s="864">
        <v>472291</v>
      </c>
      <c r="BH886" s="70"/>
      <c r="BI886" s="47" t="s">
        <v>4</v>
      </c>
      <c r="BJ886" s="864">
        <v>238133</v>
      </c>
      <c r="BK886" s="864">
        <v>274565</v>
      </c>
      <c r="BL886" s="864">
        <v>331200</v>
      </c>
      <c r="BM886" s="864">
        <v>423936</v>
      </c>
      <c r="BN886" s="864">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712"/>
      <c r="B887" s="1712"/>
      <c r="C887" s="1712"/>
      <c r="D887" s="1712"/>
      <c r="E887" s="1712"/>
      <c r="F887" s="1712"/>
      <c r="G887" s="1712"/>
      <c r="H887" s="1712"/>
      <c r="I887" s="1712"/>
      <c r="J887" s="1712"/>
      <c r="K887" s="1712"/>
      <c r="L887" s="1712"/>
      <c r="M887" s="1712"/>
      <c r="N887" s="1712"/>
      <c r="O887" s="1712"/>
      <c r="P887" s="1712"/>
      <c r="Q887" s="1712"/>
      <c r="R887" s="1712"/>
      <c r="S887" s="1712"/>
      <c r="T887" s="1712"/>
      <c r="U887" s="1712"/>
      <c r="V887" s="1712"/>
      <c r="W887" s="1712"/>
      <c r="X887" s="1712"/>
      <c r="Y887" s="1712"/>
      <c r="Z887" s="1712"/>
      <c r="AA887" s="1712"/>
      <c r="AB887" s="1712"/>
      <c r="AC887" s="1712"/>
      <c r="AD887" s="1712"/>
      <c r="AE887" s="1712"/>
      <c r="AF887" s="1712"/>
      <c r="AG887" s="1712"/>
      <c r="AH887" s="1712"/>
      <c r="AI887" s="1712"/>
      <c r="AJ887" s="1712"/>
      <c r="AK887" s="1712"/>
      <c r="AL887" s="1712"/>
      <c r="AM887" s="66"/>
      <c r="AN887" s="66"/>
      <c r="AO887" s="30"/>
      <c r="AP887" s="30"/>
      <c r="AQ887" s="30"/>
      <c r="AR887" s="30"/>
      <c r="AS887" s="30"/>
      <c r="AT887" s="70"/>
      <c r="AU887" s="70"/>
      <c r="AV887" s="70"/>
      <c r="AW887" s="70"/>
      <c r="AX887" s="70"/>
      <c r="AY887" s="70"/>
      <c r="AZ887" s="70"/>
      <c r="BA887" s="70"/>
      <c r="BB887" s="47" t="s">
        <v>21</v>
      </c>
      <c r="BC887" s="865">
        <v>262291</v>
      </c>
      <c r="BD887" s="865">
        <v>302419</v>
      </c>
      <c r="BE887" s="865">
        <v>364800</v>
      </c>
      <c r="BF887" s="865">
        <v>466944</v>
      </c>
      <c r="BG887" s="865">
        <v>520205</v>
      </c>
      <c r="BH887" s="70"/>
      <c r="BI887" s="47" t="s">
        <v>21</v>
      </c>
      <c r="BJ887" s="865">
        <v>262291</v>
      </c>
      <c r="BK887" s="865">
        <v>302419</v>
      </c>
      <c r="BL887" s="865">
        <v>364800</v>
      </c>
      <c r="BM887" s="865">
        <v>466944</v>
      </c>
      <c r="BN887" s="865">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4">
        <v>303706</v>
      </c>
      <c r="BD888" s="864">
        <v>350170</v>
      </c>
      <c r="BE888" s="864">
        <v>422400</v>
      </c>
      <c r="BF888" s="864">
        <v>540672</v>
      </c>
      <c r="BG888" s="864">
        <v>602342</v>
      </c>
      <c r="BH888" s="70"/>
      <c r="BI888" s="47" t="s">
        <v>5</v>
      </c>
      <c r="BJ888" s="864">
        <v>303706</v>
      </c>
      <c r="BK888" s="864">
        <v>350170</v>
      </c>
      <c r="BL888" s="864">
        <v>422400</v>
      </c>
      <c r="BM888" s="864">
        <v>540672</v>
      </c>
      <c r="BN888" s="864">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719</v>
      </c>
      <c r="C889" s="63" t="s">
        <v>609</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5">
        <v>278397</v>
      </c>
      <c r="BD889" s="865">
        <v>320989</v>
      </c>
      <c r="BE889" s="865">
        <v>387200</v>
      </c>
      <c r="BF889" s="865">
        <v>495616</v>
      </c>
      <c r="BG889" s="865">
        <v>552147</v>
      </c>
      <c r="BH889" s="70"/>
      <c r="BI889" s="47" t="s">
        <v>6</v>
      </c>
      <c r="BJ889" s="865">
        <v>278397</v>
      </c>
      <c r="BK889" s="865">
        <v>320989</v>
      </c>
      <c r="BL889" s="865">
        <v>387200</v>
      </c>
      <c r="BM889" s="865">
        <v>495616</v>
      </c>
      <c r="BN889" s="865">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492</v>
      </c>
      <c r="BC890" s="864">
        <v>278397</v>
      </c>
      <c r="BD890" s="864">
        <v>320989</v>
      </c>
      <c r="BE890" s="864">
        <v>387200</v>
      </c>
      <c r="BF890" s="864">
        <v>495616</v>
      </c>
      <c r="BG890" s="864">
        <v>552147</v>
      </c>
      <c r="BH890" s="70"/>
      <c r="BI890" s="47" t="s">
        <v>492</v>
      </c>
      <c r="BJ890" s="864">
        <v>278397</v>
      </c>
      <c r="BK890" s="864">
        <v>320989</v>
      </c>
      <c r="BL890" s="864">
        <v>387200</v>
      </c>
      <c r="BM890" s="864">
        <v>495616</v>
      </c>
      <c r="BN890" s="864">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84" t="s">
        <v>1065</v>
      </c>
      <c r="G891" s="2185"/>
      <c r="H891" s="2185"/>
      <c r="I891" s="2185"/>
      <c r="J891" s="2185"/>
      <c r="K891" s="2185"/>
      <c r="L891" s="2185"/>
      <c r="M891" s="2185"/>
      <c r="N891" s="2185"/>
      <c r="O891" s="2185"/>
      <c r="P891" s="2185"/>
      <c r="Q891" s="2185"/>
      <c r="R891" s="2185"/>
      <c r="S891" s="2185"/>
      <c r="T891" s="2186"/>
      <c r="U891" s="1833" t="s">
        <v>384</v>
      </c>
      <c r="V891" s="1834"/>
      <c r="W891" s="1834"/>
      <c r="X891" s="1834"/>
      <c r="Y891" s="1834"/>
      <c r="Z891" s="1834"/>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835" t="s">
        <v>1155</v>
      </c>
      <c r="G892" s="1836"/>
      <c r="H892" s="1836"/>
      <c r="I892" s="1836"/>
      <c r="J892" s="1836"/>
      <c r="K892" s="1836"/>
      <c r="L892" s="1836"/>
      <c r="M892" s="1836"/>
      <c r="N892" s="1836"/>
      <c r="O892" s="1836"/>
      <c r="P892" s="1836"/>
      <c r="Q892" s="1836"/>
      <c r="R892" s="1836"/>
      <c r="S892" s="1836"/>
      <c r="T892" s="2187"/>
      <c r="U892" s="1835"/>
      <c r="V892" s="1836"/>
      <c r="W892" s="1836"/>
      <c r="X892" s="1836"/>
      <c r="Y892" s="1836"/>
      <c r="Z892" s="1836"/>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837"/>
      <c r="G893" s="1838"/>
      <c r="H893" s="1838"/>
      <c r="I893" s="1838"/>
      <c r="J893" s="1838"/>
      <c r="K893" s="1838"/>
      <c r="L893" s="1838"/>
      <c r="M893" s="1838"/>
      <c r="N893" s="1838"/>
      <c r="O893" s="1838"/>
      <c r="P893" s="1838"/>
      <c r="Q893" s="1838"/>
      <c r="R893" s="1838"/>
      <c r="S893" s="1838"/>
      <c r="T893" s="2188"/>
      <c r="U893" s="1837"/>
      <c r="V893" s="1838"/>
      <c r="W893" s="1838"/>
      <c r="X893" s="1838"/>
      <c r="Y893" s="1838"/>
      <c r="Z893" s="1838"/>
      <c r="AA893" s="310"/>
      <c r="AB893" s="2189" t="s">
        <v>61</v>
      </c>
      <c r="AC893" s="2189"/>
      <c r="AD893" s="2189"/>
      <c r="AE893" s="2189"/>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175</v>
      </c>
      <c r="G894" s="91"/>
      <c r="H894" s="91"/>
      <c r="I894" s="91"/>
      <c r="J894" s="91"/>
      <c r="K894" s="91"/>
      <c r="L894" s="91"/>
      <c r="M894" s="91"/>
      <c r="N894" s="91"/>
      <c r="O894" s="91"/>
      <c r="P894" s="91"/>
      <c r="Q894" s="91"/>
      <c r="R894" s="91"/>
      <c r="S894" s="91"/>
      <c r="T894" s="92"/>
      <c r="U894" s="1728" t="s">
        <v>136</v>
      </c>
      <c r="V894" s="1729"/>
      <c r="W894" s="1729"/>
      <c r="X894" s="1729"/>
      <c r="Y894" s="1729"/>
      <c r="Z894" s="1730"/>
      <c r="AA894" s="1738"/>
      <c r="AB894" s="1739"/>
      <c r="AC894" s="1739"/>
      <c r="AD894" s="1739"/>
      <c r="AE894" s="1739"/>
      <c r="AF894" s="1740"/>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177</v>
      </c>
      <c r="G895" s="91"/>
      <c r="H895" s="91"/>
      <c r="I895" s="91"/>
      <c r="J895" s="91"/>
      <c r="K895" s="91"/>
      <c r="L895" s="91"/>
      <c r="M895" s="91"/>
      <c r="N895" s="91"/>
      <c r="O895" s="91"/>
      <c r="P895" s="91"/>
      <c r="Q895" s="91"/>
      <c r="R895" s="91"/>
      <c r="S895" s="91"/>
      <c r="T895" s="92"/>
      <c r="U895" s="1728" t="s">
        <v>136</v>
      </c>
      <c r="V895" s="1729"/>
      <c r="W895" s="1729"/>
      <c r="X895" s="1729"/>
      <c r="Y895" s="1729"/>
      <c r="Z895" s="1730"/>
      <c r="AA895" s="1738"/>
      <c r="AB895" s="1739"/>
      <c r="AC895" s="1739"/>
      <c r="AD895" s="1739"/>
      <c r="AE895" s="1739"/>
      <c r="AF895" s="1740"/>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1050</v>
      </c>
      <c r="G896" s="91"/>
      <c r="H896" s="91"/>
      <c r="I896" s="91"/>
      <c r="J896" s="91"/>
      <c r="K896" s="91"/>
      <c r="L896" s="91"/>
      <c r="M896" s="91"/>
      <c r="N896" s="91"/>
      <c r="O896" s="91"/>
      <c r="P896" s="91"/>
      <c r="Q896" s="91"/>
      <c r="R896" s="91"/>
      <c r="S896" s="91"/>
      <c r="T896" s="92"/>
      <c r="U896" s="1728" t="s">
        <v>136</v>
      </c>
      <c r="V896" s="1729"/>
      <c r="W896" s="1729"/>
      <c r="X896" s="1729"/>
      <c r="Y896" s="1729"/>
      <c r="Z896" s="1730"/>
      <c r="AA896" s="1738"/>
      <c r="AB896" s="1739"/>
      <c r="AC896" s="1739"/>
      <c r="AD896" s="1739"/>
      <c r="AE896" s="1739"/>
      <c r="AF896" s="1740"/>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1051</v>
      </c>
      <c r="G897" s="91"/>
      <c r="H897" s="91"/>
      <c r="I897" s="91"/>
      <c r="J897" s="91"/>
      <c r="K897" s="91"/>
      <c r="L897" s="91"/>
      <c r="M897" s="91"/>
      <c r="N897" s="91"/>
      <c r="O897" s="91"/>
      <c r="P897" s="91"/>
      <c r="Q897" s="91"/>
      <c r="R897" s="91"/>
      <c r="S897" s="91"/>
      <c r="T897" s="92"/>
      <c r="U897" s="1728" t="s">
        <v>136</v>
      </c>
      <c r="V897" s="1729"/>
      <c r="W897" s="1729"/>
      <c r="X897" s="1729"/>
      <c r="Y897" s="1729"/>
      <c r="Z897" s="1730"/>
      <c r="AA897" s="1738"/>
      <c r="AB897" s="1739"/>
      <c r="AC897" s="1739"/>
      <c r="AD897" s="1739"/>
      <c r="AE897" s="1739"/>
      <c r="AF897" s="1740"/>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1052</v>
      </c>
      <c r="G898" s="91"/>
      <c r="H898" s="91"/>
      <c r="I898" s="91"/>
      <c r="J898" s="91"/>
      <c r="K898" s="91"/>
      <c r="L898" s="91"/>
      <c r="M898" s="91"/>
      <c r="N898" s="91"/>
      <c r="O898" s="91"/>
      <c r="P898" s="91"/>
      <c r="Q898" s="91"/>
      <c r="R898" s="91"/>
      <c r="S898" s="91"/>
      <c r="T898" s="92"/>
      <c r="U898" s="1728" t="s">
        <v>136</v>
      </c>
      <c r="V898" s="1729"/>
      <c r="W898" s="1729"/>
      <c r="X898" s="1729"/>
      <c r="Y898" s="1729"/>
      <c r="Z898" s="1730"/>
      <c r="AA898" s="1738"/>
      <c r="AB898" s="1739"/>
      <c r="AC898" s="1739"/>
      <c r="AD898" s="1739"/>
      <c r="AE898" s="1739"/>
      <c r="AF898" s="1740"/>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176</v>
      </c>
      <c r="G899" s="91"/>
      <c r="H899" s="91"/>
      <c r="I899" s="91"/>
      <c r="J899" s="91"/>
      <c r="K899" s="91"/>
      <c r="L899" s="91"/>
      <c r="M899" s="91"/>
      <c r="N899" s="91"/>
      <c r="O899" s="91"/>
      <c r="P899" s="91"/>
      <c r="Q899" s="91"/>
      <c r="R899" s="91"/>
      <c r="S899" s="91"/>
      <c r="T899" s="92"/>
      <c r="U899" s="1728" t="s">
        <v>136</v>
      </c>
      <c r="V899" s="1729"/>
      <c r="W899" s="1729"/>
      <c r="X899" s="1729"/>
      <c r="Y899" s="1729"/>
      <c r="Z899" s="1730"/>
      <c r="AA899" s="1738"/>
      <c r="AB899" s="1739"/>
      <c r="AC899" s="1739"/>
      <c r="AD899" s="1739"/>
      <c r="AE899" s="1739"/>
      <c r="AF899" s="1740"/>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178</v>
      </c>
      <c r="G900" s="91"/>
      <c r="H900" s="91"/>
      <c r="I900" s="91"/>
      <c r="J900" s="91"/>
      <c r="K900" s="91"/>
      <c r="L900" s="91"/>
      <c r="M900" s="91"/>
      <c r="N900" s="91"/>
      <c r="O900" s="91"/>
      <c r="P900" s="91"/>
      <c r="Q900" s="91"/>
      <c r="R900" s="91"/>
      <c r="S900" s="91"/>
      <c r="T900" s="92"/>
      <c r="U900" s="1728" t="s">
        <v>136</v>
      </c>
      <c r="V900" s="1729"/>
      <c r="W900" s="1729"/>
      <c r="X900" s="1729"/>
      <c r="Y900" s="1729"/>
      <c r="Z900" s="1730"/>
      <c r="AA900" s="1738"/>
      <c r="AB900" s="1739"/>
      <c r="AC900" s="1739"/>
      <c r="AD900" s="1739"/>
      <c r="AE900" s="1739"/>
      <c r="AF900" s="1740"/>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6" t="s">
        <v>174</v>
      </c>
      <c r="G901" s="91"/>
      <c r="H901" s="91"/>
      <c r="I901" s="91"/>
      <c r="J901" s="91"/>
      <c r="K901" s="91"/>
      <c r="L901" s="91"/>
      <c r="M901" s="91"/>
      <c r="N901" s="91"/>
      <c r="O901" s="91"/>
      <c r="P901" s="91"/>
      <c r="Q901" s="91"/>
      <c r="R901" s="91"/>
      <c r="S901" s="91"/>
      <c r="T901" s="92"/>
      <c r="U901" s="1728" t="s">
        <v>136</v>
      </c>
      <c r="V901" s="1729"/>
      <c r="W901" s="1729"/>
      <c r="X901" s="1729"/>
      <c r="Y901" s="1729"/>
      <c r="Z901" s="1730"/>
      <c r="AA901" s="1738"/>
      <c r="AB901" s="1739"/>
      <c r="AC901" s="1739"/>
      <c r="AD901" s="1739"/>
      <c r="AE901" s="1739"/>
      <c r="AF901" s="1740"/>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2173</v>
      </c>
      <c r="G902" s="91"/>
      <c r="H902" s="91"/>
      <c r="I902" s="91"/>
      <c r="J902" s="91"/>
      <c r="K902" s="91"/>
      <c r="L902" s="91"/>
      <c r="M902" s="91"/>
      <c r="N902" s="91"/>
      <c r="O902" s="91"/>
      <c r="P902" s="91"/>
      <c r="Q902" s="91"/>
      <c r="R902" s="91"/>
      <c r="S902" s="91"/>
      <c r="T902" s="92"/>
      <c r="U902" s="1728" t="s">
        <v>136</v>
      </c>
      <c r="V902" s="1729"/>
      <c r="W902" s="1729"/>
      <c r="X902" s="1729"/>
      <c r="Y902" s="1729"/>
      <c r="Z902" s="1730"/>
      <c r="AA902" s="1738"/>
      <c r="AB902" s="1739"/>
      <c r="AC902" s="1739"/>
      <c r="AD902" s="1739"/>
      <c r="AE902" s="1739"/>
      <c r="AF902" s="1740"/>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1112</v>
      </c>
      <c r="G903" s="91"/>
      <c r="H903" s="91"/>
      <c r="I903" s="91"/>
      <c r="J903" s="91"/>
      <c r="K903" s="91"/>
      <c r="L903" s="91"/>
      <c r="M903" s="91"/>
      <c r="N903" s="91"/>
      <c r="O903" s="91"/>
      <c r="P903" s="91"/>
      <c r="Q903" s="91"/>
      <c r="R903" s="91"/>
      <c r="S903" s="91"/>
      <c r="T903" s="92"/>
      <c r="U903" s="1728" t="s">
        <v>136</v>
      </c>
      <c r="V903" s="1729"/>
      <c r="W903" s="1729"/>
      <c r="X903" s="1729"/>
      <c r="Y903" s="1729"/>
      <c r="Z903" s="1730"/>
      <c r="AA903" s="1738"/>
      <c r="AB903" s="1739"/>
      <c r="AC903" s="1739"/>
      <c r="AD903" s="1739"/>
      <c r="AE903" s="1739"/>
      <c r="AF903" s="1740"/>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1113</v>
      </c>
      <c r="G904" s="275"/>
      <c r="H904" s="275"/>
      <c r="I904" s="275"/>
      <c r="J904" s="275"/>
      <c r="K904" s="275"/>
      <c r="L904" s="275"/>
      <c r="M904" s="275"/>
      <c r="N904" s="275"/>
      <c r="O904" s="275"/>
      <c r="P904" s="275"/>
      <c r="Q904" s="275"/>
      <c r="R904" s="275"/>
      <c r="S904" s="275"/>
      <c r="T904" s="580"/>
      <c r="U904" s="1842" t="s">
        <v>136</v>
      </c>
      <c r="V904" s="1843"/>
      <c r="W904" s="1843"/>
      <c r="X904" s="1843"/>
      <c r="Y904" s="1843"/>
      <c r="Z904" s="1844"/>
      <c r="AA904" s="1771"/>
      <c r="AB904" s="1772"/>
      <c r="AC904" s="1772"/>
      <c r="AD904" s="1772"/>
      <c r="AE904" s="1772"/>
      <c r="AF904" s="1773"/>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2171</v>
      </c>
      <c r="G905" s="91"/>
      <c r="H905" s="91"/>
      <c r="I905" s="91"/>
      <c r="J905" s="91"/>
      <c r="K905" s="91"/>
      <c r="L905" s="91"/>
      <c r="M905" s="91"/>
      <c r="N905" s="91"/>
      <c r="O905" s="91"/>
      <c r="P905" s="91"/>
      <c r="Q905" s="91"/>
      <c r="R905" s="91"/>
      <c r="S905" s="91"/>
      <c r="T905" s="92"/>
      <c r="U905" s="1728" t="s">
        <v>136</v>
      </c>
      <c r="V905" s="1729"/>
      <c r="W905" s="1729"/>
      <c r="X905" s="1729"/>
      <c r="Y905" s="1729"/>
      <c r="Z905" s="1730"/>
      <c r="AA905" s="1738"/>
      <c r="AB905" s="1739"/>
      <c r="AC905" s="1739"/>
      <c r="AD905" s="1739"/>
      <c r="AE905" s="1739"/>
      <c r="AF905" s="1740"/>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2172</v>
      </c>
      <c r="G906" s="91"/>
      <c r="H906" s="91"/>
      <c r="I906" s="91"/>
      <c r="J906" s="91"/>
      <c r="K906" s="91"/>
      <c r="L906" s="91"/>
      <c r="M906" s="91"/>
      <c r="N906" s="91"/>
      <c r="O906" s="91"/>
      <c r="P906" s="91"/>
      <c r="Q906" s="91"/>
      <c r="R906" s="91"/>
      <c r="S906" s="91"/>
      <c r="T906" s="92"/>
      <c r="U906" s="1728" t="s">
        <v>136</v>
      </c>
      <c r="V906" s="1729"/>
      <c r="W906" s="1729"/>
      <c r="X906" s="1729"/>
      <c r="Y906" s="1729"/>
      <c r="Z906" s="1730"/>
      <c r="AA906" s="1738"/>
      <c r="AB906" s="1739"/>
      <c r="AC906" s="1739"/>
      <c r="AD906" s="1739"/>
      <c r="AE906" s="1739"/>
      <c r="AF906" s="1740"/>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173</v>
      </c>
      <c r="G907" s="91"/>
      <c r="H907" s="91"/>
      <c r="I907" s="91"/>
      <c r="J907" s="91"/>
      <c r="K907" s="91"/>
      <c r="L907" s="91"/>
      <c r="M907" s="91"/>
      <c r="N907" s="91"/>
      <c r="O907" s="91"/>
      <c r="P907" s="91"/>
      <c r="Q907" s="91"/>
      <c r="R907" s="91"/>
      <c r="S907" s="91"/>
      <c r="T907" s="92"/>
      <c r="U907" s="1728" t="s">
        <v>136</v>
      </c>
      <c r="V907" s="1729"/>
      <c r="W907" s="1729"/>
      <c r="X907" s="1729"/>
      <c r="Y907" s="1729"/>
      <c r="Z907" s="1730"/>
      <c r="AA907" s="1738"/>
      <c r="AB907" s="1739"/>
      <c r="AC907" s="1739"/>
      <c r="AD907" s="1739"/>
      <c r="AE907" s="1739"/>
      <c r="AF907" s="1740"/>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1131</v>
      </c>
      <c r="G908" s="91"/>
      <c r="H908" s="91"/>
      <c r="I908" s="91"/>
      <c r="J908" s="91"/>
      <c r="K908" s="91"/>
      <c r="L908" s="91"/>
      <c r="M908" s="91"/>
      <c r="N908" s="91"/>
      <c r="O908" s="91"/>
      <c r="P908" s="1777" t="s">
        <v>531</v>
      </c>
      <c r="Q908" s="1729"/>
      <c r="R908" s="1729"/>
      <c r="S908" s="1729"/>
      <c r="T908" s="1730"/>
      <c r="U908" s="1728" t="s">
        <v>136</v>
      </c>
      <c r="V908" s="1729"/>
      <c r="W908" s="1729"/>
      <c r="X908" s="1729"/>
      <c r="Y908" s="1729"/>
      <c r="Z908" s="1730"/>
      <c r="AA908" s="1738"/>
      <c r="AB908" s="1739"/>
      <c r="AC908" s="1739"/>
      <c r="AD908" s="1739"/>
      <c r="AE908" s="1739"/>
      <c r="AF908" s="1740"/>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417</v>
      </c>
      <c r="G909" s="94"/>
      <c r="H909" s="94"/>
      <c r="I909" s="1758" t="s">
        <v>2482</v>
      </c>
      <c r="J909" s="1724"/>
      <c r="K909" s="1724"/>
      <c r="L909" s="1724"/>
      <c r="M909" s="1724"/>
      <c r="N909" s="1724"/>
      <c r="O909" s="1724"/>
      <c r="P909" s="1724"/>
      <c r="Q909" s="1724"/>
      <c r="R909" s="1724"/>
      <c r="S909" s="1724"/>
      <c r="T909" s="1725"/>
      <c r="U909" s="1728" t="s">
        <v>119</v>
      </c>
      <c r="V909" s="1729"/>
      <c r="W909" s="1729"/>
      <c r="X909" s="1729"/>
      <c r="Y909" s="1729"/>
      <c r="Z909" s="1730"/>
      <c r="AA909" s="1738">
        <v>1300000</v>
      </c>
      <c r="AB909" s="1739"/>
      <c r="AC909" s="1739"/>
      <c r="AD909" s="1739"/>
      <c r="AE909" s="1739"/>
      <c r="AF909" s="1740"/>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908</v>
      </c>
      <c r="G910" s="94"/>
      <c r="H910" s="94"/>
      <c r="I910" s="1758" t="s">
        <v>2481</v>
      </c>
      <c r="J910" s="1724"/>
      <c r="K910" s="1724"/>
      <c r="L910" s="1724"/>
      <c r="M910" s="1724"/>
      <c r="N910" s="1724"/>
      <c r="O910" s="1724"/>
      <c r="P910" s="1724"/>
      <c r="Q910" s="1724"/>
      <c r="R910" s="1724"/>
      <c r="S910" s="1724"/>
      <c r="T910" s="1725"/>
      <c r="U910" s="1728" t="s">
        <v>119</v>
      </c>
      <c r="V910" s="1729"/>
      <c r="W910" s="1729"/>
      <c r="X910" s="1729"/>
      <c r="Y910" s="1729"/>
      <c r="Z910" s="1730"/>
      <c r="AA910" s="1738">
        <v>2700000</v>
      </c>
      <c r="AB910" s="1739"/>
      <c r="AC910" s="1739"/>
      <c r="AD910" s="1739"/>
      <c r="AE910" s="1739"/>
      <c r="AF910" s="1740"/>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311</v>
      </c>
      <c r="G911" s="94"/>
      <c r="H911" s="94"/>
      <c r="I911" s="1758" t="s">
        <v>2508</v>
      </c>
      <c r="J911" s="1724"/>
      <c r="K911" s="1724"/>
      <c r="L911" s="1724"/>
      <c r="M911" s="1724"/>
      <c r="N911" s="1724"/>
      <c r="O911" s="1724"/>
      <c r="P911" s="1724"/>
      <c r="Q911" s="1724"/>
      <c r="R911" s="1724"/>
      <c r="S911" s="1724"/>
      <c r="T911" s="1725"/>
      <c r="U911" s="1728" t="s">
        <v>119</v>
      </c>
      <c r="V911" s="1729"/>
      <c r="W911" s="1729"/>
      <c r="X911" s="1729"/>
      <c r="Y911" s="1729"/>
      <c r="Z911" s="1730"/>
      <c r="AA911" s="1738">
        <v>1800000</v>
      </c>
      <c r="AB911" s="1739"/>
      <c r="AC911" s="1739"/>
      <c r="AD911" s="1739"/>
      <c r="AE911" s="1739"/>
      <c r="AF911" s="1740"/>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311</v>
      </c>
      <c r="G912" s="94"/>
      <c r="H912" s="94"/>
      <c r="I912" s="1723" t="s">
        <v>622</v>
      </c>
      <c r="J912" s="1724"/>
      <c r="K912" s="1724"/>
      <c r="L912" s="1724"/>
      <c r="M912" s="1724"/>
      <c r="N912" s="1724"/>
      <c r="O912" s="1724"/>
      <c r="P912" s="1724"/>
      <c r="Q912" s="1724"/>
      <c r="R912" s="1724"/>
      <c r="S912" s="1724"/>
      <c r="T912" s="1725"/>
      <c r="U912" s="1728" t="s">
        <v>136</v>
      </c>
      <c r="V912" s="1729"/>
      <c r="W912" s="1729"/>
      <c r="X912" s="1729"/>
      <c r="Y912" s="1729"/>
      <c r="Z912" s="1730"/>
      <c r="AA912" s="1738"/>
      <c r="AB912" s="1739"/>
      <c r="AC912" s="1739"/>
      <c r="AD912" s="1739"/>
      <c r="AE912" s="1739"/>
      <c r="AF912" s="1740"/>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512</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909</v>
      </c>
      <c r="D917" s="91"/>
      <c r="E917" s="91"/>
      <c r="F917" s="91"/>
      <c r="G917" s="91"/>
      <c r="H917" s="91"/>
      <c r="I917" s="91"/>
      <c r="J917" s="91"/>
      <c r="K917" s="91"/>
      <c r="L917" s="1765">
        <v>44377</v>
      </c>
      <c r="M917" s="1877"/>
      <c r="N917" s="1877"/>
      <c r="O917" s="1877"/>
      <c r="P917" s="1877"/>
      <c r="Q917" s="1877"/>
      <c r="R917" s="1877"/>
      <c r="S917" s="1904"/>
      <c r="U917" s="117" t="s">
        <v>909</v>
      </c>
      <c r="V917" s="91"/>
      <c r="W917" s="91"/>
      <c r="X917" s="91"/>
      <c r="Y917" s="91"/>
      <c r="Z917" s="91"/>
      <c r="AA917" s="91"/>
      <c r="AB917" s="91"/>
      <c r="AC917" s="91"/>
      <c r="AD917" s="92"/>
      <c r="AE917" s="1765"/>
      <c r="AF917" s="1766"/>
      <c r="AG917" s="1766"/>
      <c r="AH917" s="1766"/>
      <c r="AI917" s="1766"/>
      <c r="AJ917" s="1766"/>
      <c r="AK917" s="1767"/>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910</v>
      </c>
      <c r="D918" s="91"/>
      <c r="E918" s="91"/>
      <c r="F918" s="91"/>
      <c r="G918" s="91"/>
      <c r="H918" s="91"/>
      <c r="I918" s="91"/>
      <c r="J918" s="91"/>
      <c r="K918" s="91"/>
      <c r="L918" s="1918" t="s">
        <v>2512</v>
      </c>
      <c r="M918" s="1877"/>
      <c r="N918" s="1877"/>
      <c r="O918" s="1877"/>
      <c r="P918" s="1877"/>
      <c r="Q918" s="1877"/>
      <c r="R918" s="1877"/>
      <c r="S918" s="1904"/>
      <c r="U918" s="117" t="s">
        <v>910</v>
      </c>
      <c r="V918" s="91"/>
      <c r="W918" s="91"/>
      <c r="X918" s="91"/>
      <c r="Y918" s="91"/>
      <c r="Z918" s="91"/>
      <c r="AA918" s="91"/>
      <c r="AB918" s="91"/>
      <c r="AC918" s="91"/>
      <c r="AD918" s="92"/>
      <c r="AE918" s="1768"/>
      <c r="AF918" s="1769"/>
      <c r="AG918" s="1769"/>
      <c r="AH918" s="1769"/>
      <c r="AI918" s="1769"/>
      <c r="AJ918" s="1769"/>
      <c r="AK918" s="1770"/>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1227</v>
      </c>
      <c r="D919" s="91"/>
      <c r="E919" s="91"/>
      <c r="L919" s="1915" t="s">
        <v>86</v>
      </c>
      <c r="M919" s="1916"/>
      <c r="N919" s="1916"/>
      <c r="O919" s="1916"/>
      <c r="P919" s="1916"/>
      <c r="Q919" s="1916"/>
      <c r="R919" s="1916"/>
      <c r="S919" s="1917"/>
      <c r="U919" s="117" t="s">
        <v>1227</v>
      </c>
      <c r="V919" s="91"/>
      <c r="W919" s="91"/>
      <c r="AE919" s="1732" t="s">
        <v>86</v>
      </c>
      <c r="AF919" s="1733"/>
      <c r="AG919" s="1733"/>
      <c r="AH919" s="1733"/>
      <c r="AI919" s="1733"/>
      <c r="AJ919" s="1733"/>
      <c r="AK919" s="1734"/>
      <c r="AL919" s="119"/>
      <c r="AM919" s="75"/>
      <c r="AN919" s="75"/>
      <c r="AO919" s="75"/>
      <c r="AP919" s="75"/>
      <c r="AQ919" s="75"/>
      <c r="AR919" s="75"/>
      <c r="AS919" s="75"/>
      <c r="AT919" s="75"/>
      <c r="AU919" s="75"/>
      <c r="AV919" s="75"/>
      <c r="AW919" s="66" t="s">
        <v>649</v>
      </c>
      <c r="AX919" s="319">
        <v>20</v>
      </c>
      <c r="AY919" s="1832">
        <f>IF(AD955&gt;0,0.2,0)</f>
        <v>0</v>
      </c>
      <c r="AZ919" s="1832"/>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911</v>
      </c>
      <c r="D920" s="91"/>
      <c r="E920" s="91"/>
      <c r="F920" s="91"/>
      <c r="G920" s="91"/>
      <c r="H920" s="91"/>
      <c r="I920" s="91"/>
      <c r="J920" s="91"/>
      <c r="K920" s="91"/>
      <c r="L920" s="1762">
        <f>15/59</f>
        <v>0.25423728813559321</v>
      </c>
      <c r="M920" s="1763"/>
      <c r="N920" s="1763"/>
      <c r="O920" s="1763"/>
      <c r="P920" s="1763"/>
      <c r="Q920" s="1763"/>
      <c r="R920" s="1763"/>
      <c r="S920" s="1764"/>
      <c r="U920" s="117" t="s">
        <v>911</v>
      </c>
      <c r="V920" s="91"/>
      <c r="W920" s="91"/>
      <c r="X920" s="91"/>
      <c r="Y920" s="91"/>
      <c r="Z920" s="91"/>
      <c r="AA920" s="91"/>
      <c r="AB920" s="91"/>
      <c r="AC920" s="91"/>
      <c r="AD920" s="92"/>
      <c r="AE920" s="1762"/>
      <c r="AF920" s="1763"/>
      <c r="AG920" s="1763"/>
      <c r="AH920" s="1763"/>
      <c r="AI920" s="1763"/>
      <c r="AJ920" s="1763"/>
      <c r="AK920" s="1764"/>
      <c r="AL920" s="119"/>
      <c r="AM920" s="75"/>
      <c r="AN920" s="75"/>
      <c r="AO920" s="75"/>
      <c r="AP920" s="75"/>
      <c r="AQ920" s="75"/>
      <c r="AR920" s="75"/>
      <c r="AS920" s="75"/>
      <c r="AT920" s="75"/>
      <c r="AU920" s="75"/>
      <c r="AV920" s="75"/>
      <c r="AX920" s="16">
        <v>5</v>
      </c>
      <c r="AY920" s="1832">
        <f>IF(AD958&gt;0,0.05,0)</f>
        <v>0</v>
      </c>
      <c r="AZ920" s="1832"/>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912</v>
      </c>
      <c r="D921" s="91"/>
      <c r="E921" s="91"/>
      <c r="F921" s="91"/>
      <c r="G921" s="91"/>
      <c r="H921" s="91"/>
      <c r="I921" s="91"/>
      <c r="J921" s="91"/>
      <c r="K921" s="91"/>
      <c r="L921" s="1919">
        <v>15</v>
      </c>
      <c r="M921" s="1920"/>
      <c r="N921" s="1920"/>
      <c r="O921" s="1920"/>
      <c r="P921" s="1920"/>
      <c r="Q921" s="1920"/>
      <c r="R921" s="1920"/>
      <c r="S921" s="1921"/>
      <c r="U921" s="117" t="s">
        <v>912</v>
      </c>
      <c r="V921" s="91"/>
      <c r="W921" s="91"/>
      <c r="X921" s="91"/>
      <c r="Y921" s="91"/>
      <c r="Z921" s="91"/>
      <c r="AA921" s="91"/>
      <c r="AB921" s="91"/>
      <c r="AC921" s="91"/>
      <c r="AD921" s="92"/>
      <c r="AE921" s="2107"/>
      <c r="AF921" s="2101"/>
      <c r="AG921" s="2101"/>
      <c r="AH921" s="2101"/>
      <c r="AI921" s="2101"/>
      <c r="AJ921" s="2101"/>
      <c r="AK921" s="2102"/>
      <c r="AL921" s="119"/>
      <c r="AM921" s="75"/>
      <c r="AN921" s="75"/>
      <c r="AO921" s="75"/>
      <c r="AP921" s="75"/>
      <c r="AQ921" s="75"/>
      <c r="AR921" s="75"/>
      <c r="AS921" s="75"/>
      <c r="AT921" s="75"/>
      <c r="AU921" s="75"/>
      <c r="AV921" s="75"/>
      <c r="AW921" s="66" t="s">
        <v>650</v>
      </c>
      <c r="AX921" s="319">
        <v>7</v>
      </c>
      <c r="AY921" s="1897">
        <f>IF(AD962&gt;0,0.07,0)</f>
        <v>0</v>
      </c>
      <c r="AZ921" s="1897"/>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913</v>
      </c>
      <c r="D922" s="91"/>
      <c r="E922" s="91"/>
      <c r="F922" s="91"/>
      <c r="G922" s="91"/>
      <c r="H922" s="91"/>
      <c r="I922" s="91"/>
      <c r="J922" s="91"/>
      <c r="K922" s="91"/>
      <c r="L922" s="1709">
        <f>Z787</f>
        <v>76428</v>
      </c>
      <c r="M922" s="1710"/>
      <c r="N922" s="1710"/>
      <c r="O922" s="1710"/>
      <c r="P922" s="1710"/>
      <c r="Q922" s="1710"/>
      <c r="R922" s="1710"/>
      <c r="S922" s="1711"/>
      <c r="U922" s="117" t="s">
        <v>913</v>
      </c>
      <c r="V922" s="91"/>
      <c r="W922" s="91"/>
      <c r="X922" s="91"/>
      <c r="Y922" s="91"/>
      <c r="Z922" s="91"/>
      <c r="AA922" s="91"/>
      <c r="AB922" s="91"/>
      <c r="AC922" s="91"/>
      <c r="AD922" s="92"/>
      <c r="AE922" s="1738"/>
      <c r="AF922" s="1739"/>
      <c r="AG922" s="1739"/>
      <c r="AH922" s="1739"/>
      <c r="AI922" s="1739"/>
      <c r="AJ922" s="1739"/>
      <c r="AK922" s="1740"/>
      <c r="AL922" s="119"/>
      <c r="AM922" s="75"/>
      <c r="AN922" s="75"/>
      <c r="AO922" s="75"/>
      <c r="AP922" s="75"/>
      <c r="AQ922" s="75"/>
      <c r="AR922" s="75"/>
      <c r="AS922" s="75"/>
      <c r="AT922" s="75"/>
      <c r="AU922" s="75"/>
      <c r="AV922" s="75"/>
      <c r="AW922" s="66" t="s">
        <v>164</v>
      </c>
      <c r="AX922" s="319">
        <v>2</v>
      </c>
      <c r="AY922" s="1885">
        <f>IF(AD966&gt;0,0.02,0)</f>
        <v>0</v>
      </c>
      <c r="AZ922" s="1886"/>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914</v>
      </c>
      <c r="D923" s="91"/>
      <c r="E923" s="91"/>
      <c r="F923" s="91"/>
      <c r="G923" s="91"/>
      <c r="H923" s="91"/>
      <c r="I923" s="91"/>
      <c r="J923" s="91"/>
      <c r="K923" s="91"/>
      <c r="L923" s="1709">
        <f>L922*20</f>
        <v>1528560</v>
      </c>
      <c r="M923" s="1710"/>
      <c r="N923" s="1710"/>
      <c r="O923" s="1710"/>
      <c r="P923" s="1710"/>
      <c r="Q923" s="1710"/>
      <c r="R923" s="1710"/>
      <c r="S923" s="1711"/>
      <c r="U923" s="117" t="s">
        <v>914</v>
      </c>
      <c r="V923" s="91"/>
      <c r="W923" s="91"/>
      <c r="X923" s="91"/>
      <c r="Y923" s="91"/>
      <c r="Z923" s="91"/>
      <c r="AA923" s="91"/>
      <c r="AB923" s="91"/>
      <c r="AC923" s="91"/>
      <c r="AD923" s="92"/>
      <c r="AE923" s="1738"/>
      <c r="AF923" s="1739"/>
      <c r="AG923" s="1739"/>
      <c r="AH923" s="1739"/>
      <c r="AI923" s="1739"/>
      <c r="AJ923" s="1739"/>
      <c r="AK923" s="1740"/>
      <c r="AL923" s="119"/>
      <c r="AM923" s="75"/>
      <c r="AN923" s="75"/>
      <c r="AO923" s="75"/>
      <c r="AP923" s="75"/>
      <c r="AQ923" s="75"/>
      <c r="AR923" s="75"/>
      <c r="AS923" s="75"/>
      <c r="AT923" s="75"/>
      <c r="AU923" s="75"/>
      <c r="AV923" s="75"/>
      <c r="AW923" s="66" t="s">
        <v>651</v>
      </c>
      <c r="AX923" s="319">
        <v>2</v>
      </c>
      <c r="AY923" s="1885">
        <f>IF(AD968&gt;0,0.02,0)</f>
        <v>0</v>
      </c>
      <c r="AZ923" s="1886"/>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859</v>
      </c>
      <c r="D924" s="91"/>
      <c r="E924" s="91"/>
      <c r="F924" s="91"/>
      <c r="G924" s="91"/>
      <c r="H924" s="91"/>
      <c r="I924" s="91"/>
      <c r="J924" s="91"/>
      <c r="K924" s="91"/>
      <c r="L924" s="1887" t="s">
        <v>2474</v>
      </c>
      <c r="M924" s="1888"/>
      <c r="N924" s="1888"/>
      <c r="O924" s="1888"/>
      <c r="P924" s="1888"/>
      <c r="Q924" s="1888"/>
      <c r="R924" s="1888"/>
      <c r="S924" s="1889"/>
      <c r="U924" s="117" t="s">
        <v>859</v>
      </c>
      <c r="V924" s="91"/>
      <c r="W924" s="91"/>
      <c r="X924" s="91"/>
      <c r="Y924" s="91"/>
      <c r="Z924" s="91"/>
      <c r="AA924" s="91"/>
      <c r="AB924" s="91"/>
      <c r="AC924" s="91"/>
      <c r="AD924" s="92"/>
      <c r="AE924" s="1887"/>
      <c r="AF924" s="1888"/>
      <c r="AG924" s="1888"/>
      <c r="AH924" s="1888"/>
      <c r="AI924" s="1888"/>
      <c r="AJ924" s="1888"/>
      <c r="AK924" s="1889"/>
      <c r="AL924" s="119"/>
      <c r="AM924" s="75"/>
      <c r="AN924" s="75"/>
      <c r="AO924" s="75"/>
      <c r="AP924" s="75"/>
      <c r="AQ924" s="75"/>
      <c r="AR924" s="75"/>
      <c r="AS924" s="75"/>
      <c r="AT924" s="75"/>
      <c r="AU924" s="75"/>
      <c r="AV924" s="75"/>
      <c r="AW924" s="66" t="s">
        <v>652</v>
      </c>
      <c r="AX924" s="319">
        <v>10</v>
      </c>
      <c r="AY924" s="1890">
        <f>AY932</f>
        <v>0</v>
      </c>
      <c r="AZ924" s="1891"/>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653</v>
      </c>
      <c r="AX925" s="319">
        <v>15</v>
      </c>
      <c r="AY925" s="1885"/>
      <c r="AZ925" s="1886"/>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131</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551</v>
      </c>
      <c r="AX926" s="319"/>
      <c r="AY926" s="1892"/>
      <c r="AZ926" s="1893"/>
      <c r="BA926" s="1894"/>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459</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552</v>
      </c>
      <c r="AX927" s="319">
        <v>10</v>
      </c>
      <c r="AY927" s="1885">
        <f>IF(AD985&gt;0,0.1,0)</f>
        <v>0</v>
      </c>
      <c r="AZ927" s="1886"/>
      <c r="BA927" s="556"/>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90">
        <f>SUM(AY919:AY927)</f>
        <v>0</v>
      </c>
      <c r="AZ928" s="1891"/>
      <c r="BA928" s="30" t="s">
        <v>676</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929</v>
      </c>
      <c r="G929" s="91"/>
      <c r="H929" s="91"/>
      <c r="I929" s="91"/>
      <c r="J929" s="91"/>
      <c r="K929" s="91"/>
      <c r="L929" s="92"/>
      <c r="M929" s="1713"/>
      <c r="N929" s="1714"/>
      <c r="O929" s="1714"/>
      <c r="P929" s="1714"/>
      <c r="Q929" s="1714"/>
      <c r="R929" s="1714"/>
      <c r="S929" s="1715"/>
      <c r="T929" s="117" t="s">
        <v>1054</v>
      </c>
      <c r="U929" s="91"/>
      <c r="V929" s="91"/>
      <c r="W929" s="91"/>
      <c r="X929" s="91"/>
      <c r="Y929" s="91"/>
      <c r="Z929" s="92"/>
      <c r="AA929" s="1713"/>
      <c r="AB929" s="1714"/>
      <c r="AC929" s="1714"/>
      <c r="AD929" s="1714"/>
      <c r="AE929" s="1714"/>
      <c r="AF929" s="1714"/>
      <c r="AG929" s="1715"/>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930</v>
      </c>
      <c r="G930" s="91"/>
      <c r="H930" s="91"/>
      <c r="I930" s="91"/>
      <c r="J930" s="91"/>
      <c r="K930" s="91"/>
      <c r="L930" s="92"/>
      <c r="M930" s="1713"/>
      <c r="N930" s="1714"/>
      <c r="O930" s="1714"/>
      <c r="P930" s="1714"/>
      <c r="Q930" s="1714"/>
      <c r="R930" s="1714"/>
      <c r="S930" s="1715"/>
      <c r="T930" s="117" t="s">
        <v>1053</v>
      </c>
      <c r="U930" s="91"/>
      <c r="V930" s="91"/>
      <c r="W930" s="91"/>
      <c r="X930" s="91"/>
      <c r="Y930" s="91"/>
      <c r="Z930" s="92"/>
      <c r="AA930" s="1713"/>
      <c r="AB930" s="1714"/>
      <c r="AC930" s="1714"/>
      <c r="AD930" s="1714"/>
      <c r="AE930" s="1714"/>
      <c r="AF930" s="1714"/>
      <c r="AG930" s="1715"/>
      <c r="AL930" s="119"/>
      <c r="AM930" s="75"/>
      <c r="AN930" s="75"/>
      <c r="AO930" s="75"/>
      <c r="AP930" s="75"/>
      <c r="AQ930" s="75"/>
      <c r="AR930" s="75"/>
      <c r="AS930" s="75"/>
      <c r="AT930" s="75"/>
      <c r="AU930" s="75"/>
      <c r="AV930" s="75"/>
      <c r="AW930" s="66"/>
      <c r="AX930" s="66"/>
      <c r="AY930" s="1890">
        <f>SUM(AY919:AZ923)+AY927</f>
        <v>0</v>
      </c>
      <c r="AZ930" s="1891"/>
      <c r="BA930" s="1895">
        <v>0.39</v>
      </c>
      <c r="BB930" s="1896"/>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1263</v>
      </c>
      <c r="G931" s="91"/>
      <c r="H931" s="91"/>
      <c r="I931" s="91"/>
      <c r="J931" s="91"/>
      <c r="K931" s="91"/>
      <c r="L931" s="92"/>
      <c r="M931" s="1726" t="s">
        <v>136</v>
      </c>
      <c r="N931" s="1696"/>
      <c r="O931" s="1696"/>
      <c r="P931" s="1696"/>
      <c r="Q931" s="1696"/>
      <c r="R931" s="1696"/>
      <c r="S931" s="1727"/>
      <c r="T931" s="90" t="s">
        <v>626</v>
      </c>
      <c r="U931" s="91"/>
      <c r="V931" s="91"/>
      <c r="W931" s="91"/>
      <c r="X931" s="91"/>
      <c r="Y931" s="91"/>
      <c r="Z931" s="92"/>
      <c r="AA931" s="1713"/>
      <c r="AB931" s="1714"/>
      <c r="AC931" s="1714"/>
      <c r="AD931" s="1714"/>
      <c r="AE931" s="1714"/>
      <c r="AF931" s="1714"/>
      <c r="AG931" s="1715"/>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931</v>
      </c>
      <c r="G932" s="91"/>
      <c r="H932" s="91"/>
      <c r="I932" s="91"/>
      <c r="J932" s="91"/>
      <c r="K932" s="91"/>
      <c r="L932" s="92"/>
      <c r="M932" s="1713"/>
      <c r="N932" s="1714"/>
      <c r="O932" s="1714"/>
      <c r="P932" s="1714"/>
      <c r="Q932" s="1714"/>
      <c r="R932" s="1714"/>
      <c r="S932" s="1715"/>
      <c r="T932" s="90" t="s">
        <v>627</v>
      </c>
      <c r="U932" s="91"/>
      <c r="V932" s="91"/>
      <c r="W932" s="91"/>
      <c r="X932" s="91"/>
      <c r="Y932" s="91"/>
      <c r="Z932" s="92"/>
      <c r="AA932" s="1713"/>
      <c r="AB932" s="1714"/>
      <c r="AC932" s="1714"/>
      <c r="AD932" s="1714"/>
      <c r="AE932" s="1714"/>
      <c r="AF932" s="1714"/>
      <c r="AG932" s="1715"/>
      <c r="AL932" s="119"/>
      <c r="AM932" s="75"/>
      <c r="AN932" s="75"/>
      <c r="AO932" s="75"/>
      <c r="AP932" s="75"/>
      <c r="AQ932" s="75"/>
      <c r="AR932" s="75"/>
      <c r="AS932" s="75"/>
      <c r="AT932" s="75"/>
      <c r="AU932" s="75"/>
      <c r="AV932" s="75"/>
      <c r="AW932" s="75"/>
      <c r="AX932" s="75"/>
      <c r="AY932" s="562">
        <f>IF(SUM(BA945:BA953)&lt;=0.1,SUM(BA945:BA953),0.1)</f>
        <v>0</v>
      </c>
      <c r="AZ932" s="75"/>
      <c r="BA932" s="72" t="s">
        <v>2310</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713"/>
      <c r="N933" s="1714"/>
      <c r="O933" s="1714"/>
      <c r="P933" s="1714"/>
      <c r="Q933" s="1714"/>
      <c r="R933" s="1714"/>
      <c r="S933" s="1715"/>
      <c r="T933" s="90" t="s">
        <v>542</v>
      </c>
      <c r="U933" s="91"/>
      <c r="V933" s="91"/>
      <c r="W933" s="91"/>
      <c r="X933" s="91"/>
      <c r="Y933" s="91"/>
      <c r="Z933" s="92"/>
      <c r="AA933" s="1713"/>
      <c r="AB933" s="1714"/>
      <c r="AC933" s="1714"/>
      <c r="AD933" s="1714"/>
      <c r="AE933" s="1714"/>
      <c r="AF933" s="1714"/>
      <c r="AG933" s="1715"/>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4" t="s">
        <v>1227</v>
      </c>
      <c r="G934" s="86"/>
      <c r="H934" s="86"/>
      <c r="I934" s="86"/>
      <c r="J934" s="86"/>
      <c r="K934" s="86"/>
      <c r="L934" s="108"/>
      <c r="M934" s="1732" t="s">
        <v>86</v>
      </c>
      <c r="N934" s="1733"/>
      <c r="O934" s="1733"/>
      <c r="P934" s="1733"/>
      <c r="Q934" s="1733"/>
      <c r="R934" s="1733"/>
      <c r="S934" s="1734"/>
      <c r="T934" s="1735"/>
      <c r="U934" s="1736"/>
      <c r="V934" s="1736"/>
      <c r="W934" s="1736"/>
      <c r="X934" s="1736"/>
      <c r="Y934" s="1736"/>
      <c r="Z934" s="1737"/>
      <c r="AA934" s="1713"/>
      <c r="AB934" s="1714"/>
      <c r="AC934" s="1714"/>
      <c r="AD934" s="1714"/>
      <c r="AE934" s="1714"/>
      <c r="AF934" s="1714"/>
      <c r="AG934" s="1715"/>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713"/>
      <c r="N935" s="1714"/>
      <c r="O935" s="1714"/>
      <c r="P935" s="1714"/>
      <c r="Q935" s="1714"/>
      <c r="R935" s="1714"/>
      <c r="S935" s="1715"/>
      <c r="T935" s="1735"/>
      <c r="U935" s="1736"/>
      <c r="V935" s="1736"/>
      <c r="W935" s="1736"/>
      <c r="X935" s="1736"/>
      <c r="Y935" s="1736"/>
      <c r="Z935" s="1737"/>
      <c r="AA935" s="1713"/>
      <c r="AB935" s="1714"/>
      <c r="AC935" s="1714"/>
      <c r="AD935" s="1714"/>
      <c r="AE935" s="1714"/>
      <c r="AF935" s="1714"/>
      <c r="AG935" s="1715"/>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625</v>
      </c>
      <c r="G936" s="86"/>
      <c r="H936" s="86"/>
      <c r="I936" s="86"/>
      <c r="J936" s="86"/>
      <c r="K936" s="86"/>
      <c r="L936" s="86"/>
      <c r="M936" s="86"/>
      <c r="N936" s="86"/>
      <c r="O936" s="1726" t="s">
        <v>531</v>
      </c>
      <c r="P936" s="1727"/>
      <c r="Q936" s="228"/>
      <c r="R936" s="228"/>
      <c r="S936" s="229"/>
      <c r="T936" s="85" t="s">
        <v>311</v>
      </c>
      <c r="U936" s="86"/>
      <c r="V936" s="86"/>
      <c r="W936" s="1731" t="s">
        <v>622</v>
      </c>
      <c r="X936" s="1707"/>
      <c r="Y936" s="1707"/>
      <c r="Z936" s="1707"/>
      <c r="AA936" s="1707"/>
      <c r="AB936" s="1707"/>
      <c r="AC936" s="1707"/>
      <c r="AD936" s="1707"/>
      <c r="AE936" s="1707"/>
      <c r="AF936" s="1707"/>
      <c r="AG936" s="1708"/>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908" t="s">
        <v>252</v>
      </c>
      <c r="G937" s="1909"/>
      <c r="H937" s="1909"/>
      <c r="I937" s="1909"/>
      <c r="J937" s="1909"/>
      <c r="K937" s="1909"/>
      <c r="L937" s="1909"/>
      <c r="M937" s="1713"/>
      <c r="N937" s="1714"/>
      <c r="O937" s="1714"/>
      <c r="P937" s="1714"/>
      <c r="Q937" s="1714"/>
      <c r="R937" s="1714"/>
      <c r="S937" s="1715"/>
      <c r="T937" s="93"/>
      <c r="U937" s="94"/>
      <c r="V937" s="94"/>
      <c r="W937" s="94"/>
      <c r="X937" s="94"/>
      <c r="Y937" s="94"/>
      <c r="Z937" s="351" t="s">
        <v>253</v>
      </c>
      <c r="AA937" s="1905"/>
      <c r="AB937" s="1906"/>
      <c r="AC937" s="1906"/>
      <c r="AD937" s="1906"/>
      <c r="AE937" s="1906"/>
      <c r="AF937" s="1906"/>
      <c r="AG937" s="1907"/>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712" t="s">
        <v>141</v>
      </c>
      <c r="B941" s="1712"/>
      <c r="C941" s="1712"/>
      <c r="D941" s="1712"/>
      <c r="E941" s="1712"/>
      <c r="F941" s="1712"/>
      <c r="G941" s="1712"/>
      <c r="H941" s="1712"/>
      <c r="I941" s="1712"/>
      <c r="J941" s="1712"/>
      <c r="K941" s="1712"/>
      <c r="L941" s="1712"/>
      <c r="M941" s="1712"/>
      <c r="N941" s="1712"/>
      <c r="O941" s="1712"/>
      <c r="P941" s="1712"/>
      <c r="Q941" s="1712"/>
      <c r="R941" s="1712"/>
      <c r="S941" s="1712"/>
      <c r="T941" s="1712"/>
      <c r="U941" s="1712"/>
      <c r="V941" s="1712"/>
      <c r="W941" s="1712"/>
      <c r="X941" s="1712"/>
      <c r="Y941" s="1712"/>
      <c r="Z941" s="1712"/>
      <c r="AA941" s="1712"/>
      <c r="AB941" s="1712"/>
      <c r="AC941" s="1712"/>
      <c r="AD941" s="1712"/>
      <c r="AE941" s="1712"/>
      <c r="AF941" s="1712"/>
      <c r="AG941" s="1712"/>
      <c r="AH941" s="1712"/>
      <c r="AI941" s="1712"/>
      <c r="AJ941" s="1712"/>
      <c r="AK941" s="1712"/>
      <c r="AL941" s="1712"/>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712"/>
      <c r="B942" s="1712"/>
      <c r="C942" s="1712"/>
      <c r="D942" s="1712"/>
      <c r="E942" s="1712"/>
      <c r="F942" s="1712"/>
      <c r="G942" s="1712"/>
      <c r="H942" s="1712"/>
      <c r="I942" s="1712"/>
      <c r="J942" s="1712"/>
      <c r="K942" s="1712"/>
      <c r="L942" s="1712"/>
      <c r="M942" s="1712"/>
      <c r="N942" s="1712"/>
      <c r="O942" s="1712"/>
      <c r="P942" s="1712"/>
      <c r="Q942" s="1712"/>
      <c r="R942" s="1712"/>
      <c r="S942" s="1712"/>
      <c r="T942" s="1712"/>
      <c r="U942" s="1712"/>
      <c r="V942" s="1712"/>
      <c r="W942" s="1712"/>
      <c r="X942" s="1712"/>
      <c r="Y942" s="1712"/>
      <c r="Z942" s="1712"/>
      <c r="AA942" s="1712"/>
      <c r="AB942" s="1712"/>
      <c r="AC942" s="1712"/>
      <c r="AD942" s="1712"/>
      <c r="AE942" s="1712"/>
      <c r="AF942" s="1712"/>
      <c r="AG942" s="1712"/>
      <c r="AH942" s="1712"/>
      <c r="AI942" s="1712"/>
      <c r="AJ942" s="1712"/>
      <c r="AK942" s="1712"/>
      <c r="AL942" s="1712"/>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719</v>
      </c>
      <c r="B944" s="35"/>
      <c r="C944" s="62" t="s">
        <v>171</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0">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62"/>
      <c r="D946" s="1759" t="s">
        <v>473</v>
      </c>
      <c r="E946" s="1760"/>
      <c r="F946" s="1760"/>
      <c r="G946" s="1760"/>
      <c r="H946" s="1760"/>
      <c r="I946" s="1760"/>
      <c r="J946" s="1760"/>
      <c r="K946" s="1760"/>
      <c r="L946" s="1760"/>
      <c r="M946" s="1760"/>
      <c r="N946" s="1760"/>
      <c r="O946" s="1760"/>
      <c r="P946" s="1760"/>
      <c r="Q946" s="1761"/>
      <c r="R946" s="1759" t="s">
        <v>474</v>
      </c>
      <c r="S946" s="1760"/>
      <c r="T946" s="1760"/>
      <c r="U946" s="1760"/>
      <c r="V946" s="1760"/>
      <c r="W946" s="1760"/>
      <c r="X946" s="1760"/>
      <c r="Y946" s="1760"/>
      <c r="Z946" s="1760"/>
      <c r="AA946" s="1761"/>
      <c r="AB946" s="1759" t="s">
        <v>475</v>
      </c>
      <c r="AC946" s="1760"/>
      <c r="AD946" s="1760"/>
      <c r="AE946" s="1760"/>
      <c r="AF946" s="1760"/>
      <c r="AG946" s="1760"/>
      <c r="AH946" s="1760"/>
      <c r="AI946" s="1761"/>
      <c r="AJ946" s="1759" t="s">
        <v>476</v>
      </c>
      <c r="AK946" s="1760"/>
      <c r="AL946" s="1760"/>
      <c r="AM946" s="1760"/>
      <c r="AN946" s="1760"/>
      <c r="AO946" s="1760"/>
      <c r="AP946" s="1760"/>
      <c r="AQ946" s="1761"/>
      <c r="AR946" s="75"/>
      <c r="AS946" s="75"/>
      <c r="AT946" s="75"/>
      <c r="AU946" s="75"/>
      <c r="AV946" s="75"/>
      <c r="AW946" s="75"/>
      <c r="AX946" s="75"/>
      <c r="AY946" s="75"/>
      <c r="AZ946" s="75"/>
      <c r="BA946" s="560">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3"/>
      <c r="D947" s="1753" t="s">
        <v>468</v>
      </c>
      <c r="E947" s="1754"/>
      <c r="F947" s="1754"/>
      <c r="G947" s="1754"/>
      <c r="H947" s="1754"/>
      <c r="I947" s="1754"/>
      <c r="J947" s="1754"/>
      <c r="K947" s="1754"/>
      <c r="L947" s="1754"/>
      <c r="M947" s="1754"/>
      <c r="N947" s="1754"/>
      <c r="O947" s="1754"/>
      <c r="P947" s="1754"/>
      <c r="Q947" s="1755"/>
      <c r="R947" s="1756">
        <f>IF(ISNA(IF($BA$819="4%",(INDEX($BC$833:$BG$890,MATCH($BO$819,$BB$833:$BB$890,0),MATCH(D947,$BC$831:$BG$831,0))),(INDEX($BJ$833:$BN$890,MATCH($BO$819,$BI$833:$BI$890,0),MATCH(D947,$BJ$831:$BN$831,0))))),0,IF($BA$819="4%",(INDEX($BC$833:$BG$890,MATCH($BO$819,$BB$833:$BB$890,0),MATCH(D947,$BC$831:$BG$831,0))),(INDEX($BJ$833:$BN$890,MATCH($BO$819,$BI$833:$BI$890,0),MATCH(D947,$BJ$831:$BN$831,0)))))</f>
        <v>238133</v>
      </c>
      <c r="S947" s="1756"/>
      <c r="T947" s="1756"/>
      <c r="U947" s="1756"/>
      <c r="V947" s="1756"/>
      <c r="W947" s="1756"/>
      <c r="X947" s="1756"/>
      <c r="Y947" s="1756"/>
      <c r="Z947" s="1756"/>
      <c r="AA947" s="1756"/>
      <c r="AB947" s="1898">
        <f>BN652</f>
        <v>0</v>
      </c>
      <c r="AC947" s="1899"/>
      <c r="AD947" s="1899"/>
      <c r="AE947" s="1899"/>
      <c r="AF947" s="1899"/>
      <c r="AG947" s="1899"/>
      <c r="AH947" s="1899"/>
      <c r="AI947" s="1900"/>
      <c r="AJ947" s="1901">
        <f>IF(ISERROR((R947*AB947)),0,(R947*AB947))</f>
        <v>0</v>
      </c>
      <c r="AK947" s="1902"/>
      <c r="AL947" s="1902"/>
      <c r="AM947" s="1902"/>
      <c r="AN947" s="1902"/>
      <c r="AO947" s="1902"/>
      <c r="AP947" s="1902"/>
      <c r="AQ947" s="1903"/>
      <c r="AR947" s="75"/>
      <c r="AS947" s="75"/>
      <c r="AT947" s="75"/>
      <c r="AU947" s="75"/>
      <c r="AV947" s="75"/>
      <c r="AW947" s="75"/>
      <c r="AX947" s="75"/>
      <c r="AY947" s="75"/>
      <c r="AZ947" s="75"/>
      <c r="BA947" s="560">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4"/>
      <c r="D948" s="1753" t="s">
        <v>491</v>
      </c>
      <c r="E948" s="1754"/>
      <c r="F948" s="1754"/>
      <c r="G948" s="1754"/>
      <c r="H948" s="1754"/>
      <c r="I948" s="1754"/>
      <c r="J948" s="1754"/>
      <c r="K948" s="1754"/>
      <c r="L948" s="1754"/>
      <c r="M948" s="1754"/>
      <c r="N948" s="1754"/>
      <c r="O948" s="1754"/>
      <c r="P948" s="1754"/>
      <c r="Q948" s="1755"/>
      <c r="R948" s="1756">
        <f>IF(ISNA(IF($BA$819="4%",(INDEX($BC$833:$BG$890,MATCH($BO$819,$BB$833:$BB$890,0),MATCH(D948,$BC$831:$BG$831,0))),(INDEX($BJ$833:$BN$890,MATCH($BO$819,$BI$833:$BI$890,0),MATCH(D948,$BJ$831:$BN$831,0))))),0,IF($BA$819="4%",(INDEX($BC$833:$BG$890,MATCH($BO$819,$BB$833:$BB$890,0),MATCH(D948,$BC$831:$BG$831,0))),(INDEX($BJ$833:$BN$890,MATCH($BO$819,$BI$833:$BI$890,0),MATCH(D948,$BJ$831:$BN$831,0)))))</f>
        <v>274565</v>
      </c>
      <c r="S948" s="1756"/>
      <c r="T948" s="1756"/>
      <c r="U948" s="1756"/>
      <c r="V948" s="1756"/>
      <c r="W948" s="1756"/>
      <c r="X948" s="1756"/>
      <c r="Y948" s="1756"/>
      <c r="Z948" s="1756"/>
      <c r="AA948" s="1756"/>
      <c r="AB948" s="1898">
        <f>BS652</f>
        <v>8</v>
      </c>
      <c r="AC948" s="1899"/>
      <c r="AD948" s="1899"/>
      <c r="AE948" s="1899"/>
      <c r="AF948" s="1899"/>
      <c r="AG948" s="1899"/>
      <c r="AH948" s="1899"/>
      <c r="AI948" s="1900"/>
      <c r="AJ948" s="1901">
        <f>IF(ISERROR((R948*AB948)),0,(R948*AB948))</f>
        <v>2196520</v>
      </c>
      <c r="AK948" s="1902"/>
      <c r="AL948" s="1902"/>
      <c r="AM948" s="1902"/>
      <c r="AN948" s="1902"/>
      <c r="AO948" s="1902"/>
      <c r="AP948" s="1902"/>
      <c r="AQ948" s="1903"/>
      <c r="AR948" s="75"/>
      <c r="AS948" s="75"/>
      <c r="AT948" s="75"/>
      <c r="AU948" s="75"/>
      <c r="AV948" s="75"/>
      <c r="AW948" s="75"/>
      <c r="AX948" s="75"/>
      <c r="AY948" s="75"/>
      <c r="AZ948" s="75"/>
      <c r="BA948" s="560">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64"/>
      <c r="D949" s="1753" t="s">
        <v>853</v>
      </c>
      <c r="E949" s="1754"/>
      <c r="F949" s="1754"/>
      <c r="G949" s="1754"/>
      <c r="H949" s="1754"/>
      <c r="I949" s="1754"/>
      <c r="J949" s="1754"/>
      <c r="K949" s="1754"/>
      <c r="L949" s="1754"/>
      <c r="M949" s="1754"/>
      <c r="N949" s="1754"/>
      <c r="O949" s="1754"/>
      <c r="P949" s="1754"/>
      <c r="Q949" s="1755"/>
      <c r="R949" s="1756">
        <f>IF(ISNA(IF($BA$819="4%",(INDEX($BC$833:$BG$890,MATCH($BO$819,$BB$833:$BB$890,0),MATCH(D949,$BC$831:$BG$831,0))),(INDEX($BJ$833:$BN$890,MATCH($BO$819,$BI$833:$BI$890,0),MATCH(D949,$BJ$831:$BN$831,0))))),0,IF($BA$819="4%",(INDEX($BC$833:$BG$890,MATCH($BO$819,$BB$833:$BB$890,0),MATCH(D949,$BC$831:$BG$831,0))),(INDEX($BJ$833:$BN$890,MATCH($BO$819,$BI$833:$BI$890,0),MATCH(D949,$BJ$831:$BN$831,0)))))</f>
        <v>331200</v>
      </c>
      <c r="S949" s="1756"/>
      <c r="T949" s="1756"/>
      <c r="U949" s="1756"/>
      <c r="V949" s="1756"/>
      <c r="W949" s="1756"/>
      <c r="X949" s="1756"/>
      <c r="Y949" s="1756"/>
      <c r="Z949" s="1756"/>
      <c r="AA949" s="1756"/>
      <c r="AB949" s="1898">
        <f>BX652</f>
        <v>32</v>
      </c>
      <c r="AC949" s="1899"/>
      <c r="AD949" s="1899"/>
      <c r="AE949" s="1899"/>
      <c r="AF949" s="1899"/>
      <c r="AG949" s="1899"/>
      <c r="AH949" s="1899"/>
      <c r="AI949" s="1900"/>
      <c r="AJ949" s="1901">
        <f>IF(ISERROR((R949*AB949)),0,(R949*AB949))</f>
        <v>10598400</v>
      </c>
      <c r="AK949" s="1902"/>
      <c r="AL949" s="1902"/>
      <c r="AM949" s="1902"/>
      <c r="AN949" s="1902"/>
      <c r="AO949" s="1902"/>
      <c r="AP949" s="1902"/>
      <c r="AQ949" s="1903"/>
      <c r="AR949" s="75"/>
      <c r="AS949" s="75"/>
      <c r="AT949" s="75"/>
      <c r="AU949" s="75"/>
      <c r="AV949" s="75"/>
      <c r="AW949" s="75"/>
      <c r="AX949" s="75"/>
      <c r="AY949" s="75"/>
      <c r="AZ949" s="75"/>
      <c r="BA949" s="560">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64"/>
      <c r="D950" s="1753" t="s">
        <v>854</v>
      </c>
      <c r="E950" s="1754"/>
      <c r="F950" s="1754"/>
      <c r="G950" s="1754"/>
      <c r="H950" s="1754"/>
      <c r="I950" s="1754"/>
      <c r="J950" s="1754"/>
      <c r="K950" s="1754"/>
      <c r="L950" s="1754"/>
      <c r="M950" s="1754"/>
      <c r="N950" s="1754"/>
      <c r="O950" s="1754"/>
      <c r="P950" s="1754"/>
      <c r="Q950" s="1755"/>
      <c r="R950" s="1756">
        <f>IF(ISNA(IF($BA$819="4%",(INDEX($BC$833:$BG$890,MATCH($BO$819,$BB$833:$BB$890,0),MATCH(D950,$BC$831:$BG$831,0))),(INDEX($BJ$833:$BN$890,MATCH($BO$819,$BI$833:$BI$890,0),MATCH(D950,$BJ$831:$BN$831,0))))),0,IF($BA$819="4%",(INDEX($BC$833:$BG$890,MATCH($BO$819,$BB$833:$BB$890,0),MATCH(D950,$BC$831:$BG$831,0))),(INDEX($BJ$833:$BN$890,MATCH($BO$819,$BI$833:$BI$890,0),MATCH(D950,$BJ$831:$BN$831,0)))))</f>
        <v>423936</v>
      </c>
      <c r="S950" s="1756"/>
      <c r="T950" s="1756"/>
      <c r="U950" s="1756"/>
      <c r="V950" s="1756"/>
      <c r="W950" s="1756"/>
      <c r="X950" s="1756"/>
      <c r="Y950" s="1756"/>
      <c r="Z950" s="1756"/>
      <c r="AA950" s="1756"/>
      <c r="AB950" s="1898">
        <f>CC652</f>
        <v>20</v>
      </c>
      <c r="AC950" s="1899"/>
      <c r="AD950" s="1899"/>
      <c r="AE950" s="1899"/>
      <c r="AF950" s="1899"/>
      <c r="AG950" s="1899"/>
      <c r="AH950" s="1899"/>
      <c r="AI950" s="1900"/>
      <c r="AJ950" s="1901">
        <f>IF(ISERROR((R950*AB950)),0,(R950*AB950))</f>
        <v>8478720</v>
      </c>
      <c r="AK950" s="1902"/>
      <c r="AL950" s="1902"/>
      <c r="AM950" s="1902"/>
      <c r="AN950" s="1902"/>
      <c r="AO950" s="1902"/>
      <c r="AP950" s="1902"/>
      <c r="AQ950" s="1903"/>
      <c r="AR950" s="75"/>
      <c r="AS950" s="75"/>
      <c r="AT950" s="75"/>
      <c r="AU950" s="75"/>
      <c r="AV950" s="75"/>
      <c r="AW950" s="75"/>
      <c r="AX950" s="75"/>
      <c r="AY950" s="75"/>
      <c r="AZ950" s="75"/>
      <c r="BA950" s="560">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65"/>
      <c r="D951" s="1753" t="s">
        <v>867</v>
      </c>
      <c r="E951" s="1754"/>
      <c r="F951" s="1754"/>
      <c r="G951" s="1754"/>
      <c r="H951" s="1754"/>
      <c r="I951" s="1754"/>
      <c r="J951" s="1754"/>
      <c r="K951" s="1754"/>
      <c r="L951" s="1754"/>
      <c r="M951" s="1754"/>
      <c r="N951" s="1754"/>
      <c r="O951" s="1754"/>
      <c r="P951" s="1754"/>
      <c r="Q951" s="1755"/>
      <c r="R951" s="1756">
        <f>IF(ISNA(IF($BA$819="4%",(INDEX($BC$833:$BG$890,MATCH($BO$819,$BB$833:$BB$890,0),MATCH(D951,$BC$831:$BG$831,0))),(INDEX($BJ$833:$BN$890,MATCH($BO$819,$BI$833:$BI$890,0),MATCH(D951,$BJ$831:$BN$831,0))))),0,IF($BA$819="4%",(INDEX($BC$833:$BG$890,MATCH($BO$819,$BB$833:$BB$890,0),MATCH(D951,$BC$831:$BG$831,0))),(INDEX($BJ$833:$BN$890,MATCH($BO$819,$BI$833:$BI$890,0),MATCH(D951,$BJ$831:$BN$831,0)))))</f>
        <v>472291</v>
      </c>
      <c r="S951" s="1756"/>
      <c r="T951" s="1756"/>
      <c r="U951" s="1756"/>
      <c r="V951" s="1756"/>
      <c r="W951" s="1756"/>
      <c r="X951" s="1756"/>
      <c r="Y951" s="1756"/>
      <c r="Z951" s="1756"/>
      <c r="AA951" s="1756"/>
      <c r="AB951" s="1898">
        <f>CM652+CH652</f>
        <v>0</v>
      </c>
      <c r="AC951" s="1899"/>
      <c r="AD951" s="1899"/>
      <c r="AE951" s="1899"/>
      <c r="AF951" s="1899"/>
      <c r="AG951" s="1899"/>
      <c r="AH951" s="1899"/>
      <c r="AI951" s="1900"/>
      <c r="AJ951" s="1901">
        <f>IF(ISERROR((R951*AB951)),0,(R951*AB951))</f>
        <v>0</v>
      </c>
      <c r="AK951" s="1902"/>
      <c r="AL951" s="1902"/>
      <c r="AM951" s="1902"/>
      <c r="AN951" s="1902"/>
      <c r="AO951" s="1902"/>
      <c r="AP951" s="1902"/>
      <c r="AQ951" s="1903"/>
      <c r="AR951" s="75"/>
      <c r="AS951" s="75"/>
      <c r="AT951" s="75"/>
      <c r="AU951" s="75"/>
      <c r="AV951" s="75"/>
      <c r="AW951" s="75"/>
      <c r="AX951" s="75"/>
      <c r="AY951" s="75"/>
      <c r="AZ951" s="75"/>
      <c r="BA951" s="560">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227" t="s">
        <v>1064</v>
      </c>
      <c r="C952" s="2228"/>
      <c r="D952" s="2228"/>
      <c r="E952" s="2228"/>
      <c r="F952" s="2228"/>
      <c r="G952" s="2228"/>
      <c r="H952" s="2228"/>
      <c r="I952" s="2228"/>
      <c r="J952" s="2228"/>
      <c r="K952" s="2228"/>
      <c r="L952" s="2228"/>
      <c r="M952" s="2228"/>
      <c r="N952" s="2228"/>
      <c r="O952" s="2228"/>
      <c r="P952" s="2228"/>
      <c r="Q952" s="2228"/>
      <c r="R952" s="2228"/>
      <c r="S952" s="2228"/>
      <c r="T952" s="2228"/>
      <c r="U952" s="2228"/>
      <c r="V952" s="2228"/>
      <c r="W952" s="2228"/>
      <c r="X952" s="2228"/>
      <c r="Y952" s="2228"/>
      <c r="Z952" s="2228"/>
      <c r="AA952" s="2229"/>
      <c r="AB952" s="1898">
        <f>SUM(AB947:AI951)</f>
        <v>60</v>
      </c>
      <c r="AC952" s="1899"/>
      <c r="AD952" s="1899"/>
      <c r="AE952" s="1899"/>
      <c r="AF952" s="1899"/>
      <c r="AG952" s="1899"/>
      <c r="AH952" s="1899"/>
      <c r="AI952" s="1900"/>
      <c r="AJ952" s="1901"/>
      <c r="AK952" s="1902"/>
      <c r="AL952" s="1902"/>
      <c r="AM952" s="1902"/>
      <c r="AN952" s="1902"/>
      <c r="AO952" s="1902"/>
      <c r="AP952" s="1902"/>
      <c r="AQ952" s="1903"/>
      <c r="AR952" s="75"/>
      <c r="AS952" s="75"/>
      <c r="AT952" s="75"/>
      <c r="AU952" s="75"/>
      <c r="AV952" s="75"/>
      <c r="AW952" s="75"/>
      <c r="AX952" s="75"/>
      <c r="AY952" s="75"/>
      <c r="AZ952" s="75"/>
      <c r="BA952" s="560">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230" t="s">
        <v>819</v>
      </c>
      <c r="C953" s="2231"/>
      <c r="D953" s="2231"/>
      <c r="E953" s="2231"/>
      <c r="F953" s="2231"/>
      <c r="G953" s="2231"/>
      <c r="H953" s="2231"/>
      <c r="I953" s="2231"/>
      <c r="J953" s="2231"/>
      <c r="K953" s="2231"/>
      <c r="L953" s="2231"/>
      <c r="M953" s="2231"/>
      <c r="N953" s="2231"/>
      <c r="O953" s="2231"/>
      <c r="P953" s="2231"/>
      <c r="Q953" s="2231"/>
      <c r="R953" s="2231"/>
      <c r="S953" s="2231"/>
      <c r="T953" s="2231"/>
      <c r="U953" s="2231"/>
      <c r="V953" s="2231"/>
      <c r="W953" s="2231"/>
      <c r="X953" s="2231"/>
      <c r="Y953" s="2231"/>
      <c r="Z953" s="2231"/>
      <c r="AA953" s="2231"/>
      <c r="AB953" s="2231"/>
      <c r="AC953" s="2231"/>
      <c r="AD953" s="2231"/>
      <c r="AE953" s="2231"/>
      <c r="AF953" s="2231"/>
      <c r="AG953" s="2231"/>
      <c r="AH953" s="2231"/>
      <c r="AI953" s="2232"/>
      <c r="AJ953" s="1901">
        <f>SUM(AJ947:AQ951)</f>
        <v>21273640</v>
      </c>
      <c r="AK953" s="1902"/>
      <c r="AL953" s="1902"/>
      <c r="AM953" s="1902"/>
      <c r="AN953" s="1902"/>
      <c r="AO953" s="1902"/>
      <c r="AP953" s="1902"/>
      <c r="AQ953" s="1903"/>
      <c r="AR953" s="75"/>
      <c r="AS953" s="75"/>
      <c r="AT953" s="75"/>
      <c r="AU953" s="75"/>
      <c r="AV953" s="75"/>
      <c r="AW953" s="75"/>
      <c r="AX953" s="75"/>
      <c r="AY953" s="75"/>
      <c r="AZ953" s="75"/>
      <c r="BA953" s="561">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233"/>
      <c r="C954" s="2234"/>
      <c r="D954" s="2234"/>
      <c r="E954" s="2234"/>
      <c r="F954" s="2234"/>
      <c r="G954" s="2234"/>
      <c r="H954" s="2234"/>
      <c r="I954" s="2234"/>
      <c r="J954" s="2234"/>
      <c r="K954" s="2234"/>
      <c r="L954" s="2234"/>
      <c r="M954" s="2234"/>
      <c r="N954" s="2234"/>
      <c r="O954" s="2234"/>
      <c r="P954" s="2234"/>
      <c r="Q954" s="2234"/>
      <c r="R954" s="2234"/>
      <c r="S954" s="2234"/>
      <c r="T954" s="2234"/>
      <c r="U954" s="2234"/>
      <c r="V954" s="2234"/>
      <c r="W954" s="2234"/>
      <c r="X954" s="2234"/>
      <c r="Y954" s="2234"/>
      <c r="Z954" s="2234"/>
      <c r="AA954" s="2234"/>
      <c r="AB954" s="2234"/>
      <c r="AC954" s="2234"/>
      <c r="AD954" s="2234"/>
      <c r="AE954" s="2235"/>
      <c r="AF954" s="2236" t="s">
        <v>528</v>
      </c>
      <c r="AG954" s="2237"/>
      <c r="AH954" s="2237"/>
      <c r="AI954" s="2238"/>
      <c r="AJ954" s="2233"/>
      <c r="AK954" s="2234"/>
      <c r="AL954" s="2234"/>
      <c r="AM954" s="2234"/>
      <c r="AN954" s="2234"/>
      <c r="AO954" s="2234"/>
      <c r="AP954" s="2234"/>
      <c r="AQ954" s="223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66" t="s">
        <v>530</v>
      </c>
      <c r="D955" s="1925" t="s">
        <v>2158</v>
      </c>
      <c r="E955" s="1926"/>
      <c r="F955" s="1926"/>
      <c r="G955" s="1926"/>
      <c r="H955" s="1926"/>
      <c r="I955" s="1926"/>
      <c r="J955" s="1926"/>
      <c r="K955" s="1926"/>
      <c r="L955" s="1926"/>
      <c r="M955" s="1926"/>
      <c r="N955" s="1926"/>
      <c r="O955" s="1926"/>
      <c r="P955" s="1926"/>
      <c r="Q955" s="1926"/>
      <c r="R955" s="1926"/>
      <c r="S955" s="1926"/>
      <c r="T955" s="1926"/>
      <c r="U955" s="1926"/>
      <c r="V955" s="1926"/>
      <c r="W955" s="1926"/>
      <c r="X955" s="1926"/>
      <c r="Y955" s="1926"/>
      <c r="Z955" s="1926"/>
      <c r="AA955" s="1926"/>
      <c r="AB955" s="1926"/>
      <c r="AC955" s="1926"/>
      <c r="AD955" s="1926"/>
      <c r="AE955" s="1927"/>
      <c r="AF955" s="128"/>
      <c r="AG955" s="1930" t="s">
        <v>119</v>
      </c>
      <c r="AH955" s="1931"/>
      <c r="AI955" s="131"/>
      <c r="AJ955" s="1932">
        <f>ROUND(IF(AND(AG955="yes",D957&gt;0),AJ953*0.2,0),0)</f>
        <v>4254728</v>
      </c>
      <c r="AK955" s="1933"/>
      <c r="AL955" s="1933"/>
      <c r="AM955" s="1933"/>
      <c r="AN955" s="1933"/>
      <c r="AO955" s="1933"/>
      <c r="AP955" s="1933"/>
      <c r="AQ955" s="1934"/>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67"/>
      <c r="C956" s="1468"/>
      <c r="D956" s="1747" t="s">
        <v>2293</v>
      </c>
      <c r="E956" s="1748"/>
      <c r="F956" s="1748"/>
      <c r="G956" s="1748"/>
      <c r="H956" s="1748"/>
      <c r="I956" s="1748"/>
      <c r="J956" s="1748"/>
      <c r="K956" s="1748"/>
      <c r="L956" s="1748"/>
      <c r="M956" s="1748"/>
      <c r="N956" s="1748"/>
      <c r="O956" s="1748"/>
      <c r="P956" s="1748"/>
      <c r="Q956" s="1748"/>
      <c r="R956" s="1748"/>
      <c r="S956" s="1748"/>
      <c r="T956" s="1748"/>
      <c r="U956" s="1748"/>
      <c r="V956" s="1748"/>
      <c r="W956" s="1748"/>
      <c r="X956" s="1748"/>
      <c r="Y956" s="1748"/>
      <c r="Z956" s="1748"/>
      <c r="AA956" s="1748"/>
      <c r="AB956" s="1748"/>
      <c r="AC956" s="1748"/>
      <c r="AD956" s="1748"/>
      <c r="AE956" s="1749"/>
      <c r="AF956" s="124"/>
      <c r="AG956" s="125"/>
      <c r="AH956" s="125"/>
      <c r="AI956" s="129"/>
      <c r="AJ956" s="1935"/>
      <c r="AK956" s="1936"/>
      <c r="AL956" s="1936"/>
      <c r="AM956" s="1936"/>
      <c r="AN956" s="1936"/>
      <c r="AO956" s="1936"/>
      <c r="AP956" s="1936"/>
      <c r="AQ956" s="1937"/>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67"/>
      <c r="C957" s="1468"/>
      <c r="D957" s="1947" t="s">
        <v>2433</v>
      </c>
      <c r="E957" s="1948"/>
      <c r="F957" s="1948"/>
      <c r="G957" s="1948"/>
      <c r="H957" s="1948"/>
      <c r="I957" s="1948"/>
      <c r="J957" s="1948"/>
      <c r="K957" s="1948"/>
      <c r="L957" s="1948"/>
      <c r="M957" s="1948"/>
      <c r="N957" s="1948"/>
      <c r="O957" s="1948"/>
      <c r="P957" s="1948"/>
      <c r="Q957" s="1948"/>
      <c r="R957" s="1948"/>
      <c r="S957" s="1948"/>
      <c r="T957" s="1948"/>
      <c r="U957" s="1948"/>
      <c r="V957" s="1948"/>
      <c r="W957" s="1948"/>
      <c r="X957" s="1948"/>
      <c r="Y957" s="1948"/>
      <c r="Z957" s="1948"/>
      <c r="AA957" s="1948"/>
      <c r="AB957" s="1948"/>
      <c r="AC957" s="1948"/>
      <c r="AD957" s="1948"/>
      <c r="AE957" s="1949"/>
      <c r="AF957" s="126"/>
      <c r="AG957" s="15"/>
      <c r="AH957" s="15"/>
      <c r="AI957" s="127"/>
      <c r="AJ957" s="1938"/>
      <c r="AK957" s="1939"/>
      <c r="AL957" s="1939"/>
      <c r="AM957" s="1939"/>
      <c r="AN957" s="1939"/>
      <c r="AO957" s="1939"/>
      <c r="AP957" s="1939"/>
      <c r="AQ957" s="1940"/>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69"/>
      <c r="C958" s="1470"/>
      <c r="D958" s="1950" t="s">
        <v>2294</v>
      </c>
      <c r="E958" s="1951"/>
      <c r="F958" s="1951"/>
      <c r="G958" s="1951"/>
      <c r="H958" s="1951"/>
      <c r="I958" s="1951"/>
      <c r="J958" s="1951"/>
      <c r="K958" s="1951"/>
      <c r="L958" s="1951"/>
      <c r="M958" s="1951"/>
      <c r="N958" s="1951"/>
      <c r="O958" s="1951"/>
      <c r="P958" s="1951"/>
      <c r="Q958" s="1951"/>
      <c r="R958" s="1951"/>
      <c r="S958" s="1951"/>
      <c r="T958" s="1951"/>
      <c r="U958" s="1951"/>
      <c r="V958" s="1951"/>
      <c r="W958" s="1951"/>
      <c r="X958" s="1951"/>
      <c r="Y958" s="1951"/>
      <c r="Z958" s="1951"/>
      <c r="AA958" s="1951"/>
      <c r="AB958" s="1951"/>
      <c r="AC958" s="1951"/>
      <c r="AD958" s="1951"/>
      <c r="AE958" s="1952"/>
      <c r="AF958" s="128"/>
      <c r="AG958" s="1928" t="s">
        <v>531</v>
      </c>
      <c r="AH958" s="1929"/>
      <c r="AI958" s="131"/>
      <c r="AJ958" s="1932">
        <f>ROUND(IF(AG958="yes",AJ953*0.05,0),0)</f>
        <v>0</v>
      </c>
      <c r="AK958" s="1933"/>
      <c r="AL958" s="1933"/>
      <c r="AM958" s="1933"/>
      <c r="AN958" s="1933"/>
      <c r="AO958" s="1933"/>
      <c r="AP958" s="1933"/>
      <c r="AQ958" s="1934"/>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67"/>
      <c r="C959" s="1471"/>
      <c r="D959" s="1747" t="s">
        <v>2159</v>
      </c>
      <c r="E959" s="1748"/>
      <c r="F959" s="1748"/>
      <c r="G959" s="1748"/>
      <c r="H959" s="1748"/>
      <c r="I959" s="1748"/>
      <c r="J959" s="1748"/>
      <c r="K959" s="1748"/>
      <c r="L959" s="1748"/>
      <c r="M959" s="1748"/>
      <c r="N959" s="1748"/>
      <c r="O959" s="1748"/>
      <c r="P959" s="1748"/>
      <c r="Q959" s="1748"/>
      <c r="R959" s="1748"/>
      <c r="S959" s="1748"/>
      <c r="T959" s="1748"/>
      <c r="U959" s="1748"/>
      <c r="V959" s="1748"/>
      <c r="W959" s="1748"/>
      <c r="X959" s="1748"/>
      <c r="Y959" s="1748"/>
      <c r="Z959" s="1748"/>
      <c r="AA959" s="1748"/>
      <c r="AB959" s="1748"/>
      <c r="AC959" s="1748"/>
      <c r="AD959" s="1748"/>
      <c r="AE959" s="1749"/>
      <c r="AF959" s="124"/>
      <c r="AG959" s="125"/>
      <c r="AH959" s="125"/>
      <c r="AI959" s="129"/>
      <c r="AJ959" s="1935"/>
      <c r="AK959" s="1936"/>
      <c r="AL959" s="1936"/>
      <c r="AM959" s="1936"/>
      <c r="AN959" s="1936"/>
      <c r="AO959" s="1936"/>
      <c r="AP959" s="1936"/>
      <c r="AQ959" s="1937"/>
      <c r="AR959" s="650"/>
      <c r="AS959" s="650"/>
      <c r="AT959" s="650"/>
      <c r="AU959" s="650"/>
      <c r="AV959" s="650"/>
      <c r="AW959" s="650"/>
      <c r="AX959" s="650"/>
      <c r="AY959" s="650"/>
      <c r="AZ959" s="650"/>
      <c r="BA959" s="650"/>
      <c r="BB959" s="650"/>
      <c r="BC959" s="650"/>
      <c r="BD959" s="650"/>
      <c r="BE959" s="650"/>
      <c r="BF959" s="650"/>
      <c r="BG959" s="650"/>
      <c r="BH959" s="650"/>
      <c r="BI959" s="650"/>
      <c r="BJ959" s="650"/>
      <c r="BK959" s="650"/>
      <c r="BL959" s="650"/>
      <c r="BM959" s="650"/>
      <c r="BN959" s="650"/>
      <c r="BO959" s="650"/>
      <c r="BP959" s="650"/>
      <c r="BQ959" s="650"/>
      <c r="BR959" s="650"/>
      <c r="BS959" s="650"/>
      <c r="BT959" s="650"/>
      <c r="BU959" s="650"/>
      <c r="BV959" s="650"/>
      <c r="BW959" s="650"/>
      <c r="BX959" s="650"/>
      <c r="BY959" s="650"/>
      <c r="BZ959" s="650"/>
      <c r="CA959" s="650"/>
      <c r="CB959" s="650"/>
      <c r="CC959" s="650"/>
      <c r="CD959" s="650"/>
      <c r="CE959" s="650"/>
      <c r="CF959" s="650"/>
      <c r="CG959" s="650"/>
      <c r="CH959" s="650"/>
      <c r="CI959" s="650"/>
      <c r="CJ959" s="650"/>
      <c r="CK959" s="650"/>
      <c r="CL959" s="650"/>
      <c r="CM959" s="650"/>
      <c r="CN959" s="650"/>
      <c r="CO959" s="650"/>
      <c r="CP959" s="650"/>
      <c r="CQ959" s="650"/>
      <c r="CR959" s="650"/>
      <c r="CS959" s="650"/>
    </row>
    <row r="960" spans="1:97" ht="12.75" customHeight="1">
      <c r="A960" s="65"/>
      <c r="B960" s="1467"/>
      <c r="C960" s="1471"/>
      <c r="D960" s="1747"/>
      <c r="E960" s="1748"/>
      <c r="F960" s="1748"/>
      <c r="G960" s="1748"/>
      <c r="H960" s="1748"/>
      <c r="I960" s="1748"/>
      <c r="J960" s="1748"/>
      <c r="K960" s="1748"/>
      <c r="L960" s="1748"/>
      <c r="M960" s="1748"/>
      <c r="N960" s="1748"/>
      <c r="O960" s="1748"/>
      <c r="P960" s="1748"/>
      <c r="Q960" s="1748"/>
      <c r="R960" s="1748"/>
      <c r="S960" s="1748"/>
      <c r="T960" s="1748"/>
      <c r="U960" s="1748"/>
      <c r="V960" s="1748"/>
      <c r="W960" s="1748"/>
      <c r="X960" s="1748"/>
      <c r="Y960" s="1748"/>
      <c r="Z960" s="1748"/>
      <c r="AA960" s="1748"/>
      <c r="AB960" s="1748"/>
      <c r="AC960" s="1748"/>
      <c r="AD960" s="1748"/>
      <c r="AE960" s="1749"/>
      <c r="AF960" s="124"/>
      <c r="AG960" s="125"/>
      <c r="AH960" s="125"/>
      <c r="AI960" s="129"/>
      <c r="AJ960" s="1935"/>
      <c r="AK960" s="1936"/>
      <c r="AL960" s="1936"/>
      <c r="AM960" s="1936"/>
      <c r="AN960" s="1936"/>
      <c r="AO960" s="1936"/>
      <c r="AP960" s="1936"/>
      <c r="AQ960" s="1937"/>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67"/>
      <c r="C961" s="1471"/>
      <c r="D961" s="1747"/>
      <c r="E961" s="1748"/>
      <c r="F961" s="1748"/>
      <c r="G961" s="1748"/>
      <c r="H961" s="1748"/>
      <c r="I961" s="1748"/>
      <c r="J961" s="1748"/>
      <c r="K961" s="1748"/>
      <c r="L961" s="1748"/>
      <c r="M961" s="1748"/>
      <c r="N961" s="1748"/>
      <c r="O961" s="1748"/>
      <c r="P961" s="1748"/>
      <c r="Q961" s="1748"/>
      <c r="R961" s="1748"/>
      <c r="S961" s="1748"/>
      <c r="T961" s="1748"/>
      <c r="U961" s="1748"/>
      <c r="V961" s="1748"/>
      <c r="W961" s="1748"/>
      <c r="X961" s="1748"/>
      <c r="Y961" s="1748"/>
      <c r="Z961" s="1748"/>
      <c r="AA961" s="1748"/>
      <c r="AB961" s="1748"/>
      <c r="AC961" s="1748"/>
      <c r="AD961" s="1748"/>
      <c r="AE961" s="1749"/>
      <c r="AF961" s="124"/>
      <c r="AG961" s="125"/>
      <c r="AH961" s="125"/>
      <c r="AI961" s="129"/>
      <c r="AJ961" s="1935"/>
      <c r="AK961" s="1936"/>
      <c r="AL961" s="1936"/>
      <c r="AM961" s="1936"/>
      <c r="AN961" s="1936"/>
      <c r="AO961" s="1936"/>
      <c r="AP961" s="1936"/>
      <c r="AQ961" s="1937"/>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67"/>
      <c r="C962" s="1471"/>
      <c r="D962" s="1747"/>
      <c r="E962" s="1748"/>
      <c r="F962" s="1748"/>
      <c r="G962" s="1748"/>
      <c r="H962" s="1748"/>
      <c r="I962" s="1748"/>
      <c r="J962" s="1748"/>
      <c r="K962" s="1748"/>
      <c r="L962" s="1748"/>
      <c r="M962" s="1748"/>
      <c r="N962" s="1748"/>
      <c r="O962" s="1748"/>
      <c r="P962" s="1748"/>
      <c r="Q962" s="1748"/>
      <c r="R962" s="1748"/>
      <c r="S962" s="1748"/>
      <c r="T962" s="1748"/>
      <c r="U962" s="1748"/>
      <c r="V962" s="1748"/>
      <c r="W962" s="1748"/>
      <c r="X962" s="1748"/>
      <c r="Y962" s="1748"/>
      <c r="Z962" s="1748"/>
      <c r="AA962" s="1748"/>
      <c r="AB962" s="1748"/>
      <c r="AC962" s="1748"/>
      <c r="AD962" s="1748"/>
      <c r="AE962" s="1749"/>
      <c r="AF962" s="124"/>
      <c r="AG962" s="125"/>
      <c r="AH962" s="125"/>
      <c r="AI962" s="129"/>
      <c r="AJ962" s="1935"/>
      <c r="AK962" s="1936"/>
      <c r="AL962" s="1936"/>
      <c r="AM962" s="1936"/>
      <c r="AN962" s="1936"/>
      <c r="AO962" s="1936"/>
      <c r="AP962" s="1936"/>
      <c r="AQ962" s="1937"/>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72"/>
      <c r="C963" s="1473"/>
      <c r="D963" s="1750"/>
      <c r="E963" s="1751"/>
      <c r="F963" s="1751"/>
      <c r="G963" s="1751"/>
      <c r="H963" s="1751"/>
      <c r="I963" s="1751"/>
      <c r="J963" s="1751"/>
      <c r="K963" s="1751"/>
      <c r="L963" s="1751"/>
      <c r="M963" s="1751"/>
      <c r="N963" s="1751"/>
      <c r="O963" s="1751"/>
      <c r="P963" s="1751"/>
      <c r="Q963" s="1751"/>
      <c r="R963" s="1751"/>
      <c r="S963" s="1751"/>
      <c r="T963" s="1751"/>
      <c r="U963" s="1751"/>
      <c r="V963" s="1751"/>
      <c r="W963" s="1751"/>
      <c r="X963" s="1751"/>
      <c r="Y963" s="1751"/>
      <c r="Z963" s="1751"/>
      <c r="AA963" s="1751"/>
      <c r="AB963" s="1751"/>
      <c r="AC963" s="1751"/>
      <c r="AD963" s="1751"/>
      <c r="AE963" s="1752"/>
      <c r="AF963" s="126"/>
      <c r="AG963" s="15"/>
      <c r="AH963" s="15"/>
      <c r="AI963" s="127"/>
      <c r="AJ963" s="1938"/>
      <c r="AK963" s="1939"/>
      <c r="AL963" s="1939"/>
      <c r="AM963" s="1939"/>
      <c r="AN963" s="1939"/>
      <c r="AO963" s="1939"/>
      <c r="AP963" s="1939"/>
      <c r="AQ963" s="1940"/>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69"/>
      <c r="C964" s="882" t="s">
        <v>534</v>
      </c>
      <c r="D964" s="1950" t="s">
        <v>2295</v>
      </c>
      <c r="E964" s="1951"/>
      <c r="F964" s="1951"/>
      <c r="G964" s="1951"/>
      <c r="H964" s="1951"/>
      <c r="I964" s="1951"/>
      <c r="J964" s="1951"/>
      <c r="K964" s="1951"/>
      <c r="L964" s="1951"/>
      <c r="M964" s="1951"/>
      <c r="N964" s="1951"/>
      <c r="O964" s="1951"/>
      <c r="P964" s="1951"/>
      <c r="Q964" s="1951"/>
      <c r="R964" s="1951"/>
      <c r="S964" s="1951"/>
      <c r="T964" s="1951"/>
      <c r="U964" s="1951"/>
      <c r="V964" s="1951"/>
      <c r="W964" s="1951"/>
      <c r="X964" s="1951"/>
      <c r="Y964" s="1951"/>
      <c r="Z964" s="1951"/>
      <c r="AA964" s="1951"/>
      <c r="AB964" s="1951"/>
      <c r="AC964" s="1951"/>
      <c r="AD964" s="1951"/>
      <c r="AE964" s="1952"/>
      <c r="AF964" s="130"/>
      <c r="AG964" s="1928" t="s">
        <v>531</v>
      </c>
      <c r="AH964" s="1929"/>
      <c r="AI964" s="131"/>
      <c r="AJ964" s="1932">
        <f>ROUND(IF(AG964="yes",AJ953*0.1,0),0)</f>
        <v>0</v>
      </c>
      <c r="AK964" s="1933"/>
      <c r="AL964" s="1933"/>
      <c r="AM964" s="1933"/>
      <c r="AN964" s="1933"/>
      <c r="AO964" s="1933"/>
      <c r="AP964" s="1933"/>
      <c r="AQ964" s="1934"/>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3"/>
      <c r="D965" s="1941" t="s">
        <v>2296</v>
      </c>
      <c r="E965" s="1942"/>
      <c r="F965" s="1942"/>
      <c r="G965" s="1942"/>
      <c r="H965" s="1942"/>
      <c r="I965" s="1942"/>
      <c r="J965" s="1942"/>
      <c r="K965" s="1942"/>
      <c r="L965" s="1942"/>
      <c r="M965" s="1942"/>
      <c r="N965" s="1942"/>
      <c r="O965" s="1942"/>
      <c r="P965" s="1942"/>
      <c r="Q965" s="1942"/>
      <c r="R965" s="1942"/>
      <c r="S965" s="1942"/>
      <c r="T965" s="1942"/>
      <c r="U965" s="1942"/>
      <c r="V965" s="1942"/>
      <c r="W965" s="1942"/>
      <c r="X965" s="1942"/>
      <c r="Y965" s="1942"/>
      <c r="Z965" s="1942"/>
      <c r="AA965" s="1942"/>
      <c r="AB965" s="1942"/>
      <c r="AC965" s="1942"/>
      <c r="AD965" s="1942"/>
      <c r="AE965" s="1943"/>
      <c r="AF965" s="124"/>
      <c r="AG965" s="35"/>
      <c r="AH965" s="35"/>
      <c r="AI965" s="129"/>
      <c r="AJ965" s="1935"/>
      <c r="AK965" s="1936"/>
      <c r="AL965" s="1936"/>
      <c r="AM965" s="1936"/>
      <c r="AN965" s="1936"/>
      <c r="AO965" s="1936"/>
      <c r="AP965" s="1936"/>
      <c r="AQ965" s="1937"/>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3"/>
      <c r="D966" s="1941"/>
      <c r="E966" s="1942"/>
      <c r="F966" s="1942"/>
      <c r="G966" s="1942"/>
      <c r="H966" s="1942"/>
      <c r="I966" s="1942"/>
      <c r="J966" s="1942"/>
      <c r="K966" s="1942"/>
      <c r="L966" s="1942"/>
      <c r="M966" s="1942"/>
      <c r="N966" s="1942"/>
      <c r="O966" s="1942"/>
      <c r="P966" s="1942"/>
      <c r="Q966" s="1942"/>
      <c r="R966" s="1942"/>
      <c r="S966" s="1942"/>
      <c r="T966" s="1942"/>
      <c r="U966" s="1942"/>
      <c r="V966" s="1942"/>
      <c r="W966" s="1942"/>
      <c r="X966" s="1942"/>
      <c r="Y966" s="1942"/>
      <c r="Z966" s="1942"/>
      <c r="AA966" s="1942"/>
      <c r="AB966" s="1942"/>
      <c r="AC966" s="1942"/>
      <c r="AD966" s="1942"/>
      <c r="AE966" s="1943"/>
      <c r="AF966" s="124"/>
      <c r="AG966" s="125"/>
      <c r="AH966" s="125"/>
      <c r="AI966" s="129"/>
      <c r="AJ966" s="1935"/>
      <c r="AK966" s="1936"/>
      <c r="AL966" s="1936"/>
      <c r="AM966" s="1936"/>
      <c r="AN966" s="1936"/>
      <c r="AO966" s="1936"/>
      <c r="AP966" s="1936"/>
      <c r="AQ966" s="1937"/>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74"/>
      <c r="C967" s="1473"/>
      <c r="D967" s="1944"/>
      <c r="E967" s="1945"/>
      <c r="F967" s="1945"/>
      <c r="G967" s="1945"/>
      <c r="H967" s="1945"/>
      <c r="I967" s="1945"/>
      <c r="J967" s="1945"/>
      <c r="K967" s="1945"/>
      <c r="L967" s="1945"/>
      <c r="M967" s="1945"/>
      <c r="N967" s="1945"/>
      <c r="O967" s="1945"/>
      <c r="P967" s="1945"/>
      <c r="Q967" s="1945"/>
      <c r="R967" s="1945"/>
      <c r="S967" s="1945"/>
      <c r="T967" s="1945"/>
      <c r="U967" s="1945"/>
      <c r="V967" s="1945"/>
      <c r="W967" s="1945"/>
      <c r="X967" s="1945"/>
      <c r="Y967" s="1945"/>
      <c r="Z967" s="1945"/>
      <c r="AA967" s="1945"/>
      <c r="AB967" s="1945"/>
      <c r="AC967" s="1945"/>
      <c r="AD967" s="1945"/>
      <c r="AE967" s="1946"/>
      <c r="AF967" s="126"/>
      <c r="AG967" s="15"/>
      <c r="AH967" s="15"/>
      <c r="AI967" s="127"/>
      <c r="AJ967" s="1938"/>
      <c r="AK967" s="1939"/>
      <c r="AL967" s="1939"/>
      <c r="AM967" s="1939"/>
      <c r="AN967" s="1939"/>
      <c r="AO967" s="1939"/>
      <c r="AP967" s="1939"/>
      <c r="AQ967" s="1940"/>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2" t="s">
        <v>538</v>
      </c>
      <c r="D968" s="1950" t="s">
        <v>2160</v>
      </c>
      <c r="E968" s="1951"/>
      <c r="F968" s="1951"/>
      <c r="G968" s="1951"/>
      <c r="H968" s="1951"/>
      <c r="I968" s="1951"/>
      <c r="J968" s="1951"/>
      <c r="K968" s="1951"/>
      <c r="L968" s="1951"/>
      <c r="M968" s="1951"/>
      <c r="N968" s="1951"/>
      <c r="O968" s="1951"/>
      <c r="P968" s="1951"/>
      <c r="Q968" s="1951"/>
      <c r="R968" s="1951"/>
      <c r="S968" s="1951"/>
      <c r="T968" s="1951"/>
      <c r="U968" s="1951"/>
      <c r="V968" s="1951"/>
      <c r="W968" s="1951"/>
      <c r="X968" s="1951"/>
      <c r="Y968" s="1951"/>
      <c r="Z968" s="1951"/>
      <c r="AA968" s="1951"/>
      <c r="AB968" s="1951"/>
      <c r="AC968" s="1951"/>
      <c r="AD968" s="1951"/>
      <c r="AE968" s="1952"/>
      <c r="AF968" s="128"/>
      <c r="AG968" s="1928" t="s">
        <v>531</v>
      </c>
      <c r="AH968" s="1929"/>
      <c r="AI968" s="131"/>
      <c r="AJ968" s="1932">
        <f>ROUND(IF(AG968="yes",AJ953*0.02,0),0)</f>
        <v>0</v>
      </c>
      <c r="AK968" s="1933"/>
      <c r="AL968" s="1933"/>
      <c r="AM968" s="1933"/>
      <c r="AN968" s="1933"/>
      <c r="AO968" s="1933"/>
      <c r="AP968" s="1933"/>
      <c r="AQ968" s="1934"/>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3"/>
      <c r="D969" s="1944" t="s">
        <v>2161</v>
      </c>
      <c r="E969" s="1945"/>
      <c r="F969" s="1945"/>
      <c r="G969" s="1945"/>
      <c r="H969" s="1945"/>
      <c r="I969" s="1945"/>
      <c r="J969" s="1945"/>
      <c r="K969" s="1945"/>
      <c r="L969" s="1945"/>
      <c r="M969" s="1945"/>
      <c r="N969" s="1945"/>
      <c r="O969" s="1945"/>
      <c r="P969" s="1945"/>
      <c r="Q969" s="1945"/>
      <c r="R969" s="1945"/>
      <c r="S969" s="1945"/>
      <c r="T969" s="1945"/>
      <c r="U969" s="1945"/>
      <c r="V969" s="1945"/>
      <c r="W969" s="1945"/>
      <c r="X969" s="1945"/>
      <c r="Y969" s="1945"/>
      <c r="Z969" s="1945"/>
      <c r="AA969" s="1945"/>
      <c r="AB969" s="1945"/>
      <c r="AC969" s="1945"/>
      <c r="AD969" s="1945"/>
      <c r="AE969" s="1946"/>
      <c r="AF969" s="126"/>
      <c r="AG969" s="15"/>
      <c r="AH969" s="15"/>
      <c r="AI969" s="127"/>
      <c r="AJ969" s="1938"/>
      <c r="AK969" s="1939"/>
      <c r="AL969" s="1939"/>
      <c r="AM969" s="1939"/>
      <c r="AN969" s="1939"/>
      <c r="AO969" s="1939"/>
      <c r="AP969" s="1939"/>
      <c r="AQ969" s="1940"/>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2" t="s">
        <v>541</v>
      </c>
      <c r="D970" s="1950" t="s">
        <v>2162</v>
      </c>
      <c r="E970" s="1951"/>
      <c r="F970" s="1951"/>
      <c r="G970" s="1951"/>
      <c r="H970" s="1951"/>
      <c r="I970" s="1951"/>
      <c r="J970" s="1951"/>
      <c r="K970" s="1951"/>
      <c r="L970" s="1951"/>
      <c r="M970" s="1951"/>
      <c r="N970" s="1951"/>
      <c r="O970" s="1951"/>
      <c r="P970" s="1951"/>
      <c r="Q970" s="1951"/>
      <c r="R970" s="1951"/>
      <c r="S970" s="1951"/>
      <c r="T970" s="1951"/>
      <c r="U970" s="1951"/>
      <c r="V970" s="1951"/>
      <c r="W970" s="1951"/>
      <c r="X970" s="1951"/>
      <c r="Y970" s="1951"/>
      <c r="Z970" s="1951"/>
      <c r="AA970" s="1951"/>
      <c r="AB970" s="1951"/>
      <c r="AC970" s="1951"/>
      <c r="AD970" s="1951"/>
      <c r="AE970" s="1952"/>
      <c r="AF970" s="128"/>
      <c r="AG970" s="1928" t="s">
        <v>531</v>
      </c>
      <c r="AH970" s="1929"/>
      <c r="AI970" s="128"/>
      <c r="AJ970" s="1932">
        <f>ROUND(IF(AG970="yes",AJ953*0.02,0),0)</f>
        <v>0</v>
      </c>
      <c r="AK970" s="1933"/>
      <c r="AL970" s="1933"/>
      <c r="AM970" s="1933"/>
      <c r="AN970" s="1933"/>
      <c r="AO970" s="1933"/>
      <c r="AP970" s="1933"/>
      <c r="AQ970" s="1934"/>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3"/>
      <c r="D971" s="1941" t="s">
        <v>2163</v>
      </c>
      <c r="E971" s="1942"/>
      <c r="F971" s="1942"/>
      <c r="G971" s="1942"/>
      <c r="H971" s="1942"/>
      <c r="I971" s="1942"/>
      <c r="J971" s="1942"/>
      <c r="K971" s="1942"/>
      <c r="L971" s="1942"/>
      <c r="M971" s="1942"/>
      <c r="N971" s="1942"/>
      <c r="O971" s="1942"/>
      <c r="P971" s="1942"/>
      <c r="Q971" s="1942"/>
      <c r="R971" s="1942"/>
      <c r="S971" s="1942"/>
      <c r="T971" s="1942"/>
      <c r="U971" s="1942"/>
      <c r="V971" s="1942"/>
      <c r="W971" s="1942"/>
      <c r="X971" s="1942"/>
      <c r="Y971" s="1942"/>
      <c r="Z971" s="1942"/>
      <c r="AA971" s="1942"/>
      <c r="AB971" s="1942"/>
      <c r="AC971" s="1942"/>
      <c r="AD971" s="1942"/>
      <c r="AE971" s="1943"/>
      <c r="AF971" s="124"/>
      <c r="AG971" s="35"/>
      <c r="AH971" s="35"/>
      <c r="AI971" s="125"/>
      <c r="AJ971" s="1935"/>
      <c r="AK971" s="1936"/>
      <c r="AL971" s="1936"/>
      <c r="AM971" s="1936"/>
      <c r="AN971" s="1936"/>
      <c r="AO971" s="1936"/>
      <c r="AP971" s="1936"/>
      <c r="AQ971" s="1937"/>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72"/>
      <c r="C972" s="1473"/>
      <c r="D972" s="1944"/>
      <c r="E972" s="1945"/>
      <c r="F972" s="1945"/>
      <c r="G972" s="1945"/>
      <c r="H972" s="1945"/>
      <c r="I972" s="1945"/>
      <c r="J972" s="1945"/>
      <c r="K972" s="1945"/>
      <c r="L972" s="1945"/>
      <c r="M972" s="1945"/>
      <c r="N972" s="1945"/>
      <c r="O972" s="1945"/>
      <c r="P972" s="1945"/>
      <c r="Q972" s="1945"/>
      <c r="R972" s="1945"/>
      <c r="S972" s="1945"/>
      <c r="T972" s="1945"/>
      <c r="U972" s="1945"/>
      <c r="V972" s="1945"/>
      <c r="W972" s="1945"/>
      <c r="X972" s="1945"/>
      <c r="Y972" s="1945"/>
      <c r="Z972" s="1945"/>
      <c r="AA972" s="1945"/>
      <c r="AB972" s="1945"/>
      <c r="AC972" s="1945"/>
      <c r="AD972" s="1945"/>
      <c r="AE972" s="1946"/>
      <c r="AF972" s="126"/>
      <c r="AG972" s="15"/>
      <c r="AH972" s="15"/>
      <c r="AI972" s="127"/>
      <c r="AJ972" s="1938"/>
      <c r="AK972" s="1939"/>
      <c r="AL972" s="1939"/>
      <c r="AM972" s="1939"/>
      <c r="AN972" s="1939"/>
      <c r="AO972" s="1939"/>
      <c r="AP972" s="1939"/>
      <c r="AQ972" s="1940"/>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2" t="s">
        <v>662</v>
      </c>
      <c r="D973" s="1925" t="s">
        <v>2164</v>
      </c>
      <c r="E973" s="1926"/>
      <c r="F973" s="1926"/>
      <c r="G973" s="1926"/>
      <c r="H973" s="1926"/>
      <c r="I973" s="1926"/>
      <c r="J973" s="1926"/>
      <c r="K973" s="1926"/>
      <c r="L973" s="1926"/>
      <c r="M973" s="1926"/>
      <c r="N973" s="1926"/>
      <c r="O973" s="1926"/>
      <c r="P973" s="1926"/>
      <c r="Q973" s="1926"/>
      <c r="R973" s="1926"/>
      <c r="S973" s="1926"/>
      <c r="T973" s="1926"/>
      <c r="U973" s="1926"/>
      <c r="V973" s="1926"/>
      <c r="W973" s="1926"/>
      <c r="X973" s="1926"/>
      <c r="Y973" s="1926"/>
      <c r="Z973" s="1926"/>
      <c r="AA973" s="1926"/>
      <c r="AB973" s="1926"/>
      <c r="AC973" s="1926"/>
      <c r="AD973" s="1926"/>
      <c r="AE973" s="1927"/>
      <c r="AF973" s="128"/>
      <c r="AG973" s="1928" t="s">
        <v>531</v>
      </c>
      <c r="AH973" s="1929"/>
      <c r="AI973" s="131"/>
      <c r="AJ973" s="1932">
        <f>IF(AG973="yes",AJ953*AY932,0)</f>
        <v>0</v>
      </c>
      <c r="AK973" s="1933"/>
      <c r="AL973" s="1933"/>
      <c r="AM973" s="1933"/>
      <c r="AN973" s="1933"/>
      <c r="AO973" s="1933"/>
      <c r="AP973" s="1933"/>
      <c r="AQ973" s="1934"/>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83"/>
      <c r="D974" s="1941" t="s">
        <v>2297</v>
      </c>
      <c r="E974" s="1942"/>
      <c r="F974" s="1942"/>
      <c r="G974" s="1942"/>
      <c r="H974" s="1942"/>
      <c r="I974" s="1942"/>
      <c r="J974" s="1942"/>
      <c r="K974" s="1942"/>
      <c r="L974" s="1942"/>
      <c r="M974" s="1942"/>
      <c r="N974" s="1942"/>
      <c r="O974" s="1942"/>
      <c r="P974" s="1942"/>
      <c r="Q974" s="1942"/>
      <c r="R974" s="1942"/>
      <c r="S974" s="1942"/>
      <c r="T974" s="1942"/>
      <c r="U974" s="1942"/>
      <c r="V974" s="1942"/>
      <c r="W974" s="1942"/>
      <c r="X974" s="1942"/>
      <c r="Y974" s="1942"/>
      <c r="Z974" s="1942"/>
      <c r="AA974" s="1942"/>
      <c r="AB974" s="1942"/>
      <c r="AC974" s="1942"/>
      <c r="AD974" s="1942"/>
      <c r="AE974" s="1943"/>
      <c r="AF974" s="124"/>
      <c r="AG974" s="125"/>
      <c r="AH974" s="125"/>
      <c r="AI974" s="129"/>
      <c r="AJ974" s="1935"/>
      <c r="AK974" s="1936"/>
      <c r="AL974" s="1936"/>
      <c r="AM974" s="1936"/>
      <c r="AN974" s="1936"/>
      <c r="AO974" s="1936"/>
      <c r="AP974" s="1936"/>
      <c r="AQ974" s="1937"/>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3"/>
      <c r="D975" s="1941"/>
      <c r="E975" s="1942"/>
      <c r="F975" s="1942"/>
      <c r="G975" s="1942"/>
      <c r="H975" s="1942"/>
      <c r="I975" s="1942"/>
      <c r="J975" s="1942"/>
      <c r="K975" s="1942"/>
      <c r="L975" s="1942"/>
      <c r="M975" s="1942"/>
      <c r="N975" s="1942"/>
      <c r="O975" s="1942"/>
      <c r="P975" s="1942"/>
      <c r="Q975" s="1942"/>
      <c r="R975" s="1942"/>
      <c r="S975" s="1942"/>
      <c r="T975" s="1942"/>
      <c r="U975" s="1942"/>
      <c r="V975" s="1942"/>
      <c r="W975" s="1942"/>
      <c r="X975" s="1942"/>
      <c r="Y975" s="1942"/>
      <c r="Z975" s="1942"/>
      <c r="AA975" s="1942"/>
      <c r="AB975" s="1942"/>
      <c r="AC975" s="1942"/>
      <c r="AD975" s="1942"/>
      <c r="AE975" s="1943"/>
      <c r="AF975" s="124"/>
      <c r="AG975" s="125"/>
      <c r="AH975" s="125"/>
      <c r="AI975" s="129"/>
      <c r="AJ975" s="1935"/>
      <c r="AK975" s="1936"/>
      <c r="AL975" s="1936"/>
      <c r="AM975" s="1936"/>
      <c r="AN975" s="1936"/>
      <c r="AO975" s="1936"/>
      <c r="AP975" s="1936"/>
      <c r="AQ975" s="1937"/>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75"/>
      <c r="C976" s="1471"/>
      <c r="D976" s="1944"/>
      <c r="E976" s="1945"/>
      <c r="F976" s="1945"/>
      <c r="G976" s="1945"/>
      <c r="H976" s="1945"/>
      <c r="I976" s="1945"/>
      <c r="J976" s="1945"/>
      <c r="K976" s="1945"/>
      <c r="L976" s="1945"/>
      <c r="M976" s="1945"/>
      <c r="N976" s="1945"/>
      <c r="O976" s="1945"/>
      <c r="P976" s="1945"/>
      <c r="Q976" s="1945"/>
      <c r="R976" s="1945"/>
      <c r="S976" s="1945"/>
      <c r="T976" s="1945"/>
      <c r="U976" s="1945"/>
      <c r="V976" s="1945"/>
      <c r="W976" s="1945"/>
      <c r="X976" s="1945"/>
      <c r="Y976" s="1945"/>
      <c r="Z976" s="1945"/>
      <c r="AA976" s="1945"/>
      <c r="AB976" s="1945"/>
      <c r="AC976" s="1945"/>
      <c r="AD976" s="1945"/>
      <c r="AE976" s="1946"/>
      <c r="AF976" s="126"/>
      <c r="AG976" s="15"/>
      <c r="AH976" s="15"/>
      <c r="AI976" s="127"/>
      <c r="AJ976" s="1938"/>
      <c r="AK976" s="1939"/>
      <c r="AL976" s="1939"/>
      <c r="AM976" s="1939"/>
      <c r="AN976" s="1939"/>
      <c r="AO976" s="1939"/>
      <c r="AP976" s="1939"/>
      <c r="AQ976" s="1940"/>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2" t="s">
        <v>667</v>
      </c>
      <c r="D977" s="2197" t="s">
        <v>2165</v>
      </c>
      <c r="E977" s="2198"/>
      <c r="F977" s="2198"/>
      <c r="G977" s="2198"/>
      <c r="H977" s="2198"/>
      <c r="I977" s="2198"/>
      <c r="J977" s="2198"/>
      <c r="K977" s="2198"/>
      <c r="L977" s="2198"/>
      <c r="M977" s="2198"/>
      <c r="N977" s="2198"/>
      <c r="O977" s="2198"/>
      <c r="P977" s="2198"/>
      <c r="Q977" s="2198"/>
      <c r="R977" s="2198"/>
      <c r="S977" s="2198"/>
      <c r="T977" s="2198"/>
      <c r="U977" s="2198"/>
      <c r="V977" s="2198"/>
      <c r="W977" s="2198"/>
      <c r="X977" s="2198"/>
      <c r="Y977" s="2198"/>
      <c r="Z977" s="2198"/>
      <c r="AA977" s="2198"/>
      <c r="AB977" s="2198"/>
      <c r="AC977" s="2198"/>
      <c r="AD977" s="2198"/>
      <c r="AE977" s="2199"/>
      <c r="AF977" s="128"/>
      <c r="AG977" s="1928" t="s">
        <v>531</v>
      </c>
      <c r="AH977" s="1929"/>
      <c r="AI977" s="131"/>
      <c r="AJ977" s="2203"/>
      <c r="AK977" s="2204"/>
      <c r="AL977" s="2204"/>
      <c r="AM977" s="2204"/>
      <c r="AN977" s="2204"/>
      <c r="AO977" s="2204"/>
      <c r="AP977" s="2204"/>
      <c r="AQ977" s="220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5"/>
      <c r="C978" s="1476"/>
      <c r="D978" s="2200"/>
      <c r="E978" s="2201"/>
      <c r="F978" s="2201"/>
      <c r="G978" s="2201"/>
      <c r="H978" s="2201"/>
      <c r="I978" s="2201"/>
      <c r="J978" s="2201"/>
      <c r="K978" s="2201"/>
      <c r="L978" s="2201"/>
      <c r="M978" s="2201"/>
      <c r="N978" s="2201"/>
      <c r="O978" s="2201"/>
      <c r="P978" s="2201"/>
      <c r="Q978" s="2201"/>
      <c r="R978" s="2201"/>
      <c r="S978" s="2201"/>
      <c r="T978" s="2201"/>
      <c r="U978" s="2201"/>
      <c r="V978" s="2201"/>
      <c r="W978" s="2201"/>
      <c r="X978" s="2201"/>
      <c r="Y978" s="2201"/>
      <c r="Z978" s="2201"/>
      <c r="AA978" s="2201"/>
      <c r="AB978" s="2201"/>
      <c r="AC978" s="2201"/>
      <c r="AD978" s="2201"/>
      <c r="AE978" s="2202"/>
      <c r="AF978" s="2212">
        <f>IF(AG977="yes","Please Select Type and Enter Amount:",0)</f>
        <v>0</v>
      </c>
      <c r="AG978" s="2213"/>
      <c r="AH978" s="2213"/>
      <c r="AI978" s="2214"/>
      <c r="AJ978" s="2206"/>
      <c r="AK978" s="2207"/>
      <c r="AL978" s="2207"/>
      <c r="AM978" s="2207"/>
      <c r="AN978" s="2207"/>
      <c r="AO978" s="2207"/>
      <c r="AP978" s="2207"/>
      <c r="AQ978" s="2208"/>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5"/>
      <c r="C979" s="1476"/>
      <c r="D979" s="1941" t="s">
        <v>2166</v>
      </c>
      <c r="E979" s="1942"/>
      <c r="F979" s="1942"/>
      <c r="G979" s="1942"/>
      <c r="H979" s="1942"/>
      <c r="I979" s="1942"/>
      <c r="J979" s="1942"/>
      <c r="K979" s="1942"/>
      <c r="L979" s="1942"/>
      <c r="M979" s="1942"/>
      <c r="N979" s="1942"/>
      <c r="O979" s="1942"/>
      <c r="P979" s="1942"/>
      <c r="Q979" s="1942"/>
      <c r="R979" s="1942"/>
      <c r="S979" s="1942"/>
      <c r="T979" s="1942"/>
      <c r="U979" s="1942"/>
      <c r="V979" s="1942"/>
      <c r="W979" s="1942"/>
      <c r="X979" s="1942"/>
      <c r="Y979" s="1942"/>
      <c r="Z979" s="1942"/>
      <c r="AA979" s="1942"/>
      <c r="AB979" s="1942"/>
      <c r="AC979" s="1942"/>
      <c r="AD979" s="1942"/>
      <c r="AE979" s="1943"/>
      <c r="AF979" s="2212"/>
      <c r="AG979" s="2213"/>
      <c r="AH979" s="2213"/>
      <c r="AI979" s="2214"/>
      <c r="AJ979" s="2206"/>
      <c r="AK979" s="2207"/>
      <c r="AL979" s="2207"/>
      <c r="AM979" s="2207"/>
      <c r="AN979" s="2207"/>
      <c r="AO979" s="2207"/>
      <c r="AP979" s="2207"/>
      <c r="AQ979" s="2208"/>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75"/>
      <c r="C980" s="1476"/>
      <c r="D980" s="1941"/>
      <c r="E980" s="1942"/>
      <c r="F980" s="1942"/>
      <c r="G980" s="1942"/>
      <c r="H980" s="1942"/>
      <c r="I980" s="1942"/>
      <c r="J980" s="1942"/>
      <c r="K980" s="1942"/>
      <c r="L980" s="1942"/>
      <c r="M980" s="1942"/>
      <c r="N980" s="1942"/>
      <c r="O980" s="1942"/>
      <c r="P980" s="1942"/>
      <c r="Q980" s="1942"/>
      <c r="R980" s="1942"/>
      <c r="S980" s="1942"/>
      <c r="T980" s="1942"/>
      <c r="U980" s="1942"/>
      <c r="V980" s="1942"/>
      <c r="W980" s="1942"/>
      <c r="X980" s="1942"/>
      <c r="Y980" s="1942"/>
      <c r="Z980" s="1942"/>
      <c r="AA980" s="1942"/>
      <c r="AB980" s="1942"/>
      <c r="AC980" s="1942"/>
      <c r="AD980" s="1942"/>
      <c r="AE980" s="1943"/>
      <c r="AF980" s="2212"/>
      <c r="AG980" s="2213"/>
      <c r="AH980" s="2213"/>
      <c r="AI980" s="2214"/>
      <c r="AJ980" s="2206"/>
      <c r="AK980" s="2207"/>
      <c r="AL980" s="2207"/>
      <c r="AM980" s="2207"/>
      <c r="AN980" s="2207"/>
      <c r="AO980" s="2207"/>
      <c r="AP980" s="2207"/>
      <c r="AQ980" s="2208"/>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75"/>
      <c r="C981" s="1476"/>
      <c r="D981" s="1477" t="s">
        <v>982</v>
      </c>
      <c r="E981" s="141"/>
      <c r="F981" s="141"/>
      <c r="G981" s="645"/>
      <c r="H981" s="645"/>
      <c r="I981" s="95"/>
      <c r="J981" s="2218" t="s">
        <v>136</v>
      </c>
      <c r="K981" s="2219"/>
      <c r="L981" s="2219"/>
      <c r="M981" s="2219"/>
      <c r="N981" s="2219"/>
      <c r="O981" s="2219"/>
      <c r="P981" s="2219"/>
      <c r="Q981" s="2219"/>
      <c r="R981" s="2219"/>
      <c r="S981" s="2219"/>
      <c r="T981" s="2219"/>
      <c r="U981" s="2219"/>
      <c r="V981" s="2219"/>
      <c r="W981" s="2219"/>
      <c r="X981" s="2219"/>
      <c r="Y981" s="2219"/>
      <c r="Z981" s="2219"/>
      <c r="AA981" s="2219"/>
      <c r="AB981" s="2219"/>
      <c r="AC981" s="2219"/>
      <c r="AD981" s="2219"/>
      <c r="AE981" s="2220"/>
      <c r="AF981" s="2215"/>
      <c r="AG981" s="2216"/>
      <c r="AH981" s="2216"/>
      <c r="AI981" s="2217"/>
      <c r="AJ981" s="2209"/>
      <c r="AK981" s="2210"/>
      <c r="AL981" s="2210"/>
      <c r="AM981" s="2210"/>
      <c r="AN981" s="2210"/>
      <c r="AO981" s="2210"/>
      <c r="AP981" s="2210"/>
      <c r="AQ981" s="2211"/>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2" t="s">
        <v>633</v>
      </c>
      <c r="D982" s="1950" t="s">
        <v>2167</v>
      </c>
      <c r="E982" s="1951"/>
      <c r="F982" s="1951"/>
      <c r="G982" s="1951"/>
      <c r="H982" s="1951"/>
      <c r="I982" s="1951"/>
      <c r="J982" s="1951"/>
      <c r="K982" s="1951"/>
      <c r="L982" s="1951"/>
      <c r="M982" s="1951"/>
      <c r="N982" s="1951"/>
      <c r="O982" s="1951"/>
      <c r="P982" s="1951"/>
      <c r="Q982" s="1951"/>
      <c r="R982" s="1951"/>
      <c r="S982" s="1951"/>
      <c r="T982" s="1951"/>
      <c r="U982" s="1951"/>
      <c r="V982" s="1951"/>
      <c r="W982" s="1951"/>
      <c r="X982" s="1951"/>
      <c r="Y982" s="1951"/>
      <c r="Z982" s="1951"/>
      <c r="AA982" s="1951"/>
      <c r="AB982" s="1951"/>
      <c r="AC982" s="1951"/>
      <c r="AD982" s="1951"/>
      <c r="AE982" s="1952"/>
      <c r="AF982" s="128"/>
      <c r="AG982" s="1928" t="s">
        <v>119</v>
      </c>
      <c r="AH982" s="1929"/>
      <c r="AI982" s="131"/>
      <c r="AJ982" s="2203">
        <f>'Sources and Uses Budget'!C84</f>
        <v>1278798</v>
      </c>
      <c r="AK982" s="2204"/>
      <c r="AL982" s="2204"/>
      <c r="AM982" s="2204"/>
      <c r="AN982" s="2204"/>
      <c r="AO982" s="2204"/>
      <c r="AP982" s="2204"/>
      <c r="AQ982" s="220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3"/>
      <c r="D983" s="1941" t="s">
        <v>2298</v>
      </c>
      <c r="E983" s="1942"/>
      <c r="F983" s="1942"/>
      <c r="G983" s="1942"/>
      <c r="H983" s="1942"/>
      <c r="I983" s="1942"/>
      <c r="J983" s="1942"/>
      <c r="K983" s="1942"/>
      <c r="L983" s="1942"/>
      <c r="M983" s="1942"/>
      <c r="N983" s="1942"/>
      <c r="O983" s="1942"/>
      <c r="P983" s="1942"/>
      <c r="Q983" s="1942"/>
      <c r="R983" s="1942"/>
      <c r="S983" s="1942"/>
      <c r="T983" s="1942"/>
      <c r="U983" s="1942"/>
      <c r="V983" s="1942"/>
      <c r="W983" s="1942"/>
      <c r="X983" s="1942"/>
      <c r="Y983" s="1942"/>
      <c r="Z983" s="1942"/>
      <c r="AA983" s="1942"/>
      <c r="AB983" s="1942"/>
      <c r="AC983" s="1942"/>
      <c r="AD983" s="1942"/>
      <c r="AE983" s="1943"/>
      <c r="AF983" s="2221" t="str">
        <f>IF(AG982="yes","Please Enter Amount:",0)</f>
        <v>Please Enter Amount:</v>
      </c>
      <c r="AG983" s="2222"/>
      <c r="AH983" s="2222"/>
      <c r="AI983" s="2223"/>
      <c r="AJ983" s="2206"/>
      <c r="AK983" s="2207"/>
      <c r="AL983" s="2207"/>
      <c r="AM983" s="2207"/>
      <c r="AN983" s="2207"/>
      <c r="AO983" s="2207"/>
      <c r="AP983" s="2207"/>
      <c r="AQ983" s="2208"/>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83"/>
      <c r="D984" s="1941"/>
      <c r="E984" s="1942"/>
      <c r="F984" s="1942"/>
      <c r="G984" s="1942"/>
      <c r="H984" s="1942"/>
      <c r="I984" s="1942"/>
      <c r="J984" s="1942"/>
      <c r="K984" s="1942"/>
      <c r="L984" s="1942"/>
      <c r="M984" s="1942"/>
      <c r="N984" s="1942"/>
      <c r="O984" s="1942"/>
      <c r="P984" s="1942"/>
      <c r="Q984" s="1942"/>
      <c r="R984" s="1942"/>
      <c r="S984" s="1942"/>
      <c r="T984" s="1942"/>
      <c r="U984" s="1942"/>
      <c r="V984" s="1942"/>
      <c r="W984" s="1942"/>
      <c r="X984" s="1942"/>
      <c r="Y984" s="1942"/>
      <c r="Z984" s="1942"/>
      <c r="AA984" s="1942"/>
      <c r="AB984" s="1942"/>
      <c r="AC984" s="1942"/>
      <c r="AD984" s="1942"/>
      <c r="AE984" s="1943"/>
      <c r="AF984" s="2221"/>
      <c r="AG984" s="2222"/>
      <c r="AH984" s="2222"/>
      <c r="AI984" s="2223"/>
      <c r="AJ984" s="2206"/>
      <c r="AK984" s="2207"/>
      <c r="AL984" s="2207"/>
      <c r="AM984" s="2207"/>
      <c r="AN984" s="2207"/>
      <c r="AO984" s="2207"/>
      <c r="AP984" s="2207"/>
      <c r="AQ984" s="2208"/>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74"/>
      <c r="C985" s="1476"/>
      <c r="D985" s="1944"/>
      <c r="E985" s="1945"/>
      <c r="F985" s="1945"/>
      <c r="G985" s="1945"/>
      <c r="H985" s="1945"/>
      <c r="I985" s="1945"/>
      <c r="J985" s="1945"/>
      <c r="K985" s="1945"/>
      <c r="L985" s="1945"/>
      <c r="M985" s="1945"/>
      <c r="N985" s="1945"/>
      <c r="O985" s="1945"/>
      <c r="P985" s="1945"/>
      <c r="Q985" s="1945"/>
      <c r="R985" s="1945"/>
      <c r="S985" s="1945"/>
      <c r="T985" s="1945"/>
      <c r="U985" s="1945"/>
      <c r="V985" s="1945"/>
      <c r="W985" s="1945"/>
      <c r="X985" s="1945"/>
      <c r="Y985" s="1945"/>
      <c r="Z985" s="1945"/>
      <c r="AA985" s="1945"/>
      <c r="AB985" s="1945"/>
      <c r="AC985" s="1945"/>
      <c r="AD985" s="1945"/>
      <c r="AE985" s="1946"/>
      <c r="AF985" s="2224"/>
      <c r="AG985" s="2225"/>
      <c r="AH985" s="2225"/>
      <c r="AI985" s="2226"/>
      <c r="AJ985" s="2209"/>
      <c r="AK985" s="2210"/>
      <c r="AL985" s="2210"/>
      <c r="AM985" s="2210"/>
      <c r="AN985" s="2210"/>
      <c r="AO985" s="2210"/>
      <c r="AP985" s="2210"/>
      <c r="AQ985" s="2211"/>
    </row>
    <row r="986" spans="1:97" ht="12.75" customHeight="1">
      <c r="A986" s="65"/>
      <c r="B986" s="128"/>
      <c r="C986" s="882" t="s">
        <v>638</v>
      </c>
      <c r="D986" s="1925" t="s">
        <v>2168</v>
      </c>
      <c r="E986" s="1926"/>
      <c r="F986" s="1926"/>
      <c r="G986" s="1926"/>
      <c r="H986" s="1926"/>
      <c r="I986" s="1926"/>
      <c r="J986" s="1926"/>
      <c r="K986" s="1926"/>
      <c r="L986" s="1926"/>
      <c r="M986" s="1926"/>
      <c r="N986" s="1926"/>
      <c r="O986" s="1926"/>
      <c r="P986" s="1926"/>
      <c r="Q986" s="1926"/>
      <c r="R986" s="1926"/>
      <c r="S986" s="1926"/>
      <c r="T986" s="1926"/>
      <c r="U986" s="1926"/>
      <c r="V986" s="1926"/>
      <c r="W986" s="1926"/>
      <c r="X986" s="1926"/>
      <c r="Y986" s="1926"/>
      <c r="Z986" s="1926"/>
      <c r="AA986" s="1926"/>
      <c r="AB986" s="1926"/>
      <c r="AC986" s="1926"/>
      <c r="AD986" s="1926"/>
      <c r="AE986" s="1927"/>
      <c r="AF986" s="128"/>
      <c r="AG986" s="1928" t="s">
        <v>531</v>
      </c>
      <c r="AH986" s="1929"/>
      <c r="AI986" s="131"/>
      <c r="AJ986" s="1932">
        <f>ROUND(IF(AG986="yes",(AJ953*0.1),0),0)</f>
        <v>0</v>
      </c>
      <c r="AK986" s="1933"/>
      <c r="AL986" s="1933"/>
      <c r="AM986" s="1933"/>
      <c r="AN986" s="1933"/>
      <c r="AO986" s="1933"/>
      <c r="AP986" s="1933"/>
      <c r="AQ986" s="1934"/>
    </row>
    <row r="987" spans="1:97" ht="12.75" customHeight="1">
      <c r="A987" s="65"/>
      <c r="B987" s="124"/>
      <c r="C987" s="883"/>
      <c r="D987" s="1941" t="s">
        <v>2169</v>
      </c>
      <c r="E987" s="1942"/>
      <c r="F987" s="1942"/>
      <c r="G987" s="1942"/>
      <c r="H987" s="1942"/>
      <c r="I987" s="1942"/>
      <c r="J987" s="1942"/>
      <c r="K987" s="1942"/>
      <c r="L987" s="1942"/>
      <c r="M987" s="1942"/>
      <c r="N987" s="1942"/>
      <c r="O987" s="1942"/>
      <c r="P987" s="1942"/>
      <c r="Q987" s="1942"/>
      <c r="R987" s="1942"/>
      <c r="S987" s="1942"/>
      <c r="T987" s="1942"/>
      <c r="U987" s="1942"/>
      <c r="V987" s="1942"/>
      <c r="W987" s="1942"/>
      <c r="X987" s="1942"/>
      <c r="Y987" s="1942"/>
      <c r="Z987" s="1942"/>
      <c r="AA987" s="1942"/>
      <c r="AB987" s="1942"/>
      <c r="AC987" s="1942"/>
      <c r="AD987" s="1942"/>
      <c r="AE987" s="1943"/>
      <c r="AF987" s="124"/>
      <c r="AG987" s="125"/>
      <c r="AH987" s="125"/>
      <c r="AI987" s="129"/>
      <c r="AJ987" s="1935"/>
      <c r="AK987" s="1936"/>
      <c r="AL987" s="1936"/>
      <c r="AM987" s="1936"/>
      <c r="AN987" s="1936"/>
      <c r="AO987" s="1936"/>
      <c r="AP987" s="1936"/>
      <c r="AQ987" s="1937"/>
    </row>
    <row r="988" spans="1:97" ht="12.75" customHeight="1">
      <c r="A988" s="881"/>
      <c r="B988" s="126"/>
      <c r="C988" s="883"/>
      <c r="D988" s="1944"/>
      <c r="E988" s="1945"/>
      <c r="F988" s="1945"/>
      <c r="G988" s="1945"/>
      <c r="H988" s="1945"/>
      <c r="I988" s="1945"/>
      <c r="J988" s="1945"/>
      <c r="K988" s="1945"/>
      <c r="L988" s="1945"/>
      <c r="M988" s="1945"/>
      <c r="N988" s="1945"/>
      <c r="O988" s="1945"/>
      <c r="P988" s="1945"/>
      <c r="Q988" s="1945"/>
      <c r="R988" s="1945"/>
      <c r="S988" s="1945"/>
      <c r="T988" s="1945"/>
      <c r="U988" s="1945"/>
      <c r="V988" s="1945"/>
      <c r="W988" s="1945"/>
      <c r="X988" s="1945"/>
      <c r="Y988" s="1945"/>
      <c r="Z988" s="1945"/>
      <c r="AA988" s="1945"/>
      <c r="AB988" s="1945"/>
      <c r="AC988" s="1945"/>
      <c r="AD988" s="1945"/>
      <c r="AE988" s="1946"/>
      <c r="AF988" s="124"/>
      <c r="AG988" s="125"/>
      <c r="AH988" s="125"/>
      <c r="AI988" s="129"/>
      <c r="AJ988" s="1938"/>
      <c r="AK988" s="1939"/>
      <c r="AL988" s="1939"/>
      <c r="AM988" s="1939"/>
      <c r="AN988" s="1939"/>
      <c r="AO988" s="1939"/>
      <c r="AP988" s="1939"/>
      <c r="AQ988" s="1940"/>
    </row>
    <row r="989" spans="1:97" ht="17.850000000000001" customHeight="1">
      <c r="A989" s="881"/>
      <c r="B989" s="124"/>
      <c r="C989" s="882" t="s">
        <v>641</v>
      </c>
      <c r="D989" s="1950" t="s">
        <v>2299</v>
      </c>
      <c r="E989" s="1951"/>
      <c r="F989" s="1951"/>
      <c r="G989" s="1951"/>
      <c r="H989" s="1951"/>
      <c r="I989" s="1951"/>
      <c r="J989" s="1951"/>
      <c r="K989" s="1951"/>
      <c r="L989" s="1951"/>
      <c r="M989" s="1951"/>
      <c r="N989" s="1951"/>
      <c r="O989" s="1951"/>
      <c r="P989" s="1951"/>
      <c r="Q989" s="1951"/>
      <c r="R989" s="1951"/>
      <c r="S989" s="1951"/>
      <c r="T989" s="1951"/>
      <c r="U989" s="1951"/>
      <c r="V989" s="1951"/>
      <c r="W989" s="1951"/>
      <c r="X989" s="1951"/>
      <c r="Y989" s="1951"/>
      <c r="Z989" s="1951"/>
      <c r="AA989" s="1951"/>
      <c r="AB989" s="1951"/>
      <c r="AC989" s="1951"/>
      <c r="AD989" s="1951"/>
      <c r="AE989" s="1952"/>
      <c r="AF989" s="128"/>
      <c r="AG989" s="1928" t="s">
        <v>531</v>
      </c>
      <c r="AH989" s="1929"/>
      <c r="AI989" s="131"/>
      <c r="AJ989" s="1932">
        <f>ROUND(IF(AG989="yes",(AJ953*0.15),0),0)</f>
        <v>0</v>
      </c>
      <c r="AK989" s="1933"/>
      <c r="AL989" s="1933"/>
      <c r="AM989" s="1933"/>
      <c r="AN989" s="1933"/>
      <c r="AO989" s="1933"/>
      <c r="AP989" s="1933"/>
      <c r="AQ989" s="1934"/>
    </row>
    <row r="990" spans="1:97" ht="12.75" customHeight="1">
      <c r="A990" s="881"/>
      <c r="B990" s="124"/>
      <c r="C990" s="883"/>
      <c r="D990" s="2192" t="s">
        <v>2300</v>
      </c>
      <c r="E990" s="1561"/>
      <c r="F990" s="1561"/>
      <c r="G990" s="1561"/>
      <c r="H990" s="1561"/>
      <c r="I990" s="1561"/>
      <c r="J990" s="1561"/>
      <c r="K990" s="1561"/>
      <c r="L990" s="1561"/>
      <c r="M990" s="1561"/>
      <c r="N990" s="1561"/>
      <c r="O990" s="1561"/>
      <c r="P990" s="1561"/>
      <c r="Q990" s="1561"/>
      <c r="R990" s="1561"/>
      <c r="S990" s="1561"/>
      <c r="T990" s="1561"/>
      <c r="U990" s="1561"/>
      <c r="V990" s="1561"/>
      <c r="W990" s="1561"/>
      <c r="X990" s="1561"/>
      <c r="Y990" s="1561"/>
      <c r="Z990" s="1561"/>
      <c r="AA990" s="1561"/>
      <c r="AB990" s="1561"/>
      <c r="AC990" s="1561"/>
      <c r="AD990" s="1561"/>
      <c r="AE990" s="2193"/>
      <c r="AF990" s="1478"/>
      <c r="AG990" s="1479"/>
      <c r="AH990" s="1479"/>
      <c r="AI990" s="1480"/>
      <c r="AJ990" s="1935"/>
      <c r="AK990" s="1936"/>
      <c r="AL990" s="1936"/>
      <c r="AM990" s="1936"/>
      <c r="AN990" s="1936"/>
      <c r="AO990" s="1936"/>
      <c r="AP990" s="1936"/>
      <c r="AQ990" s="1937"/>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1"/>
      <c r="B991" s="124"/>
      <c r="C991" s="883"/>
      <c r="D991" s="2192"/>
      <c r="E991" s="1561"/>
      <c r="F991" s="1561"/>
      <c r="G991" s="1561"/>
      <c r="H991" s="1561"/>
      <c r="I991" s="1561"/>
      <c r="J991" s="1561"/>
      <c r="K991" s="1561"/>
      <c r="L991" s="1561"/>
      <c r="M991" s="1561"/>
      <c r="N991" s="1561"/>
      <c r="O991" s="1561"/>
      <c r="P991" s="1561"/>
      <c r="Q991" s="1561"/>
      <c r="R991" s="1561"/>
      <c r="S991" s="1561"/>
      <c r="T991" s="1561"/>
      <c r="U991" s="1561"/>
      <c r="V991" s="1561"/>
      <c r="W991" s="1561"/>
      <c r="X991" s="1561"/>
      <c r="Y991" s="1561"/>
      <c r="Z991" s="1561"/>
      <c r="AA991" s="1561"/>
      <c r="AB991" s="1561"/>
      <c r="AC991" s="1561"/>
      <c r="AD991" s="1561"/>
      <c r="AE991" s="2193"/>
      <c r="AF991" s="1478"/>
      <c r="AG991" s="1479"/>
      <c r="AH991" s="1479"/>
      <c r="AI991" s="1480"/>
      <c r="AJ991" s="1935"/>
      <c r="AK991" s="1936"/>
      <c r="AL991" s="1936"/>
      <c r="AM991" s="1936"/>
      <c r="AN991" s="1936"/>
      <c r="AO991" s="1936"/>
      <c r="AP991" s="1936"/>
      <c r="AQ991" s="1937"/>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1"/>
      <c r="B992" s="124"/>
      <c r="C992" s="883"/>
      <c r="D992" s="2194"/>
      <c r="E992" s="2195"/>
      <c r="F992" s="2195"/>
      <c r="G992" s="2195"/>
      <c r="H992" s="2195"/>
      <c r="I992" s="2195"/>
      <c r="J992" s="2195"/>
      <c r="K992" s="2195"/>
      <c r="L992" s="2195"/>
      <c r="M992" s="2195"/>
      <c r="N992" s="2195"/>
      <c r="O992" s="2195"/>
      <c r="P992" s="2195"/>
      <c r="Q992" s="2195"/>
      <c r="R992" s="2195"/>
      <c r="S992" s="2195"/>
      <c r="T992" s="2195"/>
      <c r="U992" s="2195"/>
      <c r="V992" s="2195"/>
      <c r="W992" s="2195"/>
      <c r="X992" s="2195"/>
      <c r="Y992" s="2195"/>
      <c r="Z992" s="2195"/>
      <c r="AA992" s="2195"/>
      <c r="AB992" s="2195"/>
      <c r="AC992" s="2195"/>
      <c r="AD992" s="2195"/>
      <c r="AE992" s="2196"/>
      <c r="AF992" s="1481"/>
      <c r="AG992" s="1482"/>
      <c r="AH992" s="1482"/>
      <c r="AI992" s="1483"/>
      <c r="AJ992" s="1938"/>
      <c r="AK992" s="1939"/>
      <c r="AL992" s="1939"/>
      <c r="AM992" s="1939"/>
      <c r="AN992" s="1939"/>
      <c r="AO992" s="1939"/>
      <c r="AP992" s="1939"/>
      <c r="AQ992" s="1940"/>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2" t="s">
        <v>641</v>
      </c>
      <c r="D993" s="1925" t="s">
        <v>2301</v>
      </c>
      <c r="E993" s="1926"/>
      <c r="F993" s="1926"/>
      <c r="G993" s="1926"/>
      <c r="H993" s="1926"/>
      <c r="I993" s="1926"/>
      <c r="J993" s="1926"/>
      <c r="K993" s="1926"/>
      <c r="L993" s="1926"/>
      <c r="M993" s="1926"/>
      <c r="N993" s="1926"/>
      <c r="O993" s="1926"/>
      <c r="P993" s="1926"/>
      <c r="Q993" s="1926"/>
      <c r="R993" s="1926"/>
      <c r="S993" s="1926"/>
      <c r="T993" s="1926"/>
      <c r="U993" s="1926"/>
      <c r="V993" s="1926"/>
      <c r="W993" s="1926"/>
      <c r="X993" s="1926"/>
      <c r="Y993" s="1926"/>
      <c r="Z993" s="1926"/>
      <c r="AA993" s="1926"/>
      <c r="AB993" s="1926"/>
      <c r="AC993" s="1926"/>
      <c r="AD993" s="1926"/>
      <c r="AE993" s="1927"/>
      <c r="AF993" s="124"/>
      <c r="AG993" s="2190" t="s">
        <v>531</v>
      </c>
      <c r="AH993" s="2191"/>
      <c r="AI993" s="129"/>
      <c r="AJ993" s="1932">
        <f>ROUND(IF(AG993="yes",(AJ953*0.1),0),0)</f>
        <v>0</v>
      </c>
      <c r="AK993" s="1933"/>
      <c r="AL993" s="1933"/>
      <c r="AM993" s="1933"/>
      <c r="AN993" s="1933"/>
      <c r="AO993" s="1933"/>
      <c r="AP993" s="1933"/>
      <c r="AQ993" s="1934"/>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2"/>
      <c r="B994" s="124"/>
      <c r="C994" s="883"/>
      <c r="D994" s="2192" t="s">
        <v>2302</v>
      </c>
      <c r="E994" s="1561"/>
      <c r="F994" s="1561"/>
      <c r="G994" s="1561"/>
      <c r="H994" s="1561"/>
      <c r="I994" s="1561"/>
      <c r="J994" s="1561"/>
      <c r="K994" s="1561"/>
      <c r="L994" s="1561"/>
      <c r="M994" s="1561"/>
      <c r="N994" s="1561"/>
      <c r="O994" s="1561"/>
      <c r="P994" s="1561"/>
      <c r="Q994" s="1561"/>
      <c r="R994" s="1561"/>
      <c r="S994" s="1561"/>
      <c r="T994" s="1561"/>
      <c r="U994" s="1561"/>
      <c r="V994" s="1561"/>
      <c r="W994" s="1561"/>
      <c r="X994" s="1561"/>
      <c r="Y994" s="1561"/>
      <c r="Z994" s="1561"/>
      <c r="AA994" s="1561"/>
      <c r="AB994" s="1561"/>
      <c r="AC994" s="1561"/>
      <c r="AD994" s="1561"/>
      <c r="AE994" s="2193"/>
      <c r="AF994" s="124"/>
      <c r="AG994" s="125"/>
      <c r="AH994" s="125"/>
      <c r="AI994" s="129"/>
      <c r="AJ994" s="1935"/>
      <c r="AK994" s="1936"/>
      <c r="AL994" s="1936"/>
      <c r="AM994" s="1936"/>
      <c r="AN994" s="1936"/>
      <c r="AO994" s="1936"/>
      <c r="AP994" s="1936"/>
      <c r="AQ994" s="1937"/>
      <c r="AR994" s="805"/>
      <c r="AS994" s="805"/>
      <c r="AT994" s="805"/>
      <c r="AU994" s="805"/>
      <c r="AV994" s="805"/>
      <c r="AW994" s="805"/>
      <c r="AX994" s="805"/>
      <c r="AY994" s="805"/>
      <c r="AZ994" s="805"/>
      <c r="BA994" s="805"/>
      <c r="BB994" s="805"/>
      <c r="BC994" s="805"/>
      <c r="BD994" s="805"/>
      <c r="BE994" s="805"/>
      <c r="BF994" s="805"/>
      <c r="BG994" s="805"/>
      <c r="BH994" s="805"/>
      <c r="BI994" s="805"/>
      <c r="BJ994" s="805"/>
      <c r="BK994" s="805"/>
      <c r="BL994" s="805"/>
      <c r="BM994" s="805"/>
      <c r="BN994" s="805"/>
      <c r="BO994" s="805"/>
      <c r="BP994" s="805"/>
      <c r="BQ994" s="805"/>
      <c r="BR994" s="805"/>
      <c r="BS994" s="805"/>
      <c r="BT994" s="805"/>
      <c r="BU994" s="805"/>
      <c r="BV994" s="805"/>
      <c r="BW994" s="805"/>
      <c r="BX994" s="805"/>
      <c r="BY994" s="805"/>
      <c r="BZ994" s="805"/>
      <c r="CA994" s="805"/>
      <c r="CB994" s="805"/>
      <c r="CC994" s="805"/>
      <c r="CD994" s="805"/>
      <c r="CE994" s="805"/>
      <c r="CF994" s="805"/>
      <c r="CG994" s="805"/>
      <c r="CH994" s="805"/>
      <c r="CI994" s="805"/>
      <c r="CJ994" s="805"/>
      <c r="CK994" s="805"/>
      <c r="CL994" s="805"/>
      <c r="CM994" s="805"/>
      <c r="CN994" s="805"/>
      <c r="CO994" s="805"/>
      <c r="CP994" s="805"/>
      <c r="CQ994" s="805"/>
      <c r="CR994" s="805"/>
      <c r="CS994" s="805"/>
    </row>
    <row r="995" spans="1:97" s="35" customFormat="1" ht="12.75" customHeight="1">
      <c r="A995" s="772"/>
      <c r="B995" s="124"/>
      <c r="C995" s="883"/>
      <c r="D995" s="2192"/>
      <c r="E995" s="1561"/>
      <c r="F995" s="1561"/>
      <c r="G995" s="1561"/>
      <c r="H995" s="1561"/>
      <c r="I995" s="1561"/>
      <c r="J995" s="1561"/>
      <c r="K995" s="1561"/>
      <c r="L995" s="1561"/>
      <c r="M995" s="1561"/>
      <c r="N995" s="1561"/>
      <c r="O995" s="1561"/>
      <c r="P995" s="1561"/>
      <c r="Q995" s="1561"/>
      <c r="R995" s="1561"/>
      <c r="S995" s="1561"/>
      <c r="T995" s="1561"/>
      <c r="U995" s="1561"/>
      <c r="V995" s="1561"/>
      <c r="W995" s="1561"/>
      <c r="X995" s="1561"/>
      <c r="Y995" s="1561"/>
      <c r="Z995" s="1561"/>
      <c r="AA995" s="1561"/>
      <c r="AB995" s="1561"/>
      <c r="AC995" s="1561"/>
      <c r="AD995" s="1561"/>
      <c r="AE995" s="2193"/>
      <c r="AF995" s="124"/>
      <c r="AG995" s="125"/>
      <c r="AH995" s="125"/>
      <c r="AI995" s="129"/>
      <c r="AJ995" s="1935"/>
      <c r="AK995" s="1936"/>
      <c r="AL995" s="1936"/>
      <c r="AM995" s="1936"/>
      <c r="AN995" s="1936"/>
      <c r="AO995" s="1936"/>
      <c r="AP995" s="1936"/>
      <c r="AQ995" s="1937"/>
      <c r="AR995" s="805"/>
      <c r="AS995" s="805"/>
      <c r="AT995" s="805"/>
      <c r="AU995" s="805"/>
      <c r="AV995" s="805"/>
      <c r="AW995" s="805"/>
      <c r="AX995" s="805"/>
      <c r="AY995" s="805"/>
      <c r="AZ995" s="805"/>
      <c r="BA995" s="805"/>
      <c r="BB995" s="805"/>
      <c r="BC995" s="805"/>
      <c r="BD995" s="805"/>
      <c r="BE995" s="805"/>
      <c r="BF995" s="805"/>
      <c r="BG995" s="805"/>
      <c r="BH995" s="805"/>
      <c r="BI995" s="805"/>
      <c r="BJ995" s="805"/>
      <c r="BK995" s="805"/>
      <c r="BL995" s="805"/>
      <c r="BM995" s="805"/>
      <c r="BN995" s="805"/>
      <c r="BO995" s="805"/>
      <c r="BP995" s="805"/>
      <c r="BQ995" s="805"/>
      <c r="BR995" s="805"/>
      <c r="BS995" s="805"/>
      <c r="BT995" s="805"/>
      <c r="BU995" s="805"/>
      <c r="BV995" s="805"/>
      <c r="BW995" s="805"/>
      <c r="BX995" s="805"/>
      <c r="BY995" s="805"/>
      <c r="BZ995" s="805"/>
      <c r="CA995" s="805"/>
      <c r="CB995" s="805"/>
      <c r="CC995" s="805"/>
      <c r="CD995" s="805"/>
      <c r="CE995" s="805"/>
      <c r="CF995" s="805"/>
      <c r="CG995" s="805"/>
      <c r="CH995" s="805"/>
      <c r="CI995" s="805"/>
      <c r="CJ995" s="805"/>
      <c r="CK995" s="805"/>
      <c r="CL995" s="805"/>
      <c r="CM995" s="805"/>
      <c r="CN995" s="805"/>
      <c r="CO995" s="805"/>
      <c r="CP995" s="805"/>
      <c r="CQ995" s="805"/>
      <c r="CR995" s="805"/>
      <c r="CS995" s="805"/>
    </row>
    <row r="996" spans="1:97" s="35" customFormat="1" ht="12.75" customHeight="1">
      <c r="A996" s="772"/>
      <c r="B996" s="124"/>
      <c r="C996" s="883"/>
      <c r="D996" s="2192"/>
      <c r="E996" s="1561"/>
      <c r="F996" s="1561"/>
      <c r="G996" s="1561"/>
      <c r="H996" s="1561"/>
      <c r="I996" s="1561"/>
      <c r="J996" s="1561"/>
      <c r="K996" s="1561"/>
      <c r="L996" s="1561"/>
      <c r="M996" s="1561"/>
      <c r="N996" s="1561"/>
      <c r="O996" s="1561"/>
      <c r="P996" s="1561"/>
      <c r="Q996" s="1561"/>
      <c r="R996" s="1561"/>
      <c r="S996" s="1561"/>
      <c r="T996" s="1561"/>
      <c r="U996" s="1561"/>
      <c r="V996" s="1561"/>
      <c r="W996" s="1561"/>
      <c r="X996" s="1561"/>
      <c r="Y996" s="1561"/>
      <c r="Z996" s="1561"/>
      <c r="AA996" s="1561"/>
      <c r="AB996" s="1561"/>
      <c r="AC996" s="1561"/>
      <c r="AD996" s="1561"/>
      <c r="AE996" s="2193"/>
      <c r="AF996" s="124"/>
      <c r="AG996" s="125"/>
      <c r="AH996" s="125"/>
      <c r="AI996" s="129"/>
      <c r="AJ996" s="1935"/>
      <c r="AK996" s="1936"/>
      <c r="AL996" s="1936"/>
      <c r="AM996" s="1936"/>
      <c r="AN996" s="1936"/>
      <c r="AO996" s="1936"/>
      <c r="AP996" s="1936"/>
      <c r="AQ996" s="1937"/>
      <c r="AR996" s="805"/>
      <c r="AS996" s="805"/>
      <c r="AT996" s="805"/>
      <c r="AU996" s="805"/>
      <c r="AV996" s="805"/>
      <c r="AW996" s="805"/>
      <c r="AX996" s="805"/>
      <c r="AY996" s="805"/>
      <c r="AZ996" s="805"/>
      <c r="BA996" s="805"/>
      <c r="BB996" s="805"/>
      <c r="BC996" s="805"/>
      <c r="BD996" s="805"/>
      <c r="BE996" s="805"/>
      <c r="BF996" s="805"/>
      <c r="BG996" s="805"/>
      <c r="BH996" s="805"/>
      <c r="BI996" s="805"/>
      <c r="BJ996" s="805"/>
      <c r="BK996" s="805"/>
      <c r="BL996" s="805"/>
      <c r="BM996" s="805"/>
      <c r="BN996" s="805"/>
      <c r="BO996" s="805"/>
      <c r="BP996" s="805"/>
      <c r="BQ996" s="805"/>
      <c r="BR996" s="805"/>
      <c r="BS996" s="805"/>
      <c r="BT996" s="805"/>
      <c r="BU996" s="805"/>
      <c r="BV996" s="805"/>
      <c r="BW996" s="805"/>
      <c r="BX996" s="805"/>
      <c r="BY996" s="805"/>
      <c r="BZ996" s="805"/>
      <c r="CA996" s="805"/>
      <c r="CB996" s="805"/>
      <c r="CC996" s="805"/>
      <c r="CD996" s="805"/>
      <c r="CE996" s="805"/>
      <c r="CF996" s="805"/>
      <c r="CG996" s="805"/>
      <c r="CH996" s="805"/>
      <c r="CI996" s="805"/>
      <c r="CJ996" s="805"/>
      <c r="CK996" s="805"/>
      <c r="CL996" s="805"/>
      <c r="CM996" s="805"/>
      <c r="CN996" s="805"/>
      <c r="CO996" s="805"/>
      <c r="CP996" s="805"/>
      <c r="CQ996" s="805"/>
      <c r="CR996" s="805"/>
      <c r="CS996" s="805"/>
    </row>
    <row r="997" spans="1:97" s="35" customFormat="1" ht="12.75" customHeight="1">
      <c r="A997" s="772"/>
      <c r="B997" s="124"/>
      <c r="C997" s="883"/>
      <c r="D997" s="2194"/>
      <c r="E997" s="2195"/>
      <c r="F997" s="2195"/>
      <c r="G997" s="2195"/>
      <c r="H997" s="2195"/>
      <c r="I997" s="2195"/>
      <c r="J997" s="2195"/>
      <c r="K997" s="2195"/>
      <c r="L997" s="2195"/>
      <c r="M997" s="2195"/>
      <c r="N997" s="2195"/>
      <c r="O997" s="2195"/>
      <c r="P997" s="2195"/>
      <c r="Q997" s="2195"/>
      <c r="R997" s="2195"/>
      <c r="S997" s="2195"/>
      <c r="T997" s="2195"/>
      <c r="U997" s="2195"/>
      <c r="V997" s="2195"/>
      <c r="W997" s="2195"/>
      <c r="X997" s="2195"/>
      <c r="Y997" s="2195"/>
      <c r="Z997" s="2195"/>
      <c r="AA997" s="2195"/>
      <c r="AB997" s="2195"/>
      <c r="AC997" s="2195"/>
      <c r="AD997" s="2195"/>
      <c r="AE997" s="2196"/>
      <c r="AF997" s="124"/>
      <c r="AG997" s="125"/>
      <c r="AH997" s="125"/>
      <c r="AI997" s="129"/>
      <c r="AJ997" s="1935"/>
      <c r="AK997" s="1936"/>
      <c r="AL997" s="1936"/>
      <c r="AM997" s="1936"/>
      <c r="AN997" s="1936"/>
      <c r="AO997" s="1936"/>
      <c r="AP997" s="1936"/>
      <c r="AQ997" s="1937"/>
      <c r="AR997" s="805"/>
      <c r="AS997" s="805"/>
      <c r="AT997" s="805"/>
      <c r="AU997" s="805"/>
      <c r="AV997" s="805"/>
      <c r="AW997" s="805"/>
      <c r="AX997" s="805"/>
      <c r="AY997" s="805"/>
      <c r="AZ997" s="805"/>
      <c r="BA997" s="805"/>
      <c r="BB997" s="805"/>
      <c r="BC997" s="805"/>
      <c r="BD997" s="805"/>
      <c r="BE997" s="805"/>
      <c r="BF997" s="805"/>
      <c r="BG997" s="805"/>
      <c r="BH997" s="805"/>
      <c r="BI997" s="805"/>
      <c r="BJ997" s="805"/>
      <c r="BK997" s="805"/>
      <c r="BL997" s="805"/>
      <c r="BM997" s="805"/>
      <c r="BN997" s="805"/>
      <c r="BO997" s="805"/>
      <c r="BP997" s="805"/>
      <c r="BQ997" s="805"/>
      <c r="BR997" s="805"/>
      <c r="BS997" s="805"/>
      <c r="BT997" s="805"/>
      <c r="BU997" s="805"/>
      <c r="BV997" s="805"/>
      <c r="BW997" s="805"/>
      <c r="BX997" s="805"/>
      <c r="BY997" s="805"/>
      <c r="BZ997" s="805"/>
      <c r="CA997" s="805"/>
      <c r="CB997" s="805"/>
      <c r="CC997" s="805"/>
      <c r="CD997" s="805"/>
      <c r="CE997" s="805"/>
      <c r="CF997" s="805"/>
      <c r="CG997" s="805"/>
      <c r="CH997" s="805"/>
      <c r="CI997" s="805"/>
      <c r="CJ997" s="805"/>
      <c r="CK997" s="805"/>
      <c r="CL997" s="805"/>
      <c r="CM997" s="805"/>
      <c r="CN997" s="805"/>
      <c r="CO997" s="805"/>
      <c r="CP997" s="805"/>
      <c r="CQ997" s="805"/>
      <c r="CR997" s="805"/>
      <c r="CS997" s="805"/>
    </row>
    <row r="998" spans="1:97" s="35" customFormat="1" ht="12.75" customHeight="1">
      <c r="A998" s="772"/>
      <c r="B998" s="128"/>
      <c r="C998" s="1484" t="s">
        <v>2303</v>
      </c>
      <c r="D998" s="1950" t="s">
        <v>2170</v>
      </c>
      <c r="E998" s="1951"/>
      <c r="F998" s="1951"/>
      <c r="G998" s="1951"/>
      <c r="H998" s="1951"/>
      <c r="I998" s="1951"/>
      <c r="J998" s="1951"/>
      <c r="K998" s="1951"/>
      <c r="L998" s="1951"/>
      <c r="M998" s="1951"/>
      <c r="N998" s="1951"/>
      <c r="O998" s="1951"/>
      <c r="P998" s="1951"/>
      <c r="Q998" s="1951"/>
      <c r="R998" s="1951"/>
      <c r="S998" s="1951"/>
      <c r="T998" s="1951"/>
      <c r="U998" s="1951"/>
      <c r="V998" s="1951"/>
      <c r="W998" s="1951"/>
      <c r="X998" s="1951"/>
      <c r="Y998" s="1951"/>
      <c r="Z998" s="1951"/>
      <c r="AA998" s="1951"/>
      <c r="AB998" s="1951"/>
      <c r="AC998" s="1951"/>
      <c r="AD998" s="1951"/>
      <c r="AE998" s="1952"/>
      <c r="AF998" s="128"/>
      <c r="AG998" s="1928" t="s">
        <v>119</v>
      </c>
      <c r="AH998" s="1929"/>
      <c r="AI998" s="131"/>
      <c r="AJ998" s="1932">
        <f>ROUND(IF(AG998="yes",(AJ953*0.1),0),0)</f>
        <v>2127364</v>
      </c>
      <c r="AK998" s="1933"/>
      <c r="AL998" s="1933"/>
      <c r="AM998" s="1933"/>
      <c r="AN998" s="1933"/>
      <c r="AO998" s="1933"/>
      <c r="AP998" s="1933"/>
      <c r="AQ998" s="1934"/>
      <c r="AR998" s="805"/>
      <c r="AS998" s="805"/>
      <c r="AT998" s="805"/>
      <c r="AU998" s="805"/>
      <c r="AV998" s="805"/>
      <c r="AW998" s="805"/>
      <c r="AX998" s="805"/>
      <c r="AY998" s="805"/>
      <c r="AZ998" s="805"/>
      <c r="BA998" s="805"/>
      <c r="BB998" s="805"/>
      <c r="BC998" s="805"/>
      <c r="BD998" s="805"/>
      <c r="BE998" s="805"/>
      <c r="BF998" s="805"/>
      <c r="BG998" s="805"/>
      <c r="BH998" s="805"/>
      <c r="BI998" s="805"/>
      <c r="BJ998" s="805"/>
      <c r="BK998" s="805"/>
      <c r="BL998" s="805"/>
      <c r="BM998" s="805"/>
      <c r="BN998" s="805"/>
      <c r="BO998" s="805"/>
      <c r="BP998" s="805"/>
      <c r="BQ998" s="805"/>
      <c r="BR998" s="805"/>
      <c r="BS998" s="805"/>
      <c r="BT998" s="805"/>
      <c r="BU998" s="805"/>
      <c r="BV998" s="805"/>
      <c r="BW998" s="805"/>
      <c r="BX998" s="805"/>
      <c r="BY998" s="805"/>
      <c r="BZ998" s="805"/>
      <c r="CA998" s="805"/>
      <c r="CB998" s="805"/>
      <c r="CC998" s="805"/>
      <c r="CD998" s="805"/>
      <c r="CE998" s="805"/>
      <c r="CF998" s="805"/>
      <c r="CG998" s="805"/>
      <c r="CH998" s="805"/>
      <c r="CI998" s="805"/>
      <c r="CJ998" s="805"/>
      <c r="CK998" s="805"/>
      <c r="CL998" s="805"/>
      <c r="CM998" s="805"/>
      <c r="CN998" s="805"/>
      <c r="CO998" s="805"/>
      <c r="CP998" s="805"/>
      <c r="CQ998" s="805"/>
      <c r="CR998" s="805"/>
      <c r="CS998" s="805"/>
    </row>
    <row r="999" spans="1:97" s="35" customFormat="1" ht="12.75" customHeight="1">
      <c r="A999" s="772"/>
      <c r="B999" s="124"/>
      <c r="C999" s="883"/>
      <c r="D999" s="1941" t="s">
        <v>2304</v>
      </c>
      <c r="E999" s="1942"/>
      <c r="F999" s="1942"/>
      <c r="G999" s="1942"/>
      <c r="H999" s="1942"/>
      <c r="I999" s="1942"/>
      <c r="J999" s="1942"/>
      <c r="K999" s="1942"/>
      <c r="L999" s="1942"/>
      <c r="M999" s="1942"/>
      <c r="N999" s="1942"/>
      <c r="O999" s="1942"/>
      <c r="P999" s="1942"/>
      <c r="Q999" s="1942"/>
      <c r="R999" s="1942"/>
      <c r="S999" s="1942"/>
      <c r="T999" s="1942"/>
      <c r="U999" s="1942"/>
      <c r="V999" s="1942"/>
      <c r="W999" s="1942"/>
      <c r="X999" s="1942"/>
      <c r="Y999" s="1942"/>
      <c r="Z999" s="1942"/>
      <c r="AA999" s="1942"/>
      <c r="AB999" s="1942"/>
      <c r="AC999" s="1942"/>
      <c r="AD999" s="1942"/>
      <c r="AE999" s="1943"/>
      <c r="AF999" s="124"/>
      <c r="AG999" s="125"/>
      <c r="AH999" s="125"/>
      <c r="AI999" s="129"/>
      <c r="AJ999" s="1935"/>
      <c r="AK999" s="1936"/>
      <c r="AL999" s="1936"/>
      <c r="AM999" s="1936"/>
      <c r="AN999" s="1936"/>
      <c r="AO999" s="1936"/>
      <c r="AP999" s="1936"/>
      <c r="AQ999" s="1937"/>
      <c r="AR999" s="805"/>
      <c r="AS999" s="805"/>
      <c r="AT999" s="805"/>
      <c r="AU999" s="805"/>
      <c r="AV999" s="805"/>
      <c r="AW999" s="805"/>
      <c r="AX999" s="805"/>
      <c r="AY999" s="805"/>
      <c r="AZ999" s="805"/>
      <c r="BA999" s="805"/>
      <c r="BB999" s="805"/>
      <c r="BC999" s="805"/>
      <c r="BD999" s="805"/>
      <c r="BE999" s="805"/>
      <c r="BF999" s="805"/>
      <c r="BG999" s="805"/>
      <c r="BH999" s="805"/>
      <c r="BI999" s="805"/>
      <c r="BJ999" s="805"/>
      <c r="BK999" s="805"/>
      <c r="BL999" s="805"/>
      <c r="BM999" s="805"/>
      <c r="BN999" s="805"/>
      <c r="BO999" s="805"/>
      <c r="BP999" s="805"/>
      <c r="BQ999" s="805"/>
      <c r="BR999" s="805"/>
      <c r="BS999" s="805"/>
      <c r="BT999" s="805"/>
      <c r="BU999" s="805"/>
      <c r="BV999" s="805"/>
      <c r="BW999" s="805"/>
      <c r="BX999" s="805"/>
      <c r="BY999" s="805"/>
      <c r="BZ999" s="805"/>
      <c r="CA999" s="805"/>
      <c r="CB999" s="805"/>
      <c r="CC999" s="805"/>
      <c r="CD999" s="805"/>
      <c r="CE999" s="805"/>
      <c r="CF999" s="805"/>
      <c r="CG999" s="805"/>
      <c r="CH999" s="805"/>
      <c r="CI999" s="805"/>
      <c r="CJ999" s="805"/>
      <c r="CK999" s="805"/>
      <c r="CL999" s="805"/>
      <c r="CM999" s="805"/>
      <c r="CN999" s="805"/>
      <c r="CO999" s="805"/>
      <c r="CP999" s="805"/>
      <c r="CQ999" s="805"/>
      <c r="CR999" s="805"/>
      <c r="CS999" s="805"/>
    </row>
    <row r="1000" spans="1:97" s="35" customFormat="1" ht="12.75" customHeight="1">
      <c r="A1000" s="772"/>
      <c r="B1000" s="124"/>
      <c r="C1000" s="883"/>
      <c r="D1000" s="1941"/>
      <c r="E1000" s="1942"/>
      <c r="F1000" s="1942"/>
      <c r="G1000" s="1942"/>
      <c r="H1000" s="1942"/>
      <c r="I1000" s="1942"/>
      <c r="J1000" s="1942"/>
      <c r="K1000" s="1942"/>
      <c r="L1000" s="1942"/>
      <c r="M1000" s="1942"/>
      <c r="N1000" s="1942"/>
      <c r="O1000" s="1942"/>
      <c r="P1000" s="1942"/>
      <c r="Q1000" s="1942"/>
      <c r="R1000" s="1942"/>
      <c r="S1000" s="1942"/>
      <c r="T1000" s="1942"/>
      <c r="U1000" s="1942"/>
      <c r="V1000" s="1942"/>
      <c r="W1000" s="1942"/>
      <c r="X1000" s="1942"/>
      <c r="Y1000" s="1942"/>
      <c r="Z1000" s="1942"/>
      <c r="AA1000" s="1942"/>
      <c r="AB1000" s="1942"/>
      <c r="AC1000" s="1942"/>
      <c r="AD1000" s="1942"/>
      <c r="AE1000" s="1943"/>
      <c r="AF1000" s="124"/>
      <c r="AG1000" s="125"/>
      <c r="AH1000" s="125"/>
      <c r="AI1000" s="129"/>
      <c r="AJ1000" s="1935"/>
      <c r="AK1000" s="1936"/>
      <c r="AL1000" s="1936"/>
      <c r="AM1000" s="1936"/>
      <c r="AN1000" s="1936"/>
      <c r="AO1000" s="1936"/>
      <c r="AP1000" s="1936"/>
      <c r="AQ1000" s="1937"/>
      <c r="AR1000" s="805"/>
      <c r="AS1000" s="805"/>
      <c r="AT1000" s="805"/>
      <c r="AU1000" s="805"/>
      <c r="AV1000" s="805"/>
      <c r="AW1000" s="805"/>
      <c r="AX1000" s="805"/>
      <c r="AY1000" s="805"/>
      <c r="AZ1000" s="805"/>
      <c r="BA1000" s="805"/>
      <c r="BB1000" s="805"/>
      <c r="BC1000" s="805"/>
      <c r="BD1000" s="805"/>
      <c r="BE1000" s="805"/>
      <c r="BF1000" s="805"/>
      <c r="BG1000" s="805"/>
      <c r="BH1000" s="805"/>
      <c r="BI1000" s="805"/>
      <c r="BJ1000" s="805"/>
      <c r="BK1000" s="805"/>
      <c r="BL1000" s="805"/>
      <c r="BM1000" s="805"/>
      <c r="BN1000" s="805"/>
      <c r="BO1000" s="805"/>
      <c r="BP1000" s="805"/>
      <c r="BQ1000" s="805"/>
      <c r="BR1000" s="805"/>
      <c r="BS1000" s="805"/>
      <c r="BT1000" s="805"/>
      <c r="BU1000" s="805"/>
      <c r="BV1000" s="805"/>
      <c r="BW1000" s="805"/>
      <c r="BX1000" s="805"/>
      <c r="BY1000" s="805"/>
      <c r="BZ1000" s="805"/>
      <c r="CA1000" s="805"/>
      <c r="CB1000" s="805"/>
      <c r="CC1000" s="805"/>
      <c r="CD1000" s="805"/>
      <c r="CE1000" s="805"/>
      <c r="CF1000" s="805"/>
      <c r="CG1000" s="805"/>
      <c r="CH1000" s="805"/>
      <c r="CI1000" s="805"/>
      <c r="CJ1000" s="805"/>
      <c r="CK1000" s="805"/>
      <c r="CL1000" s="805"/>
      <c r="CM1000" s="805"/>
      <c r="CN1000" s="805"/>
      <c r="CO1000" s="805"/>
      <c r="CP1000" s="805"/>
      <c r="CQ1000" s="805"/>
      <c r="CR1000" s="805"/>
      <c r="CS1000" s="805"/>
    </row>
    <row r="1001" spans="1:97" s="35" customFormat="1" ht="12.75" customHeight="1">
      <c r="A1001" s="772"/>
      <c r="B1001" s="124"/>
      <c r="C1001" s="883"/>
      <c r="D1001" s="1944"/>
      <c r="E1001" s="1945"/>
      <c r="F1001" s="1945"/>
      <c r="G1001" s="1945"/>
      <c r="H1001" s="1945"/>
      <c r="I1001" s="1945"/>
      <c r="J1001" s="1945"/>
      <c r="K1001" s="1945"/>
      <c r="L1001" s="1945"/>
      <c r="M1001" s="1945"/>
      <c r="N1001" s="1945"/>
      <c r="O1001" s="1945"/>
      <c r="P1001" s="1945"/>
      <c r="Q1001" s="1945"/>
      <c r="R1001" s="1945"/>
      <c r="S1001" s="1945"/>
      <c r="T1001" s="1945"/>
      <c r="U1001" s="1945"/>
      <c r="V1001" s="1945"/>
      <c r="W1001" s="1945"/>
      <c r="X1001" s="1945"/>
      <c r="Y1001" s="1945"/>
      <c r="Z1001" s="1945"/>
      <c r="AA1001" s="1945"/>
      <c r="AB1001" s="1945"/>
      <c r="AC1001" s="1945"/>
      <c r="AD1001" s="1945"/>
      <c r="AE1001" s="1946"/>
      <c r="AF1001" s="124"/>
      <c r="AG1001" s="125"/>
      <c r="AH1001" s="125"/>
      <c r="AI1001" s="129"/>
      <c r="AJ1001" s="1938"/>
      <c r="AK1001" s="1939"/>
      <c r="AL1001" s="1939"/>
      <c r="AM1001" s="1939"/>
      <c r="AN1001" s="1939"/>
      <c r="AO1001" s="1939"/>
      <c r="AP1001" s="1939"/>
      <c r="AQ1001" s="1940"/>
      <c r="AR1001" s="805"/>
      <c r="AS1001" s="805"/>
      <c r="AT1001" s="805"/>
      <c r="AU1001" s="805"/>
      <c r="AV1001" s="805"/>
      <c r="AW1001" s="805"/>
      <c r="AX1001" s="805"/>
      <c r="AY1001" s="805"/>
      <c r="AZ1001" s="805"/>
      <c r="BA1001" s="805"/>
      <c r="BB1001" s="805"/>
      <c r="BC1001" s="805"/>
      <c r="BD1001" s="805"/>
      <c r="BE1001" s="805"/>
      <c r="BF1001" s="805"/>
      <c r="BG1001" s="805"/>
      <c r="BH1001" s="805"/>
      <c r="BI1001" s="805"/>
      <c r="BJ1001" s="805"/>
      <c r="BK1001" s="805"/>
      <c r="BL1001" s="805"/>
      <c r="BM1001" s="805"/>
      <c r="BN1001" s="805"/>
      <c r="BO1001" s="805"/>
      <c r="BP1001" s="805"/>
      <c r="BQ1001" s="805"/>
      <c r="BR1001" s="805"/>
      <c r="BS1001" s="805"/>
      <c r="BT1001" s="805"/>
      <c r="BU1001" s="805"/>
      <c r="BV1001" s="805"/>
      <c r="BW1001" s="805"/>
      <c r="BX1001" s="805"/>
      <c r="BY1001" s="805"/>
      <c r="BZ1001" s="805"/>
      <c r="CA1001" s="805"/>
      <c r="CB1001" s="805"/>
      <c r="CC1001" s="805"/>
      <c r="CD1001" s="805"/>
      <c r="CE1001" s="805"/>
      <c r="CF1001" s="805"/>
      <c r="CG1001" s="805"/>
      <c r="CH1001" s="805"/>
      <c r="CI1001" s="805"/>
      <c r="CJ1001" s="805"/>
      <c r="CK1001" s="805"/>
      <c r="CL1001" s="805"/>
      <c r="CM1001" s="805"/>
      <c r="CN1001" s="805"/>
      <c r="CO1001" s="805"/>
      <c r="CP1001" s="805"/>
      <c r="CQ1001" s="805"/>
      <c r="CR1001" s="805"/>
      <c r="CS1001" s="805"/>
    </row>
    <row r="1002" spans="1:97" s="35" customFormat="1" ht="12.75" customHeight="1">
      <c r="A1002" s="772"/>
      <c r="B1002" s="304"/>
      <c r="C1002" s="1485"/>
      <c r="D1002" s="1883" t="s">
        <v>820</v>
      </c>
      <c r="E1002" s="1883"/>
      <c r="F1002" s="1883"/>
      <c r="G1002" s="1883"/>
      <c r="H1002" s="1883"/>
      <c r="I1002" s="1883"/>
      <c r="J1002" s="1883"/>
      <c r="K1002" s="1883"/>
      <c r="L1002" s="1883"/>
      <c r="M1002" s="1883"/>
      <c r="N1002" s="1883"/>
      <c r="O1002" s="1883"/>
      <c r="P1002" s="1883"/>
      <c r="Q1002" s="1883"/>
      <c r="R1002" s="1883"/>
      <c r="S1002" s="1883"/>
      <c r="T1002" s="1883"/>
      <c r="U1002" s="1883"/>
      <c r="V1002" s="1883"/>
      <c r="W1002" s="1883"/>
      <c r="X1002" s="1883"/>
      <c r="Y1002" s="1883"/>
      <c r="Z1002" s="1883"/>
      <c r="AA1002" s="1883"/>
      <c r="AB1002" s="1883"/>
      <c r="AC1002" s="1883"/>
      <c r="AD1002" s="1883"/>
      <c r="AE1002" s="1883"/>
      <c r="AF1002" s="1883"/>
      <c r="AG1002" s="1883"/>
      <c r="AH1002" s="1883"/>
      <c r="AI1002" s="1884"/>
      <c r="AJ1002" s="1922">
        <f>SUM(AJ953:AQ1001)</f>
        <v>28934530</v>
      </c>
      <c r="AK1002" s="1923"/>
      <c r="AL1002" s="1923"/>
      <c r="AM1002" s="1923"/>
      <c r="AN1002" s="1923"/>
      <c r="AO1002" s="1923"/>
      <c r="AP1002" s="1923"/>
      <c r="AQ1002" s="1924"/>
      <c r="AR1002" s="805"/>
      <c r="AS1002" s="805"/>
      <c r="AT1002" s="805"/>
      <c r="AU1002" s="805"/>
      <c r="AV1002" s="805"/>
      <c r="AW1002" s="805"/>
      <c r="AX1002" s="805"/>
      <c r="AY1002" s="805"/>
      <c r="AZ1002" s="805"/>
      <c r="BA1002" s="805"/>
      <c r="BB1002" s="805"/>
      <c r="BC1002" s="805"/>
      <c r="BD1002" s="805"/>
      <c r="BE1002" s="805"/>
      <c r="BF1002" s="805"/>
      <c r="BG1002" s="805"/>
      <c r="BH1002" s="805"/>
      <c r="BI1002" s="805"/>
      <c r="BJ1002" s="805"/>
      <c r="BK1002" s="805"/>
      <c r="BL1002" s="805"/>
      <c r="BM1002" s="805"/>
      <c r="BN1002" s="805"/>
      <c r="BO1002" s="805"/>
      <c r="BP1002" s="805"/>
      <c r="BQ1002" s="805"/>
      <c r="BR1002" s="805"/>
      <c r="BS1002" s="805"/>
      <c r="BT1002" s="805"/>
      <c r="BU1002" s="805"/>
      <c r="BV1002" s="805"/>
      <c r="BW1002" s="805"/>
      <c r="BX1002" s="805"/>
      <c r="BY1002" s="805"/>
      <c r="BZ1002" s="805"/>
      <c r="CA1002" s="805"/>
      <c r="CB1002" s="805"/>
      <c r="CC1002" s="805"/>
      <c r="CD1002" s="805"/>
      <c r="CE1002" s="805"/>
      <c r="CF1002" s="805"/>
      <c r="CG1002" s="805"/>
      <c r="CH1002" s="805"/>
      <c r="CI1002" s="805"/>
      <c r="CJ1002" s="805"/>
      <c r="CK1002" s="805"/>
      <c r="CL1002" s="805"/>
      <c r="CM1002" s="805"/>
      <c r="CN1002" s="805"/>
      <c r="CO1002" s="805"/>
      <c r="CP1002" s="805"/>
      <c r="CQ1002" s="805"/>
      <c r="CR1002" s="805"/>
      <c r="CS1002" s="805"/>
    </row>
    <row r="1003" spans="1:97" s="35" customFormat="1" ht="12.75" customHeight="1">
      <c r="A1003" s="772"/>
      <c r="B1003" s="125"/>
      <c r="C1003" s="583"/>
      <c r="D1003" s="584"/>
      <c r="E1003" s="584"/>
      <c r="F1003" s="584"/>
      <c r="G1003" s="584"/>
      <c r="H1003" s="584"/>
      <c r="I1003" s="584"/>
      <c r="J1003" s="584"/>
      <c r="K1003" s="584"/>
      <c r="L1003" s="584"/>
      <c r="M1003" s="584"/>
      <c r="N1003" s="584"/>
      <c r="O1003" s="584"/>
      <c r="P1003" s="584"/>
      <c r="Q1003" s="584"/>
      <c r="R1003" s="584"/>
      <c r="S1003" s="584"/>
      <c r="T1003" s="584"/>
      <c r="U1003" s="584"/>
      <c r="V1003" s="584"/>
      <c r="W1003" s="584"/>
      <c r="X1003" s="584"/>
      <c r="Y1003" s="584"/>
      <c r="Z1003" s="584"/>
      <c r="AA1003" s="584"/>
      <c r="AB1003" s="584"/>
      <c r="AC1003" s="584"/>
      <c r="AD1003" s="585"/>
      <c r="AE1003" s="585"/>
      <c r="AF1003" s="585"/>
      <c r="AG1003" s="585"/>
      <c r="AH1003" s="585"/>
      <c r="AI1003" s="585"/>
      <c r="AJ1003" s="585"/>
      <c r="AK1003" s="585"/>
      <c r="AM1003" s="805"/>
      <c r="AN1003" s="805"/>
      <c r="AO1003" s="805"/>
      <c r="AP1003" s="805"/>
      <c r="AQ1003" s="805"/>
      <c r="AR1003" s="805"/>
      <c r="AS1003" s="805"/>
      <c r="AT1003" s="805"/>
      <c r="AU1003" s="805"/>
      <c r="AV1003" s="805"/>
      <c r="AW1003" s="805"/>
      <c r="AX1003" s="805"/>
      <c r="AY1003" s="805"/>
      <c r="AZ1003" s="805"/>
      <c r="BA1003" s="805"/>
      <c r="BB1003" s="805"/>
      <c r="BC1003" s="805"/>
      <c r="BD1003" s="805"/>
      <c r="BE1003" s="805"/>
      <c r="BF1003" s="805"/>
      <c r="BG1003" s="805"/>
      <c r="BH1003" s="805"/>
      <c r="BI1003" s="805"/>
      <c r="BJ1003" s="805"/>
      <c r="BK1003" s="805"/>
      <c r="BL1003" s="805"/>
      <c r="BM1003" s="805"/>
      <c r="BN1003" s="805"/>
      <c r="BO1003" s="805"/>
      <c r="BP1003" s="805"/>
      <c r="BQ1003" s="805"/>
      <c r="BR1003" s="805"/>
      <c r="BS1003" s="805"/>
      <c r="BT1003" s="805"/>
      <c r="BU1003" s="805"/>
      <c r="BV1003" s="805"/>
      <c r="BW1003" s="805"/>
      <c r="BX1003" s="805"/>
      <c r="BY1003" s="805"/>
      <c r="BZ1003" s="805"/>
      <c r="CA1003" s="805"/>
      <c r="CB1003" s="805"/>
      <c r="CC1003" s="805"/>
      <c r="CD1003" s="805"/>
      <c r="CE1003" s="805"/>
      <c r="CF1003" s="805"/>
      <c r="CG1003" s="805"/>
      <c r="CH1003" s="805"/>
      <c r="CI1003" s="805"/>
      <c r="CJ1003" s="805"/>
      <c r="CK1003" s="805"/>
      <c r="CL1003" s="805"/>
      <c r="CM1003" s="805"/>
      <c r="CN1003" s="805"/>
      <c r="CO1003" s="805"/>
      <c r="CP1003" s="805"/>
      <c r="CQ1003" s="805"/>
      <c r="CR1003" s="805"/>
      <c r="CS1003" s="805"/>
    </row>
    <row r="1004" spans="1:97" ht="12.75" customHeight="1">
      <c r="A1004" s="134"/>
      <c r="B1004" s="125"/>
      <c r="C1004" s="583"/>
      <c r="D1004" s="584"/>
      <c r="E1004" s="584"/>
      <c r="F1004" s="584"/>
      <c r="G1004" s="584"/>
      <c r="H1004" s="584"/>
      <c r="I1004" s="584"/>
      <c r="J1004" s="584"/>
      <c r="K1004" s="584"/>
      <c r="L1004" s="584"/>
      <c r="M1004" s="584"/>
      <c r="N1004" s="584"/>
      <c r="O1004" s="584"/>
      <c r="P1004" s="584"/>
      <c r="Q1004" s="584"/>
      <c r="R1004" s="584"/>
      <c r="S1004" s="584"/>
      <c r="T1004" s="584"/>
      <c r="U1004" s="584"/>
      <c r="V1004" s="584"/>
      <c r="W1004" s="584"/>
      <c r="X1004" s="584"/>
      <c r="Y1004" s="584"/>
      <c r="Z1004" s="584"/>
      <c r="AA1004" s="584"/>
      <c r="AB1004" s="584"/>
      <c r="AC1004" s="584"/>
      <c r="AD1004" s="585"/>
      <c r="AE1004" s="585"/>
      <c r="AF1004" s="585"/>
      <c r="AG1004" s="585"/>
      <c r="AH1004" s="585"/>
      <c r="AI1004" s="585"/>
      <c r="AJ1004" s="585"/>
      <c r="AK1004" s="585"/>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3"/>
      <c r="D1005" s="586" t="s">
        <v>1162</v>
      </c>
      <c r="E1005" s="587"/>
      <c r="F1005" s="587"/>
      <c r="G1005" s="587"/>
      <c r="H1005" s="587"/>
      <c r="I1005" s="587"/>
      <c r="J1005" s="587"/>
      <c r="K1005" s="587"/>
      <c r="L1005" s="587"/>
      <c r="M1005" s="587"/>
      <c r="N1005" s="587"/>
      <c r="O1005" s="587"/>
      <c r="P1005" s="587"/>
      <c r="Q1005" s="587"/>
      <c r="R1005" s="587"/>
      <c r="S1005" s="587"/>
      <c r="T1005" s="587"/>
      <c r="U1005" s="587"/>
      <c r="V1005" s="587"/>
      <c r="W1005" s="587"/>
      <c r="X1005" s="587"/>
      <c r="Y1005" s="587"/>
      <c r="Z1005" s="587"/>
      <c r="AA1005" s="587"/>
      <c r="AB1005" s="587"/>
      <c r="AC1005" s="587"/>
      <c r="AD1005" s="585"/>
      <c r="AE1005" s="585"/>
      <c r="AF1005" s="585"/>
      <c r="AG1005" s="585"/>
      <c r="AH1005" s="585"/>
      <c r="AI1005" s="585"/>
      <c r="AJ1005" s="585"/>
      <c r="AK1005" s="585"/>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3"/>
      <c r="D1006" s="588" t="s">
        <v>1156</v>
      </c>
      <c r="E1006" s="589"/>
      <c r="F1006" s="589"/>
      <c r="G1006" s="589"/>
      <c r="H1006" s="589"/>
      <c r="I1006" s="589"/>
      <c r="J1006" s="589"/>
      <c r="K1006" s="589"/>
      <c r="L1006" s="589"/>
      <c r="M1006" s="589"/>
      <c r="N1006" s="589"/>
      <c r="O1006" s="589"/>
      <c r="P1006" s="589"/>
      <c r="Q1006" s="589"/>
      <c r="R1006" s="589"/>
      <c r="S1006" s="589"/>
      <c r="T1006" s="589"/>
      <c r="U1006" s="589"/>
      <c r="V1006" s="589"/>
      <c r="W1006" s="589"/>
      <c r="X1006" s="1914">
        <f>'Sources and Uses Budget'!S106+'Sources and Uses Budget'!T106</f>
        <v>24271427</v>
      </c>
      <c r="Y1006" s="1914"/>
      <c r="Z1006" s="1914"/>
      <c r="AA1006" s="1914"/>
      <c r="AB1006" s="1914"/>
      <c r="AC1006" s="1914"/>
      <c r="AD1006" s="585"/>
      <c r="AE1006" s="585"/>
      <c r="AF1006" s="585"/>
      <c r="AG1006" s="585"/>
      <c r="AH1006" s="585"/>
      <c r="AI1006" s="585"/>
      <c r="AJ1006" s="585"/>
      <c r="AK1006" s="585"/>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3"/>
      <c r="D1007" s="588"/>
      <c r="E1007" s="588" t="s">
        <v>1160</v>
      </c>
      <c r="F1007" s="589"/>
      <c r="G1007" s="589"/>
      <c r="H1007" s="589"/>
      <c r="I1007" s="589"/>
      <c r="J1007" s="589"/>
      <c r="K1007" s="589"/>
      <c r="L1007" s="589"/>
      <c r="M1007" s="589"/>
      <c r="N1007" s="589"/>
      <c r="O1007" s="589"/>
      <c r="P1007" s="589"/>
      <c r="Q1007" s="589"/>
      <c r="R1007" s="589"/>
      <c r="S1007" s="589"/>
      <c r="T1007" s="589"/>
      <c r="U1007" s="589"/>
      <c r="V1007" s="589"/>
      <c r="W1007" s="589"/>
      <c r="X1007" s="1910">
        <f>X1006/AJ1002</f>
        <v>0.83883951113081845</v>
      </c>
      <c r="Y1007" s="1911"/>
      <c r="Z1007" s="1911"/>
      <c r="AA1007" s="1911"/>
      <c r="AB1007" s="1911"/>
      <c r="AC1007" s="1912"/>
      <c r="AD1007" s="585"/>
      <c r="AE1007" s="585"/>
      <c r="AF1007" s="585"/>
      <c r="AG1007" s="585"/>
      <c r="AH1007" s="585"/>
      <c r="AI1007" s="585"/>
      <c r="AJ1007" s="585"/>
      <c r="AK1007" s="585"/>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3"/>
      <c r="D1008" s="1704"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704"/>
      <c r="F1008" s="1704"/>
      <c r="G1008" s="1704"/>
      <c r="H1008" s="1704"/>
      <c r="I1008" s="1704"/>
      <c r="J1008" s="1704"/>
      <c r="K1008" s="1704"/>
      <c r="L1008" s="1704"/>
      <c r="M1008" s="1704"/>
      <c r="N1008" s="1704"/>
      <c r="O1008" s="1704"/>
      <c r="P1008" s="1704"/>
      <c r="Q1008" s="1704"/>
      <c r="R1008" s="1704"/>
      <c r="S1008" s="1704"/>
      <c r="T1008" s="1704"/>
      <c r="U1008" s="1704"/>
      <c r="V1008" s="1704"/>
      <c r="W1008" s="1704"/>
      <c r="X1008" s="1704"/>
      <c r="Y1008" s="1704"/>
      <c r="Z1008" s="1704"/>
      <c r="AA1008" s="1704"/>
      <c r="AB1008" s="1704"/>
      <c r="AC1008" s="1704"/>
      <c r="AD1008" s="1704"/>
      <c r="AE1008" s="1704"/>
      <c r="AF1008" s="1704"/>
      <c r="AG1008" s="1704"/>
      <c r="AH1008" s="1704"/>
      <c r="AI1008" s="1704"/>
      <c r="AJ1008" s="1704"/>
      <c r="AK1008" s="1704"/>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3"/>
      <c r="D1009" s="1704"/>
      <c r="E1009" s="1704"/>
      <c r="F1009" s="1704"/>
      <c r="G1009" s="1704"/>
      <c r="H1009" s="1704"/>
      <c r="I1009" s="1704"/>
      <c r="J1009" s="1704"/>
      <c r="K1009" s="1704"/>
      <c r="L1009" s="1704"/>
      <c r="M1009" s="1704"/>
      <c r="N1009" s="1704"/>
      <c r="O1009" s="1704"/>
      <c r="P1009" s="1704"/>
      <c r="Q1009" s="1704"/>
      <c r="R1009" s="1704"/>
      <c r="S1009" s="1704"/>
      <c r="T1009" s="1704"/>
      <c r="U1009" s="1704"/>
      <c r="V1009" s="1704"/>
      <c r="W1009" s="1704"/>
      <c r="X1009" s="1704"/>
      <c r="Y1009" s="1704"/>
      <c r="Z1009" s="1704"/>
      <c r="AA1009" s="1704"/>
      <c r="AB1009" s="1704"/>
      <c r="AC1009" s="1704"/>
      <c r="AD1009" s="1704"/>
      <c r="AE1009" s="1704"/>
      <c r="AF1009" s="1704"/>
      <c r="AG1009" s="1704"/>
      <c r="AH1009" s="1704"/>
      <c r="AI1009" s="1704"/>
      <c r="AJ1009" s="1704"/>
      <c r="AK1009" s="1704"/>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3"/>
      <c r="D1010" s="1704"/>
      <c r="E1010" s="1704"/>
      <c r="F1010" s="1704"/>
      <c r="G1010" s="1704"/>
      <c r="H1010" s="1704"/>
      <c r="I1010" s="1704"/>
      <c r="J1010" s="1704"/>
      <c r="K1010" s="1704"/>
      <c r="L1010" s="1704"/>
      <c r="M1010" s="1704"/>
      <c r="N1010" s="1704"/>
      <c r="O1010" s="1704"/>
      <c r="P1010" s="1704"/>
      <c r="Q1010" s="1704"/>
      <c r="R1010" s="1704"/>
      <c r="S1010" s="1704"/>
      <c r="T1010" s="1704"/>
      <c r="U1010" s="1704"/>
      <c r="V1010" s="1704"/>
      <c r="W1010" s="1704"/>
      <c r="X1010" s="1704"/>
      <c r="Y1010" s="1704"/>
      <c r="Z1010" s="1704"/>
      <c r="AA1010" s="1704"/>
      <c r="AB1010" s="1704"/>
      <c r="AC1010" s="1704"/>
      <c r="AD1010" s="1704"/>
      <c r="AE1010" s="1704"/>
      <c r="AF1010" s="1704"/>
      <c r="AG1010" s="1704"/>
      <c r="AH1010" s="1704"/>
      <c r="AI1010" s="1704"/>
      <c r="AJ1010" s="1704"/>
      <c r="AK1010" s="1704"/>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913"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13"/>
      <c r="D1011" s="1913"/>
      <c r="E1011" s="1913"/>
      <c r="F1011" s="1913"/>
      <c r="G1011" s="1913"/>
      <c r="H1011" s="1913"/>
      <c r="I1011" s="1913"/>
      <c r="J1011" s="1913"/>
      <c r="K1011" s="1913"/>
      <c r="L1011" s="1913"/>
      <c r="M1011" s="1913"/>
      <c r="N1011" s="1913"/>
      <c r="O1011" s="1913"/>
      <c r="P1011" s="1913"/>
      <c r="Q1011" s="1913"/>
      <c r="R1011" s="1913"/>
      <c r="S1011" s="1913"/>
      <c r="T1011" s="1913"/>
      <c r="U1011" s="1913"/>
      <c r="V1011" s="1913"/>
      <c r="W1011" s="1913"/>
      <c r="X1011" s="1913"/>
      <c r="Y1011" s="1913"/>
      <c r="Z1011" s="1913"/>
      <c r="AA1011" s="1913"/>
      <c r="AB1011" s="1913"/>
      <c r="AC1011" s="1913"/>
      <c r="AD1011" s="1913"/>
      <c r="AE1011" s="1913"/>
      <c r="AF1011" s="1913"/>
      <c r="AG1011" s="1913"/>
      <c r="AH1011" s="1913"/>
      <c r="AI1011" s="1913"/>
      <c r="AJ1011" s="1913"/>
      <c r="AK1011" s="1913"/>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2"/>
      <c r="B1012" s="1913"/>
      <c r="C1012" s="1913"/>
      <c r="D1012" s="1913"/>
      <c r="E1012" s="1913"/>
      <c r="F1012" s="1913"/>
      <c r="G1012" s="1913"/>
      <c r="H1012" s="1913"/>
      <c r="I1012" s="1913"/>
      <c r="J1012" s="1913"/>
      <c r="K1012" s="1913"/>
      <c r="L1012" s="1913"/>
      <c r="M1012" s="1913"/>
      <c r="N1012" s="1913"/>
      <c r="O1012" s="1913"/>
      <c r="P1012" s="1913"/>
      <c r="Q1012" s="1913"/>
      <c r="R1012" s="1913"/>
      <c r="S1012" s="1913"/>
      <c r="T1012" s="1913"/>
      <c r="U1012" s="1913"/>
      <c r="V1012" s="1913"/>
      <c r="W1012" s="1913"/>
      <c r="X1012" s="1913"/>
      <c r="Y1012" s="1913"/>
      <c r="Z1012" s="1913"/>
      <c r="AA1012" s="1913"/>
      <c r="AB1012" s="1913"/>
      <c r="AC1012" s="1913"/>
      <c r="AD1012" s="1913"/>
      <c r="AE1012" s="1913"/>
      <c r="AF1012" s="1913"/>
      <c r="AG1012" s="1913"/>
      <c r="AH1012" s="1913"/>
      <c r="AI1012" s="1913"/>
      <c r="AJ1012" s="1913"/>
      <c r="AK1012" s="1913"/>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913">
        <f>IF(ISNA(IF((AD975&gt;(AD953*0.15)),"(f) cannot be greater than 15% of unadjusted eligible basis.",0)),"",(IF((AD975&gt;(AD953*0.15)),"(f) cannot be greater than 15% of unadjusted eligible basis.",0)))</f>
        <v>0</v>
      </c>
      <c r="C1013" s="1913"/>
      <c r="D1013" s="1913"/>
      <c r="E1013" s="1913"/>
      <c r="F1013" s="1913"/>
      <c r="G1013" s="1913"/>
      <c r="H1013" s="1913"/>
      <c r="I1013" s="1913"/>
      <c r="J1013" s="1913"/>
      <c r="K1013" s="1913"/>
      <c r="L1013" s="1913"/>
      <c r="M1013" s="1913"/>
      <c r="N1013" s="1913"/>
      <c r="O1013" s="1913"/>
      <c r="P1013" s="1913"/>
      <c r="Q1013" s="1913"/>
      <c r="R1013" s="1913"/>
      <c r="S1013" s="1913"/>
      <c r="T1013" s="1913"/>
      <c r="U1013" s="1913"/>
      <c r="V1013" s="1913"/>
      <c r="W1013" s="1913"/>
      <c r="X1013" s="1913"/>
      <c r="Y1013" s="1913"/>
      <c r="Z1013" s="1913"/>
      <c r="AA1013" s="1913"/>
      <c r="AB1013" s="1913"/>
      <c r="AC1013" s="1913"/>
      <c r="AD1013" s="1913"/>
      <c r="AE1013" s="1913"/>
      <c r="AF1013" s="1913"/>
      <c r="AG1013" s="1913"/>
      <c r="AH1013" s="1913"/>
      <c r="AI1013" s="1913"/>
      <c r="AJ1013" s="1913"/>
      <c r="AK1013" s="1913"/>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705" t="s">
        <v>1093</v>
      </c>
      <c r="B1014" s="1705"/>
      <c r="C1014" s="1705"/>
      <c r="D1014" s="1705"/>
      <c r="E1014" s="1705"/>
      <c r="F1014" s="1705"/>
      <c r="G1014" s="1705"/>
      <c r="H1014" s="1705"/>
      <c r="I1014" s="1705"/>
      <c r="J1014" s="1705"/>
      <c r="K1014" s="1705"/>
      <c r="L1014" s="1705"/>
      <c r="M1014" s="1705"/>
      <c r="N1014" s="1705"/>
      <c r="O1014" s="1705"/>
      <c r="P1014" s="1705"/>
      <c r="Q1014" s="1705"/>
      <c r="R1014" s="1705"/>
      <c r="S1014" s="1705"/>
      <c r="T1014" s="1705"/>
      <c r="U1014" s="1705"/>
      <c r="V1014" s="1705"/>
      <c r="W1014" s="1705"/>
      <c r="X1014" s="1705"/>
      <c r="Y1014" s="1705"/>
      <c r="Z1014" s="1705"/>
      <c r="AA1014" s="1705"/>
      <c r="AB1014" s="1705"/>
      <c r="AC1014" s="1705"/>
      <c r="AD1014" s="1705"/>
      <c r="AE1014" s="1705"/>
      <c r="AF1014" s="1705"/>
      <c r="AG1014" s="1705"/>
      <c r="AH1014" s="1705"/>
      <c r="AI1014" s="1705"/>
      <c r="AJ1014" s="1705"/>
      <c r="AK1014" s="1705"/>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1094</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1095</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94" t="s">
        <v>136</v>
      </c>
      <c r="B1018" s="1694"/>
      <c r="C1018" s="17">
        <v>1</v>
      </c>
      <c r="D1018" s="1615" t="s">
        <v>1705</v>
      </c>
      <c r="E1018" s="1615"/>
      <c r="F1018" s="1615"/>
      <c r="G1018" s="1615"/>
      <c r="H1018" s="1615"/>
      <c r="I1018" s="1615"/>
      <c r="J1018" s="1615"/>
      <c r="K1018" s="1615"/>
      <c r="L1018" s="1615"/>
      <c r="M1018" s="1615"/>
      <c r="N1018" s="1615"/>
      <c r="O1018" s="1615"/>
      <c r="P1018" s="1615"/>
      <c r="Q1018" s="1615"/>
      <c r="R1018" s="1615"/>
      <c r="S1018" s="1615"/>
      <c r="T1018" s="1615"/>
      <c r="U1018" s="1615"/>
      <c r="V1018" s="1615"/>
      <c r="W1018" s="1615"/>
      <c r="X1018" s="1615"/>
      <c r="Y1018" s="1615"/>
      <c r="Z1018" s="1615"/>
      <c r="AA1018" s="1615"/>
      <c r="AB1018" s="1615"/>
      <c r="AC1018" s="1615"/>
      <c r="AD1018" s="1615"/>
      <c r="AE1018" s="1615"/>
      <c r="AF1018" s="1615"/>
      <c r="AG1018" s="1615"/>
      <c r="AH1018" s="1615"/>
      <c r="AI1018" s="1615"/>
      <c r="AJ1018" s="1615"/>
      <c r="AK1018" s="1615"/>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615"/>
      <c r="E1019" s="1615"/>
      <c r="F1019" s="1615"/>
      <c r="G1019" s="1615"/>
      <c r="H1019" s="1615"/>
      <c r="I1019" s="1615"/>
      <c r="J1019" s="1615"/>
      <c r="K1019" s="1615"/>
      <c r="L1019" s="1615"/>
      <c r="M1019" s="1615"/>
      <c r="N1019" s="1615"/>
      <c r="O1019" s="1615"/>
      <c r="P1019" s="1615"/>
      <c r="Q1019" s="1615"/>
      <c r="R1019" s="1615"/>
      <c r="S1019" s="1615"/>
      <c r="T1019" s="1615"/>
      <c r="U1019" s="1615"/>
      <c r="V1019" s="1615"/>
      <c r="W1019" s="1615"/>
      <c r="X1019" s="1615"/>
      <c r="Y1019" s="1615"/>
      <c r="Z1019" s="1615"/>
      <c r="AA1019" s="1615"/>
      <c r="AB1019" s="1615"/>
      <c r="AC1019" s="1615"/>
      <c r="AD1019" s="1615"/>
      <c r="AE1019" s="1615"/>
      <c r="AF1019" s="1615"/>
      <c r="AG1019" s="1615"/>
      <c r="AH1019" s="1615"/>
      <c r="AI1019" s="1615"/>
      <c r="AJ1019" s="1615"/>
      <c r="AK1019" s="1615"/>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615"/>
      <c r="E1020" s="1615"/>
      <c r="F1020" s="1615"/>
      <c r="G1020" s="1615"/>
      <c r="H1020" s="1615"/>
      <c r="I1020" s="1615"/>
      <c r="J1020" s="1615"/>
      <c r="K1020" s="1615"/>
      <c r="L1020" s="1615"/>
      <c r="M1020" s="1615"/>
      <c r="N1020" s="1615"/>
      <c r="O1020" s="1615"/>
      <c r="P1020" s="1615"/>
      <c r="Q1020" s="1615"/>
      <c r="R1020" s="1615"/>
      <c r="S1020" s="1615"/>
      <c r="T1020" s="1615"/>
      <c r="U1020" s="1615"/>
      <c r="V1020" s="1615"/>
      <c r="W1020" s="1615"/>
      <c r="X1020" s="1615"/>
      <c r="Y1020" s="1615"/>
      <c r="Z1020" s="1615"/>
      <c r="AA1020" s="1615"/>
      <c r="AB1020" s="1615"/>
      <c r="AC1020" s="1615"/>
      <c r="AD1020" s="1615"/>
      <c r="AE1020" s="1615"/>
      <c r="AF1020" s="1615"/>
      <c r="AG1020" s="1615"/>
      <c r="AH1020" s="1615"/>
      <c r="AI1020" s="1615"/>
      <c r="AJ1020" s="1615"/>
      <c r="AK1020" s="1615"/>
      <c r="AL1020" s="16"/>
      <c r="AM1020" s="66"/>
      <c r="AN1020" s="66"/>
      <c r="AO1020" s="30"/>
      <c r="AP1020" s="30"/>
      <c r="AQ1020" s="30"/>
      <c r="AR1020" s="30"/>
      <c r="AS1020" s="30"/>
      <c r="AT1020" s="1746"/>
      <c r="AU1020" s="1746"/>
      <c r="AV1020" s="1746"/>
      <c r="AW1020" s="1746"/>
      <c r="AX1020" s="1746"/>
      <c r="AY1020" s="1746"/>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615"/>
      <c r="E1021" s="1615"/>
      <c r="F1021" s="1615"/>
      <c r="G1021" s="1615"/>
      <c r="H1021" s="1615"/>
      <c r="I1021" s="1615"/>
      <c r="J1021" s="1615"/>
      <c r="K1021" s="1615"/>
      <c r="L1021" s="1615"/>
      <c r="M1021" s="1615"/>
      <c r="N1021" s="1615"/>
      <c r="O1021" s="1615"/>
      <c r="P1021" s="1615"/>
      <c r="Q1021" s="1615"/>
      <c r="R1021" s="1615"/>
      <c r="S1021" s="1615"/>
      <c r="T1021" s="1615"/>
      <c r="U1021" s="1615"/>
      <c r="V1021" s="1615"/>
      <c r="W1021" s="1615"/>
      <c r="X1021" s="1615"/>
      <c r="Y1021" s="1615"/>
      <c r="Z1021" s="1615"/>
      <c r="AA1021" s="1615"/>
      <c r="AB1021" s="1615"/>
      <c r="AC1021" s="1615"/>
      <c r="AD1021" s="1615"/>
      <c r="AE1021" s="1615"/>
      <c r="AF1021" s="1615"/>
      <c r="AG1021" s="1615"/>
      <c r="AH1021" s="1615"/>
      <c r="AI1021" s="1615"/>
      <c r="AJ1021" s="1615"/>
      <c r="AK1021" s="1615"/>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615"/>
      <c r="E1022" s="1615"/>
      <c r="F1022" s="1615"/>
      <c r="G1022" s="1615"/>
      <c r="H1022" s="1615"/>
      <c r="I1022" s="1615"/>
      <c r="J1022" s="1615"/>
      <c r="K1022" s="1615"/>
      <c r="L1022" s="1615"/>
      <c r="M1022" s="1615"/>
      <c r="N1022" s="1615"/>
      <c r="O1022" s="1615"/>
      <c r="P1022" s="1615"/>
      <c r="Q1022" s="1615"/>
      <c r="R1022" s="1615"/>
      <c r="S1022" s="1615"/>
      <c r="T1022" s="1615"/>
      <c r="U1022" s="1615"/>
      <c r="V1022" s="1615"/>
      <c r="W1022" s="1615"/>
      <c r="X1022" s="1615"/>
      <c r="Y1022" s="1615"/>
      <c r="Z1022" s="1615"/>
      <c r="AA1022" s="1615"/>
      <c r="AB1022" s="1615"/>
      <c r="AC1022" s="1615"/>
      <c r="AD1022" s="1615"/>
      <c r="AE1022" s="1615"/>
      <c r="AF1022" s="1615"/>
      <c r="AG1022" s="1615"/>
      <c r="AH1022" s="1615"/>
      <c r="AI1022" s="1615"/>
      <c r="AJ1022" s="1615"/>
      <c r="AK1022" s="1615"/>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615"/>
      <c r="E1023" s="1615"/>
      <c r="F1023" s="1615"/>
      <c r="G1023" s="1615"/>
      <c r="H1023" s="1615"/>
      <c r="I1023" s="1615"/>
      <c r="J1023" s="1615"/>
      <c r="K1023" s="1615"/>
      <c r="L1023" s="1615"/>
      <c r="M1023" s="1615"/>
      <c r="N1023" s="1615"/>
      <c r="O1023" s="1615"/>
      <c r="P1023" s="1615"/>
      <c r="Q1023" s="1615"/>
      <c r="R1023" s="1615"/>
      <c r="S1023" s="1615"/>
      <c r="T1023" s="1615"/>
      <c r="U1023" s="1615"/>
      <c r="V1023" s="1615"/>
      <c r="W1023" s="1615"/>
      <c r="X1023" s="1615"/>
      <c r="Y1023" s="1615"/>
      <c r="Z1023" s="1615"/>
      <c r="AA1023" s="1615"/>
      <c r="AB1023" s="1615"/>
      <c r="AC1023" s="1615"/>
      <c r="AD1023" s="1615"/>
      <c r="AE1023" s="1615"/>
      <c r="AF1023" s="1615"/>
      <c r="AG1023" s="1615"/>
      <c r="AH1023" s="1615"/>
      <c r="AI1023" s="1615"/>
      <c r="AJ1023" s="1615"/>
      <c r="AK1023" s="1615"/>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694" t="s">
        <v>136</v>
      </c>
      <c r="B1024" s="1694"/>
      <c r="C1024" s="17">
        <v>2</v>
      </c>
      <c r="D1024" s="1614" t="s">
        <v>1706</v>
      </c>
      <c r="E1024" s="1615"/>
      <c r="F1024" s="1615"/>
      <c r="G1024" s="1615"/>
      <c r="H1024" s="1615"/>
      <c r="I1024" s="1615"/>
      <c r="J1024" s="1615"/>
      <c r="K1024" s="1615"/>
      <c r="L1024" s="1615"/>
      <c r="M1024" s="1615"/>
      <c r="N1024" s="1615"/>
      <c r="O1024" s="1615"/>
      <c r="P1024" s="1615"/>
      <c r="Q1024" s="1615"/>
      <c r="R1024" s="1615"/>
      <c r="S1024" s="1615"/>
      <c r="T1024" s="1615"/>
      <c r="U1024" s="1615"/>
      <c r="V1024" s="1615"/>
      <c r="W1024" s="1615"/>
      <c r="X1024" s="1615"/>
      <c r="Y1024" s="1615"/>
      <c r="Z1024" s="1615"/>
      <c r="AA1024" s="1615"/>
      <c r="AB1024" s="1615"/>
      <c r="AC1024" s="1615"/>
      <c r="AD1024" s="1615"/>
      <c r="AE1024" s="1615"/>
      <c r="AF1024" s="1615"/>
      <c r="AG1024" s="1615"/>
      <c r="AH1024" s="1615"/>
      <c r="AI1024" s="1615"/>
      <c r="AJ1024" s="1615"/>
      <c r="AK1024" s="1615"/>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615"/>
      <c r="E1025" s="1615"/>
      <c r="F1025" s="1615"/>
      <c r="G1025" s="1615"/>
      <c r="H1025" s="1615"/>
      <c r="I1025" s="1615"/>
      <c r="J1025" s="1615"/>
      <c r="K1025" s="1615"/>
      <c r="L1025" s="1615"/>
      <c r="M1025" s="1615"/>
      <c r="N1025" s="1615"/>
      <c r="O1025" s="1615"/>
      <c r="P1025" s="1615"/>
      <c r="Q1025" s="1615"/>
      <c r="R1025" s="1615"/>
      <c r="S1025" s="1615"/>
      <c r="T1025" s="1615"/>
      <c r="U1025" s="1615"/>
      <c r="V1025" s="1615"/>
      <c r="W1025" s="1615"/>
      <c r="X1025" s="1615"/>
      <c r="Y1025" s="1615"/>
      <c r="Z1025" s="1615"/>
      <c r="AA1025" s="1615"/>
      <c r="AB1025" s="1615"/>
      <c r="AC1025" s="1615"/>
      <c r="AD1025" s="1615"/>
      <c r="AE1025" s="1615"/>
      <c r="AF1025" s="1615"/>
      <c r="AG1025" s="1615"/>
      <c r="AH1025" s="1615"/>
      <c r="AI1025" s="1615"/>
      <c r="AJ1025" s="1615"/>
      <c r="AK1025" s="1615"/>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615"/>
      <c r="E1026" s="1615"/>
      <c r="F1026" s="1615"/>
      <c r="G1026" s="1615"/>
      <c r="H1026" s="1615"/>
      <c r="I1026" s="1615"/>
      <c r="J1026" s="1615"/>
      <c r="K1026" s="1615"/>
      <c r="L1026" s="1615"/>
      <c r="M1026" s="1615"/>
      <c r="N1026" s="1615"/>
      <c r="O1026" s="1615"/>
      <c r="P1026" s="1615"/>
      <c r="Q1026" s="1615"/>
      <c r="R1026" s="1615"/>
      <c r="S1026" s="1615"/>
      <c r="T1026" s="1615"/>
      <c r="U1026" s="1615"/>
      <c r="V1026" s="1615"/>
      <c r="W1026" s="1615"/>
      <c r="X1026" s="1615"/>
      <c r="Y1026" s="1615"/>
      <c r="Z1026" s="1615"/>
      <c r="AA1026" s="1615"/>
      <c r="AB1026" s="1615"/>
      <c r="AC1026" s="1615"/>
      <c r="AD1026" s="1615"/>
      <c r="AE1026" s="1615"/>
      <c r="AF1026" s="1615"/>
      <c r="AG1026" s="1615"/>
      <c r="AH1026" s="1615"/>
      <c r="AI1026" s="1615"/>
      <c r="AJ1026" s="1615"/>
      <c r="AK1026" s="1615"/>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615"/>
      <c r="E1027" s="1615"/>
      <c r="F1027" s="1615"/>
      <c r="G1027" s="1615"/>
      <c r="H1027" s="1615"/>
      <c r="I1027" s="1615"/>
      <c r="J1027" s="1615"/>
      <c r="K1027" s="1615"/>
      <c r="L1027" s="1615"/>
      <c r="M1027" s="1615"/>
      <c r="N1027" s="1615"/>
      <c r="O1027" s="1615"/>
      <c r="P1027" s="1615"/>
      <c r="Q1027" s="1615"/>
      <c r="R1027" s="1615"/>
      <c r="S1027" s="1615"/>
      <c r="T1027" s="1615"/>
      <c r="U1027" s="1615"/>
      <c r="V1027" s="1615"/>
      <c r="W1027" s="1615"/>
      <c r="X1027" s="1615"/>
      <c r="Y1027" s="1615"/>
      <c r="Z1027" s="1615"/>
      <c r="AA1027" s="1615"/>
      <c r="AB1027" s="1615"/>
      <c r="AC1027" s="1615"/>
      <c r="AD1027" s="1615"/>
      <c r="AE1027" s="1615"/>
      <c r="AF1027" s="1615"/>
      <c r="AG1027" s="1615"/>
      <c r="AH1027" s="1615"/>
      <c r="AI1027" s="1615"/>
      <c r="AJ1027" s="1615"/>
      <c r="AK1027" s="1615"/>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615"/>
      <c r="E1028" s="1615"/>
      <c r="F1028" s="1615"/>
      <c r="G1028" s="1615"/>
      <c r="H1028" s="1615"/>
      <c r="I1028" s="1615"/>
      <c r="J1028" s="1615"/>
      <c r="K1028" s="1615"/>
      <c r="L1028" s="1615"/>
      <c r="M1028" s="1615"/>
      <c r="N1028" s="1615"/>
      <c r="O1028" s="1615"/>
      <c r="P1028" s="1615"/>
      <c r="Q1028" s="1615"/>
      <c r="R1028" s="1615"/>
      <c r="S1028" s="1615"/>
      <c r="T1028" s="1615"/>
      <c r="U1028" s="1615"/>
      <c r="V1028" s="1615"/>
      <c r="W1028" s="1615"/>
      <c r="X1028" s="1615"/>
      <c r="Y1028" s="1615"/>
      <c r="Z1028" s="1615"/>
      <c r="AA1028" s="1615"/>
      <c r="AB1028" s="1615"/>
      <c r="AC1028" s="1615"/>
      <c r="AD1028" s="1615"/>
      <c r="AE1028" s="1615"/>
      <c r="AF1028" s="1615"/>
      <c r="AG1028" s="1615"/>
      <c r="AH1028" s="1615"/>
      <c r="AI1028" s="1615"/>
      <c r="AJ1028" s="1615"/>
      <c r="AK1028" s="1615"/>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615"/>
      <c r="E1029" s="1615"/>
      <c r="F1029" s="1615"/>
      <c r="G1029" s="1615"/>
      <c r="H1029" s="1615"/>
      <c r="I1029" s="1615"/>
      <c r="J1029" s="1615"/>
      <c r="K1029" s="1615"/>
      <c r="L1029" s="1615"/>
      <c r="M1029" s="1615"/>
      <c r="N1029" s="1615"/>
      <c r="O1029" s="1615"/>
      <c r="P1029" s="1615"/>
      <c r="Q1029" s="1615"/>
      <c r="R1029" s="1615"/>
      <c r="S1029" s="1615"/>
      <c r="T1029" s="1615"/>
      <c r="U1029" s="1615"/>
      <c r="V1029" s="1615"/>
      <c r="W1029" s="1615"/>
      <c r="X1029" s="1615"/>
      <c r="Y1029" s="1615"/>
      <c r="Z1029" s="1615"/>
      <c r="AA1029" s="1615"/>
      <c r="AB1029" s="1615"/>
      <c r="AC1029" s="1615"/>
      <c r="AD1029" s="1615"/>
      <c r="AE1029" s="1615"/>
      <c r="AF1029" s="1615"/>
      <c r="AG1029" s="1615"/>
      <c r="AH1029" s="1615"/>
      <c r="AI1029" s="1615"/>
      <c r="AJ1029" s="1615"/>
      <c r="AK1029" s="1615"/>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94" t="s">
        <v>136</v>
      </c>
      <c r="B1030" s="1694"/>
      <c r="C1030" s="17">
        <v>3</v>
      </c>
      <c r="D1030" s="1614" t="s">
        <v>2362</v>
      </c>
      <c r="E1030" s="1615"/>
      <c r="F1030" s="1615"/>
      <c r="G1030" s="1615"/>
      <c r="H1030" s="1615"/>
      <c r="I1030" s="1615"/>
      <c r="J1030" s="1615"/>
      <c r="K1030" s="1615"/>
      <c r="L1030" s="1615"/>
      <c r="M1030" s="1615"/>
      <c r="N1030" s="1615"/>
      <c r="O1030" s="1615"/>
      <c r="P1030" s="1615"/>
      <c r="Q1030" s="1615"/>
      <c r="R1030" s="1615"/>
      <c r="S1030" s="1615"/>
      <c r="T1030" s="1615"/>
      <c r="U1030" s="1615"/>
      <c r="V1030" s="1615"/>
      <c r="W1030" s="1615"/>
      <c r="X1030" s="1615"/>
      <c r="Y1030" s="1615"/>
      <c r="Z1030" s="1615"/>
      <c r="AA1030" s="1615"/>
      <c r="AB1030" s="1615"/>
      <c r="AC1030" s="1615"/>
      <c r="AD1030" s="1615"/>
      <c r="AE1030" s="1615"/>
      <c r="AF1030" s="1615"/>
      <c r="AG1030" s="1615"/>
      <c r="AH1030" s="1615"/>
      <c r="AI1030" s="1615"/>
      <c r="AJ1030" s="1615"/>
      <c r="AK1030" s="1615"/>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615"/>
      <c r="E1031" s="1615"/>
      <c r="F1031" s="1615"/>
      <c r="G1031" s="1615"/>
      <c r="H1031" s="1615"/>
      <c r="I1031" s="1615"/>
      <c r="J1031" s="1615"/>
      <c r="K1031" s="1615"/>
      <c r="L1031" s="1615"/>
      <c r="M1031" s="1615"/>
      <c r="N1031" s="1615"/>
      <c r="O1031" s="1615"/>
      <c r="P1031" s="1615"/>
      <c r="Q1031" s="1615"/>
      <c r="R1031" s="1615"/>
      <c r="S1031" s="1615"/>
      <c r="T1031" s="1615"/>
      <c r="U1031" s="1615"/>
      <c r="V1031" s="1615"/>
      <c r="W1031" s="1615"/>
      <c r="X1031" s="1615"/>
      <c r="Y1031" s="1615"/>
      <c r="Z1031" s="1615"/>
      <c r="AA1031" s="1615"/>
      <c r="AB1031" s="1615"/>
      <c r="AC1031" s="1615"/>
      <c r="AD1031" s="1615"/>
      <c r="AE1031" s="1615"/>
      <c r="AF1031" s="1615"/>
      <c r="AG1031" s="1615"/>
      <c r="AH1031" s="1615"/>
      <c r="AI1031" s="1615"/>
      <c r="AJ1031" s="1615"/>
      <c r="AK1031" s="1615"/>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615"/>
      <c r="E1032" s="1615"/>
      <c r="F1032" s="1615"/>
      <c r="G1032" s="1615"/>
      <c r="H1032" s="1615"/>
      <c r="I1032" s="1615"/>
      <c r="J1032" s="1615"/>
      <c r="K1032" s="1615"/>
      <c r="L1032" s="1615"/>
      <c r="M1032" s="1615"/>
      <c r="N1032" s="1615"/>
      <c r="O1032" s="1615"/>
      <c r="P1032" s="1615"/>
      <c r="Q1032" s="1615"/>
      <c r="R1032" s="1615"/>
      <c r="S1032" s="1615"/>
      <c r="T1032" s="1615"/>
      <c r="U1032" s="1615"/>
      <c r="V1032" s="1615"/>
      <c r="W1032" s="1615"/>
      <c r="X1032" s="1615"/>
      <c r="Y1032" s="1615"/>
      <c r="Z1032" s="1615"/>
      <c r="AA1032" s="1615"/>
      <c r="AB1032" s="1615"/>
      <c r="AC1032" s="1615"/>
      <c r="AD1032" s="1615"/>
      <c r="AE1032" s="1615"/>
      <c r="AF1032" s="1615"/>
      <c r="AG1032" s="1615"/>
      <c r="AH1032" s="1615"/>
      <c r="AI1032" s="1615"/>
      <c r="AJ1032" s="1615"/>
      <c r="AK1032" s="1615"/>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615"/>
      <c r="E1033" s="1615"/>
      <c r="F1033" s="1615"/>
      <c r="G1033" s="1615"/>
      <c r="H1033" s="1615"/>
      <c r="I1033" s="1615"/>
      <c r="J1033" s="1615"/>
      <c r="K1033" s="1615"/>
      <c r="L1033" s="1615"/>
      <c r="M1033" s="1615"/>
      <c r="N1033" s="1615"/>
      <c r="O1033" s="1615"/>
      <c r="P1033" s="1615"/>
      <c r="Q1033" s="1615"/>
      <c r="R1033" s="1615"/>
      <c r="S1033" s="1615"/>
      <c r="T1033" s="1615"/>
      <c r="U1033" s="1615"/>
      <c r="V1033" s="1615"/>
      <c r="W1033" s="1615"/>
      <c r="X1033" s="1615"/>
      <c r="Y1033" s="1615"/>
      <c r="Z1033" s="1615"/>
      <c r="AA1033" s="1615"/>
      <c r="AB1033" s="1615"/>
      <c r="AC1033" s="1615"/>
      <c r="AD1033" s="1615"/>
      <c r="AE1033" s="1615"/>
      <c r="AF1033" s="1615"/>
      <c r="AG1033" s="1615"/>
      <c r="AH1033" s="1615"/>
      <c r="AI1033" s="1615"/>
      <c r="AJ1033" s="1615"/>
      <c r="AK1033" s="1615"/>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615"/>
      <c r="E1034" s="1615"/>
      <c r="F1034" s="1615"/>
      <c r="G1034" s="1615"/>
      <c r="H1034" s="1615"/>
      <c r="I1034" s="1615"/>
      <c r="J1034" s="1615"/>
      <c r="K1034" s="1615"/>
      <c r="L1034" s="1615"/>
      <c r="M1034" s="1615"/>
      <c r="N1034" s="1615"/>
      <c r="O1034" s="1615"/>
      <c r="P1034" s="1615"/>
      <c r="Q1034" s="1615"/>
      <c r="R1034" s="1615"/>
      <c r="S1034" s="1615"/>
      <c r="T1034" s="1615"/>
      <c r="U1034" s="1615"/>
      <c r="V1034" s="1615"/>
      <c r="W1034" s="1615"/>
      <c r="X1034" s="1615"/>
      <c r="Y1034" s="1615"/>
      <c r="Z1034" s="1615"/>
      <c r="AA1034" s="1615"/>
      <c r="AB1034" s="1615"/>
      <c r="AC1034" s="1615"/>
      <c r="AD1034" s="1615"/>
      <c r="AE1034" s="1615"/>
      <c r="AF1034" s="1615"/>
      <c r="AG1034" s="1615"/>
      <c r="AH1034" s="1615"/>
      <c r="AI1034" s="1615"/>
      <c r="AJ1034" s="1615"/>
      <c r="AK1034" s="1615"/>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615"/>
      <c r="E1035" s="1615"/>
      <c r="F1035" s="1615"/>
      <c r="G1035" s="1615"/>
      <c r="H1035" s="1615"/>
      <c r="I1035" s="1615"/>
      <c r="J1035" s="1615"/>
      <c r="K1035" s="1615"/>
      <c r="L1035" s="1615"/>
      <c r="M1035" s="1615"/>
      <c r="N1035" s="1615"/>
      <c r="O1035" s="1615"/>
      <c r="P1035" s="1615"/>
      <c r="Q1035" s="1615"/>
      <c r="R1035" s="1615"/>
      <c r="S1035" s="1615"/>
      <c r="T1035" s="1615"/>
      <c r="U1035" s="1615"/>
      <c r="V1035" s="1615"/>
      <c r="W1035" s="1615"/>
      <c r="X1035" s="1615"/>
      <c r="Y1035" s="1615"/>
      <c r="Z1035" s="1615"/>
      <c r="AA1035" s="1615"/>
      <c r="AB1035" s="1615"/>
      <c r="AC1035" s="1615"/>
      <c r="AD1035" s="1615"/>
      <c r="AE1035" s="1615"/>
      <c r="AF1035" s="1615"/>
      <c r="AG1035" s="1615"/>
      <c r="AH1035" s="1615"/>
      <c r="AI1035" s="1615"/>
      <c r="AJ1035" s="1615"/>
      <c r="AK1035" s="1615"/>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94" t="s">
        <v>136</v>
      </c>
      <c r="B1036" s="1694"/>
      <c r="C1036" s="17">
        <v>4</v>
      </c>
      <c r="D1036" s="1614" t="s">
        <v>2353</v>
      </c>
      <c r="E1036" s="1615"/>
      <c r="F1036" s="1615"/>
      <c r="G1036" s="1615"/>
      <c r="H1036" s="1615"/>
      <c r="I1036" s="1615"/>
      <c r="J1036" s="1615"/>
      <c r="K1036" s="1615"/>
      <c r="L1036" s="1615"/>
      <c r="M1036" s="1615"/>
      <c r="N1036" s="1615"/>
      <c r="O1036" s="1615"/>
      <c r="P1036" s="1615"/>
      <c r="Q1036" s="1615"/>
      <c r="R1036" s="1615"/>
      <c r="S1036" s="1615"/>
      <c r="T1036" s="1615"/>
      <c r="U1036" s="1615"/>
      <c r="V1036" s="1615"/>
      <c r="W1036" s="1615"/>
      <c r="X1036" s="1615"/>
      <c r="Y1036" s="1615"/>
      <c r="Z1036" s="1615"/>
      <c r="AA1036" s="1615"/>
      <c r="AB1036" s="1615"/>
      <c r="AC1036" s="1615"/>
      <c r="AD1036" s="1615"/>
      <c r="AE1036" s="1615"/>
      <c r="AF1036" s="1615"/>
      <c r="AG1036" s="1615"/>
      <c r="AH1036" s="1615"/>
      <c r="AI1036" s="1615"/>
      <c r="AJ1036" s="1615"/>
      <c r="AK1036" s="1615"/>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615"/>
      <c r="E1037" s="1615"/>
      <c r="F1037" s="1615"/>
      <c r="G1037" s="1615"/>
      <c r="H1037" s="1615"/>
      <c r="I1037" s="1615"/>
      <c r="J1037" s="1615"/>
      <c r="K1037" s="1615"/>
      <c r="L1037" s="1615"/>
      <c r="M1037" s="1615"/>
      <c r="N1037" s="1615"/>
      <c r="O1037" s="1615"/>
      <c r="P1037" s="1615"/>
      <c r="Q1037" s="1615"/>
      <c r="R1037" s="1615"/>
      <c r="S1037" s="1615"/>
      <c r="T1037" s="1615"/>
      <c r="U1037" s="1615"/>
      <c r="V1037" s="1615"/>
      <c r="W1037" s="1615"/>
      <c r="X1037" s="1615"/>
      <c r="Y1037" s="1615"/>
      <c r="Z1037" s="1615"/>
      <c r="AA1037" s="1615"/>
      <c r="AB1037" s="1615"/>
      <c r="AC1037" s="1615"/>
      <c r="AD1037" s="1615"/>
      <c r="AE1037" s="1615"/>
      <c r="AF1037" s="1615"/>
      <c r="AG1037" s="1615"/>
      <c r="AH1037" s="1615"/>
      <c r="AI1037" s="1615"/>
      <c r="AJ1037" s="1615"/>
      <c r="AK1037" s="1615"/>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615"/>
      <c r="E1038" s="1615"/>
      <c r="F1038" s="1615"/>
      <c r="G1038" s="1615"/>
      <c r="H1038" s="1615"/>
      <c r="I1038" s="1615"/>
      <c r="J1038" s="1615"/>
      <c r="K1038" s="1615"/>
      <c r="L1038" s="1615"/>
      <c r="M1038" s="1615"/>
      <c r="N1038" s="1615"/>
      <c r="O1038" s="1615"/>
      <c r="P1038" s="1615"/>
      <c r="Q1038" s="1615"/>
      <c r="R1038" s="1615"/>
      <c r="S1038" s="1615"/>
      <c r="T1038" s="1615"/>
      <c r="U1038" s="1615"/>
      <c r="V1038" s="1615"/>
      <c r="W1038" s="1615"/>
      <c r="X1038" s="1615"/>
      <c r="Y1038" s="1615"/>
      <c r="Z1038" s="1615"/>
      <c r="AA1038" s="1615"/>
      <c r="AB1038" s="1615"/>
      <c r="AC1038" s="1615"/>
      <c r="AD1038" s="1615"/>
      <c r="AE1038" s="1615"/>
      <c r="AF1038" s="1615"/>
      <c r="AG1038" s="1615"/>
      <c r="AH1038" s="1615"/>
      <c r="AI1038" s="1615"/>
      <c r="AJ1038" s="1615"/>
      <c r="AK1038" s="1615"/>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6" customHeight="1">
      <c r="A1039" s="1694" t="s">
        <v>136</v>
      </c>
      <c r="B1039" s="1694"/>
      <c r="C1039" s="17">
        <v>5</v>
      </c>
      <c r="D1039" s="1614" t="s">
        <v>1940</v>
      </c>
      <c r="E1039" s="1615"/>
      <c r="F1039" s="1615"/>
      <c r="G1039" s="1615"/>
      <c r="H1039" s="1615"/>
      <c r="I1039" s="1615"/>
      <c r="J1039" s="1615"/>
      <c r="K1039" s="1615"/>
      <c r="L1039" s="1615"/>
      <c r="M1039" s="1615"/>
      <c r="N1039" s="1615"/>
      <c r="O1039" s="1615"/>
      <c r="P1039" s="1615"/>
      <c r="Q1039" s="1615"/>
      <c r="R1039" s="1615"/>
      <c r="S1039" s="1615"/>
      <c r="T1039" s="1615"/>
      <c r="U1039" s="1615"/>
      <c r="V1039" s="1615"/>
      <c r="W1039" s="1615"/>
      <c r="X1039" s="1615"/>
      <c r="Y1039" s="1615"/>
      <c r="Z1039" s="1615"/>
      <c r="AA1039" s="1615"/>
      <c r="AB1039" s="1615"/>
      <c r="AC1039" s="1615"/>
      <c r="AD1039" s="1615"/>
      <c r="AE1039" s="1615"/>
      <c r="AF1039" s="1615"/>
      <c r="AG1039" s="1615"/>
      <c r="AH1039" s="1615"/>
      <c r="AI1039" s="1615"/>
      <c r="AJ1039" s="1615"/>
      <c r="AK1039" s="1615"/>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6" customHeight="1">
      <c r="A1040" s="390"/>
      <c r="B1040" s="390"/>
      <c r="C1040" s="17"/>
      <c r="D1040" s="1615"/>
      <c r="E1040" s="1615"/>
      <c r="F1040" s="1615"/>
      <c r="G1040" s="1615"/>
      <c r="H1040" s="1615"/>
      <c r="I1040" s="1615"/>
      <c r="J1040" s="1615"/>
      <c r="K1040" s="1615"/>
      <c r="L1040" s="1615"/>
      <c r="M1040" s="1615"/>
      <c r="N1040" s="1615"/>
      <c r="O1040" s="1615"/>
      <c r="P1040" s="1615"/>
      <c r="Q1040" s="1615"/>
      <c r="R1040" s="1615"/>
      <c r="S1040" s="1615"/>
      <c r="T1040" s="1615"/>
      <c r="U1040" s="1615"/>
      <c r="V1040" s="1615"/>
      <c r="W1040" s="1615"/>
      <c r="X1040" s="1615"/>
      <c r="Y1040" s="1615"/>
      <c r="Z1040" s="1615"/>
      <c r="AA1040" s="1615"/>
      <c r="AB1040" s="1615"/>
      <c r="AC1040" s="1615"/>
      <c r="AD1040" s="1615"/>
      <c r="AE1040" s="1615"/>
      <c r="AF1040" s="1615"/>
      <c r="AG1040" s="1615"/>
      <c r="AH1040" s="1615"/>
      <c r="AI1040" s="1615"/>
      <c r="AJ1040" s="1615"/>
      <c r="AK1040" s="1615"/>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615"/>
      <c r="E1041" s="1615"/>
      <c r="F1041" s="1615"/>
      <c r="G1041" s="1615"/>
      <c r="H1041" s="1615"/>
      <c r="I1041" s="1615"/>
      <c r="J1041" s="1615"/>
      <c r="K1041" s="1615"/>
      <c r="L1041" s="1615"/>
      <c r="M1041" s="1615"/>
      <c r="N1041" s="1615"/>
      <c r="O1041" s="1615"/>
      <c r="P1041" s="1615"/>
      <c r="Q1041" s="1615"/>
      <c r="R1041" s="1615"/>
      <c r="S1041" s="1615"/>
      <c r="T1041" s="1615"/>
      <c r="U1041" s="1615"/>
      <c r="V1041" s="1615"/>
      <c r="W1041" s="1615"/>
      <c r="X1041" s="1615"/>
      <c r="Y1041" s="1615"/>
      <c r="Z1041" s="1615"/>
      <c r="AA1041" s="1615"/>
      <c r="AB1041" s="1615"/>
      <c r="AC1041" s="1615"/>
      <c r="AD1041" s="1615"/>
      <c r="AE1041" s="1615"/>
      <c r="AF1041" s="1615"/>
      <c r="AG1041" s="1615"/>
      <c r="AH1041" s="1615"/>
      <c r="AI1041" s="1615"/>
      <c r="AJ1041" s="1615"/>
      <c r="AK1041" s="1615"/>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615"/>
      <c r="E1042" s="1615"/>
      <c r="F1042" s="1615"/>
      <c r="G1042" s="1615"/>
      <c r="H1042" s="1615"/>
      <c r="I1042" s="1615"/>
      <c r="J1042" s="1615"/>
      <c r="K1042" s="1615"/>
      <c r="L1042" s="1615"/>
      <c r="M1042" s="1615"/>
      <c r="N1042" s="1615"/>
      <c r="O1042" s="1615"/>
      <c r="P1042" s="1615"/>
      <c r="Q1042" s="1615"/>
      <c r="R1042" s="1615"/>
      <c r="S1042" s="1615"/>
      <c r="T1042" s="1615"/>
      <c r="U1042" s="1615"/>
      <c r="V1042" s="1615"/>
      <c r="W1042" s="1615"/>
      <c r="X1042" s="1615"/>
      <c r="Y1042" s="1615"/>
      <c r="Z1042" s="1615"/>
      <c r="AA1042" s="1615"/>
      <c r="AB1042" s="1615"/>
      <c r="AC1042" s="1615"/>
      <c r="AD1042" s="1615"/>
      <c r="AE1042" s="1615"/>
      <c r="AF1042" s="1615"/>
      <c r="AG1042" s="1615"/>
      <c r="AH1042" s="1615"/>
      <c r="AI1042" s="1615"/>
      <c r="AJ1042" s="1615"/>
      <c r="AK1042" s="1615"/>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615"/>
      <c r="E1043" s="1615"/>
      <c r="F1043" s="1615"/>
      <c r="G1043" s="1615"/>
      <c r="H1043" s="1615"/>
      <c r="I1043" s="1615"/>
      <c r="J1043" s="1615"/>
      <c r="K1043" s="1615"/>
      <c r="L1043" s="1615"/>
      <c r="M1043" s="1615"/>
      <c r="N1043" s="1615"/>
      <c r="O1043" s="1615"/>
      <c r="P1043" s="1615"/>
      <c r="Q1043" s="1615"/>
      <c r="R1043" s="1615"/>
      <c r="S1043" s="1615"/>
      <c r="T1043" s="1615"/>
      <c r="U1043" s="1615"/>
      <c r="V1043" s="1615"/>
      <c r="W1043" s="1615"/>
      <c r="X1043" s="1615"/>
      <c r="Y1043" s="1615"/>
      <c r="Z1043" s="1615"/>
      <c r="AA1043" s="1615"/>
      <c r="AB1043" s="1615"/>
      <c r="AC1043" s="1615"/>
      <c r="AD1043" s="1615"/>
      <c r="AE1043" s="1615"/>
      <c r="AF1043" s="1615"/>
      <c r="AG1043" s="1615"/>
      <c r="AH1043" s="1615"/>
      <c r="AI1043" s="1615"/>
      <c r="AJ1043" s="1615"/>
      <c r="AK1043" s="1615"/>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94" t="s">
        <v>136</v>
      </c>
      <c r="B1044" s="1694"/>
      <c r="C1044" s="17">
        <v>6</v>
      </c>
      <c r="D1044" s="1615" t="s">
        <v>1707</v>
      </c>
      <c r="E1044" s="1615"/>
      <c r="F1044" s="1615"/>
      <c r="G1044" s="1615"/>
      <c r="H1044" s="1615"/>
      <c r="I1044" s="1615"/>
      <c r="J1044" s="1615"/>
      <c r="K1044" s="1615"/>
      <c r="L1044" s="1615"/>
      <c r="M1044" s="1615"/>
      <c r="N1044" s="1615"/>
      <c r="O1044" s="1615"/>
      <c r="P1044" s="1615"/>
      <c r="Q1044" s="1615"/>
      <c r="R1044" s="1615"/>
      <c r="S1044" s="1615"/>
      <c r="T1044" s="1615"/>
      <c r="U1044" s="1615"/>
      <c r="V1044" s="1615"/>
      <c r="W1044" s="1615"/>
      <c r="X1044" s="1615"/>
      <c r="Y1044" s="1615"/>
      <c r="Z1044" s="1615"/>
      <c r="AA1044" s="1615"/>
      <c r="AB1044" s="1615"/>
      <c r="AC1044" s="1615"/>
      <c r="AD1044" s="1615"/>
      <c r="AE1044" s="1615"/>
      <c r="AF1044" s="1615"/>
      <c r="AG1044" s="1615"/>
      <c r="AH1044" s="1615"/>
      <c r="AI1044" s="1615"/>
      <c r="AJ1044" s="1615"/>
      <c r="AK1044" s="1615"/>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7"/>
      <c r="C1045" s="17"/>
      <c r="D1045" s="1615"/>
      <c r="E1045" s="1615"/>
      <c r="F1045" s="1615"/>
      <c r="G1045" s="1615"/>
      <c r="H1045" s="1615"/>
      <c r="I1045" s="1615"/>
      <c r="J1045" s="1615"/>
      <c r="K1045" s="1615"/>
      <c r="L1045" s="1615"/>
      <c r="M1045" s="1615"/>
      <c r="N1045" s="1615"/>
      <c r="O1045" s="1615"/>
      <c r="P1045" s="1615"/>
      <c r="Q1045" s="1615"/>
      <c r="R1045" s="1615"/>
      <c r="S1045" s="1615"/>
      <c r="T1045" s="1615"/>
      <c r="U1045" s="1615"/>
      <c r="V1045" s="1615"/>
      <c r="W1045" s="1615"/>
      <c r="X1045" s="1615"/>
      <c r="Y1045" s="1615"/>
      <c r="Z1045" s="1615"/>
      <c r="AA1045" s="1615"/>
      <c r="AB1045" s="1615"/>
      <c r="AC1045" s="1615"/>
      <c r="AD1045" s="1615"/>
      <c r="AE1045" s="1615"/>
      <c r="AF1045" s="1615"/>
      <c r="AG1045" s="1615"/>
      <c r="AH1045" s="1615"/>
      <c r="AI1045" s="1615"/>
      <c r="AJ1045" s="1615"/>
      <c r="AK1045" s="1615"/>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615"/>
      <c r="E1046" s="1615"/>
      <c r="F1046" s="1615"/>
      <c r="G1046" s="1615"/>
      <c r="H1046" s="1615"/>
      <c r="I1046" s="1615"/>
      <c r="J1046" s="1615"/>
      <c r="K1046" s="1615"/>
      <c r="L1046" s="1615"/>
      <c r="M1046" s="1615"/>
      <c r="N1046" s="1615"/>
      <c r="O1046" s="1615"/>
      <c r="P1046" s="1615"/>
      <c r="Q1046" s="1615"/>
      <c r="R1046" s="1615"/>
      <c r="S1046" s="1615"/>
      <c r="T1046" s="1615"/>
      <c r="U1046" s="1615"/>
      <c r="V1046" s="1615"/>
      <c r="W1046" s="1615"/>
      <c r="X1046" s="1615"/>
      <c r="Y1046" s="1615"/>
      <c r="Z1046" s="1615"/>
      <c r="AA1046" s="1615"/>
      <c r="AB1046" s="1615"/>
      <c r="AC1046" s="1615"/>
      <c r="AD1046" s="1615"/>
      <c r="AE1046" s="1615"/>
      <c r="AF1046" s="1615"/>
      <c r="AG1046" s="1615"/>
      <c r="AH1046" s="1615"/>
      <c r="AI1046" s="1615"/>
      <c r="AJ1046" s="1615"/>
      <c r="AK1046" s="1615"/>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94" t="s">
        <v>136</v>
      </c>
      <c r="B1047" s="1694"/>
      <c r="C1047" s="558">
        <v>7</v>
      </c>
      <c r="D1047" s="1615" t="s">
        <v>1709</v>
      </c>
      <c r="E1047" s="1615"/>
      <c r="F1047" s="1615"/>
      <c r="G1047" s="1615"/>
      <c r="H1047" s="1615"/>
      <c r="I1047" s="1615"/>
      <c r="J1047" s="1615"/>
      <c r="K1047" s="1615"/>
      <c r="L1047" s="1615"/>
      <c r="M1047" s="1615"/>
      <c r="N1047" s="1615"/>
      <c r="O1047" s="1615"/>
      <c r="P1047" s="1615"/>
      <c r="Q1047" s="1615"/>
      <c r="R1047" s="1615"/>
      <c r="S1047" s="1615"/>
      <c r="T1047" s="1615"/>
      <c r="U1047" s="1615"/>
      <c r="V1047" s="1615"/>
      <c r="W1047" s="1615"/>
      <c r="X1047" s="1615"/>
      <c r="Y1047" s="1615"/>
      <c r="Z1047" s="1615"/>
      <c r="AA1047" s="1615"/>
      <c r="AB1047" s="1615"/>
      <c r="AC1047" s="1615"/>
      <c r="AD1047" s="1615"/>
      <c r="AE1047" s="1615"/>
      <c r="AF1047" s="1615"/>
      <c r="AG1047" s="1615"/>
      <c r="AH1047" s="1615"/>
      <c r="AI1047" s="1615"/>
      <c r="AJ1047" s="1615"/>
      <c r="AK1047" s="1615"/>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59"/>
      <c r="D1048" s="1615"/>
      <c r="E1048" s="1615"/>
      <c r="F1048" s="1615"/>
      <c r="G1048" s="1615"/>
      <c r="H1048" s="1615"/>
      <c r="I1048" s="1615"/>
      <c r="J1048" s="1615"/>
      <c r="K1048" s="1615"/>
      <c r="L1048" s="1615"/>
      <c r="M1048" s="1615"/>
      <c r="N1048" s="1615"/>
      <c r="O1048" s="1615"/>
      <c r="P1048" s="1615"/>
      <c r="Q1048" s="1615"/>
      <c r="R1048" s="1615"/>
      <c r="S1048" s="1615"/>
      <c r="T1048" s="1615"/>
      <c r="U1048" s="1615"/>
      <c r="V1048" s="1615"/>
      <c r="W1048" s="1615"/>
      <c r="X1048" s="1615"/>
      <c r="Y1048" s="1615"/>
      <c r="Z1048" s="1615"/>
      <c r="AA1048" s="1615"/>
      <c r="AB1048" s="1615"/>
      <c r="AC1048" s="1615"/>
      <c r="AD1048" s="1615"/>
      <c r="AE1048" s="1615"/>
      <c r="AF1048" s="1615"/>
      <c r="AG1048" s="1615"/>
      <c r="AH1048" s="1615"/>
      <c r="AI1048" s="1615"/>
      <c r="AJ1048" s="1615"/>
      <c r="AK1048" s="1615"/>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59"/>
      <c r="D1049" s="1615"/>
      <c r="E1049" s="1615"/>
      <c r="F1049" s="1615"/>
      <c r="G1049" s="1615"/>
      <c r="H1049" s="1615"/>
      <c r="I1049" s="1615"/>
      <c r="J1049" s="1615"/>
      <c r="K1049" s="1615"/>
      <c r="L1049" s="1615"/>
      <c r="M1049" s="1615"/>
      <c r="N1049" s="1615"/>
      <c r="O1049" s="1615"/>
      <c r="P1049" s="1615"/>
      <c r="Q1049" s="1615"/>
      <c r="R1049" s="1615"/>
      <c r="S1049" s="1615"/>
      <c r="T1049" s="1615"/>
      <c r="U1049" s="1615"/>
      <c r="V1049" s="1615"/>
      <c r="W1049" s="1615"/>
      <c r="X1049" s="1615"/>
      <c r="Y1049" s="1615"/>
      <c r="Z1049" s="1615"/>
      <c r="AA1049" s="1615"/>
      <c r="AB1049" s="1615"/>
      <c r="AC1049" s="1615"/>
      <c r="AD1049" s="1615"/>
      <c r="AE1049" s="1615"/>
      <c r="AF1049" s="1615"/>
      <c r="AG1049" s="1615"/>
      <c r="AH1049" s="1615"/>
      <c r="AI1049" s="1615"/>
      <c r="AJ1049" s="1615"/>
      <c r="AK1049" s="1615"/>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8"/>
      <c r="D1050" s="1615"/>
      <c r="E1050" s="1615"/>
      <c r="F1050" s="1615"/>
      <c r="G1050" s="1615"/>
      <c r="H1050" s="1615"/>
      <c r="I1050" s="1615"/>
      <c r="J1050" s="1615"/>
      <c r="K1050" s="1615"/>
      <c r="L1050" s="1615"/>
      <c r="M1050" s="1615"/>
      <c r="N1050" s="1615"/>
      <c r="O1050" s="1615"/>
      <c r="P1050" s="1615"/>
      <c r="Q1050" s="1615"/>
      <c r="R1050" s="1615"/>
      <c r="S1050" s="1615"/>
      <c r="T1050" s="1615"/>
      <c r="U1050" s="1615"/>
      <c r="V1050" s="1615"/>
      <c r="W1050" s="1615"/>
      <c r="X1050" s="1615"/>
      <c r="Y1050" s="1615"/>
      <c r="Z1050" s="1615"/>
      <c r="AA1050" s="1615"/>
      <c r="AB1050" s="1615"/>
      <c r="AC1050" s="1615"/>
      <c r="AD1050" s="1615"/>
      <c r="AE1050" s="1615"/>
      <c r="AF1050" s="1615"/>
      <c r="AG1050" s="1615"/>
      <c r="AH1050" s="1615"/>
      <c r="AI1050" s="1615"/>
      <c r="AJ1050" s="1615"/>
      <c r="AK1050" s="1615"/>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94" t="s">
        <v>136</v>
      </c>
      <c r="B1051" s="1694"/>
      <c r="C1051" s="558">
        <v>8</v>
      </c>
      <c r="D1051" s="1614" t="s">
        <v>2322</v>
      </c>
      <c r="E1051" s="1615"/>
      <c r="F1051" s="1615"/>
      <c r="G1051" s="1615"/>
      <c r="H1051" s="1615"/>
      <c r="I1051" s="1615"/>
      <c r="J1051" s="1615"/>
      <c r="K1051" s="1615"/>
      <c r="L1051" s="1615"/>
      <c r="M1051" s="1615"/>
      <c r="N1051" s="1615"/>
      <c r="O1051" s="1615"/>
      <c r="P1051" s="1615"/>
      <c r="Q1051" s="1615"/>
      <c r="R1051" s="1615"/>
      <c r="S1051" s="1615"/>
      <c r="T1051" s="1615"/>
      <c r="U1051" s="1615"/>
      <c r="V1051" s="1615"/>
      <c r="W1051" s="1615"/>
      <c r="X1051" s="1615"/>
      <c r="Y1051" s="1615"/>
      <c r="Z1051" s="1615"/>
      <c r="AA1051" s="1615"/>
      <c r="AB1051" s="1615"/>
      <c r="AC1051" s="1615"/>
      <c r="AD1051" s="1615"/>
      <c r="AE1051" s="1615"/>
      <c r="AF1051" s="1615"/>
      <c r="AG1051" s="1615"/>
      <c r="AH1051" s="1615"/>
      <c r="AI1051" s="1615"/>
      <c r="AJ1051" s="1615"/>
      <c r="AK1051" s="1615"/>
      <c r="AL1051" s="16"/>
      <c r="CE1051" s="1392"/>
    </row>
    <row r="1052" spans="1:97" ht="12.75" customHeight="1">
      <c r="A1052" s="1088"/>
      <c r="B1052" s="1088"/>
      <c r="C1052" s="558"/>
      <c r="D1052" s="1615"/>
      <c r="E1052" s="1615"/>
      <c r="F1052" s="1615"/>
      <c r="G1052" s="1615"/>
      <c r="H1052" s="1615"/>
      <c r="I1052" s="1615"/>
      <c r="J1052" s="1615"/>
      <c r="K1052" s="1615"/>
      <c r="L1052" s="1615"/>
      <c r="M1052" s="1615"/>
      <c r="N1052" s="1615"/>
      <c r="O1052" s="1615"/>
      <c r="P1052" s="1615"/>
      <c r="Q1052" s="1615"/>
      <c r="R1052" s="1615"/>
      <c r="S1052" s="1615"/>
      <c r="T1052" s="1615"/>
      <c r="U1052" s="1615"/>
      <c r="V1052" s="1615"/>
      <c r="W1052" s="1615"/>
      <c r="X1052" s="1615"/>
      <c r="Y1052" s="1615"/>
      <c r="Z1052" s="1615"/>
      <c r="AA1052" s="1615"/>
      <c r="AB1052" s="1615"/>
      <c r="AC1052" s="1615"/>
      <c r="AD1052" s="1615"/>
      <c r="AE1052" s="1615"/>
      <c r="AF1052" s="1615"/>
      <c r="AG1052" s="1615"/>
      <c r="AH1052" s="1615"/>
      <c r="AI1052" s="1615"/>
      <c r="AJ1052" s="1615"/>
      <c r="AK1052" s="1615"/>
    </row>
    <row r="1053" spans="1:97" ht="12.75" customHeight="1">
      <c r="A1053" s="390"/>
      <c r="B1053" s="390"/>
      <c r="C1053" s="558"/>
      <c r="D1053" s="1615"/>
      <c r="E1053" s="1615"/>
      <c r="F1053" s="1615"/>
      <c r="G1053" s="1615"/>
      <c r="H1053" s="1615"/>
      <c r="I1053" s="1615"/>
      <c r="J1053" s="1615"/>
      <c r="K1053" s="1615"/>
      <c r="L1053" s="1615"/>
      <c r="M1053" s="1615"/>
      <c r="N1053" s="1615"/>
      <c r="O1053" s="1615"/>
      <c r="P1053" s="1615"/>
      <c r="Q1053" s="1615"/>
      <c r="R1053" s="1615"/>
      <c r="S1053" s="1615"/>
      <c r="T1053" s="1615"/>
      <c r="U1053" s="1615"/>
      <c r="V1053" s="1615"/>
      <c r="W1053" s="1615"/>
      <c r="X1053" s="1615"/>
      <c r="Y1053" s="1615"/>
      <c r="Z1053" s="1615"/>
      <c r="AA1053" s="1615"/>
      <c r="AB1053" s="1615"/>
      <c r="AC1053" s="1615"/>
      <c r="AD1053" s="1615"/>
      <c r="AE1053" s="1615"/>
      <c r="AF1053" s="1615"/>
      <c r="AG1053" s="1615"/>
      <c r="AH1053" s="1615"/>
      <c r="AI1053" s="1615"/>
      <c r="AJ1053" s="1615"/>
      <c r="AK1053" s="1615"/>
    </row>
    <row r="1054" spans="1:97" ht="12.75" customHeight="1">
      <c r="A1054" s="76"/>
      <c r="B1054" s="80"/>
      <c r="C1054" s="558"/>
      <c r="D1054" s="1615"/>
      <c r="E1054" s="1615"/>
      <c r="F1054" s="1615"/>
      <c r="G1054" s="1615"/>
      <c r="H1054" s="1615"/>
      <c r="I1054" s="1615"/>
      <c r="J1054" s="1615"/>
      <c r="K1054" s="1615"/>
      <c r="L1054" s="1615"/>
      <c r="M1054" s="1615"/>
      <c r="N1054" s="1615"/>
      <c r="O1054" s="1615"/>
      <c r="P1054" s="1615"/>
      <c r="Q1054" s="1615"/>
      <c r="R1054" s="1615"/>
      <c r="S1054" s="1615"/>
      <c r="T1054" s="1615"/>
      <c r="U1054" s="1615"/>
      <c r="V1054" s="1615"/>
      <c r="W1054" s="1615"/>
      <c r="X1054" s="1615"/>
      <c r="Y1054" s="1615"/>
      <c r="Z1054" s="1615"/>
      <c r="AA1054" s="1615"/>
      <c r="AB1054" s="1615"/>
      <c r="AC1054" s="1615"/>
      <c r="AD1054" s="1615"/>
      <c r="AE1054" s="1615"/>
      <c r="AF1054" s="1615"/>
      <c r="AG1054" s="1615"/>
      <c r="AH1054" s="1615"/>
      <c r="AI1054" s="1615"/>
      <c r="AJ1054" s="1615"/>
      <c r="AK1054" s="1615"/>
    </row>
    <row r="1055" spans="1:97" ht="29.25" customHeight="1">
      <c r="A1055" s="1703" t="s">
        <v>136</v>
      </c>
      <c r="B1055" s="1703"/>
      <c r="C1055" s="558">
        <v>9</v>
      </c>
      <c r="D1055" s="1615" t="s">
        <v>1708</v>
      </c>
      <c r="E1055" s="1615"/>
      <c r="F1055" s="1615"/>
      <c r="G1055" s="1615"/>
      <c r="H1055" s="1615"/>
      <c r="I1055" s="1615"/>
      <c r="J1055" s="1615"/>
      <c r="K1055" s="1615"/>
      <c r="L1055" s="1615"/>
      <c r="M1055" s="1615"/>
      <c r="N1055" s="1615"/>
      <c r="O1055" s="1615"/>
      <c r="P1055" s="1615"/>
      <c r="Q1055" s="1615"/>
      <c r="R1055" s="1615"/>
      <c r="S1055" s="1615"/>
      <c r="T1055" s="1615"/>
      <c r="U1055" s="1615"/>
      <c r="V1055" s="1615"/>
      <c r="W1055" s="1615"/>
      <c r="X1055" s="1615"/>
      <c r="Y1055" s="1615"/>
      <c r="Z1055" s="1615"/>
      <c r="AA1055" s="1615"/>
      <c r="AB1055" s="1615"/>
      <c r="AC1055" s="1615"/>
      <c r="AD1055" s="1615"/>
      <c r="AE1055" s="1615"/>
      <c r="AF1055" s="1615"/>
      <c r="AG1055" s="1615"/>
      <c r="AH1055" s="1615"/>
      <c r="AI1055" s="1615"/>
      <c r="AJ1055" s="1615"/>
      <c r="AK1055" s="1615"/>
    </row>
    <row r="1056" spans="1:97" ht="12.75" hidden="1" customHeight="1">
      <c r="A1056" s="76"/>
      <c r="B1056" s="80"/>
      <c r="C1056" s="558"/>
      <c r="D1056" s="1615"/>
      <c r="E1056" s="1615"/>
      <c r="F1056" s="1615"/>
      <c r="G1056" s="1615"/>
      <c r="H1056" s="1615"/>
      <c r="I1056" s="1615"/>
      <c r="J1056" s="1615"/>
      <c r="K1056" s="1615"/>
      <c r="L1056" s="1615"/>
      <c r="M1056" s="1615"/>
      <c r="N1056" s="1615"/>
      <c r="O1056" s="1615"/>
      <c r="P1056" s="1615"/>
      <c r="Q1056" s="1615"/>
      <c r="R1056" s="1615"/>
      <c r="S1056" s="1615"/>
      <c r="T1056" s="1615"/>
      <c r="U1056" s="1615"/>
      <c r="V1056" s="1615"/>
      <c r="W1056" s="1615"/>
      <c r="X1056" s="1615"/>
      <c r="Y1056" s="1615"/>
      <c r="Z1056" s="1615"/>
      <c r="AA1056" s="1615"/>
      <c r="AB1056" s="1615"/>
      <c r="AC1056" s="1615"/>
      <c r="AD1056" s="1615"/>
      <c r="AE1056" s="1615"/>
      <c r="AF1056" s="1615"/>
      <c r="AG1056" s="1615"/>
      <c r="AH1056" s="1615"/>
      <c r="AI1056" s="1615"/>
      <c r="AJ1056" s="1615"/>
      <c r="AK1056" s="1615"/>
    </row>
    <row r="1057" spans="1:38" ht="12.75" hidden="1" customHeight="1">
      <c r="D1057" s="1615"/>
      <c r="E1057" s="1615"/>
      <c r="F1057" s="1615"/>
      <c r="G1057" s="1615"/>
      <c r="H1057" s="1615"/>
      <c r="I1057" s="1615"/>
      <c r="J1057" s="1615"/>
      <c r="K1057" s="1615"/>
      <c r="L1057" s="1615"/>
      <c r="M1057" s="1615"/>
      <c r="N1057" s="1615"/>
      <c r="O1057" s="1615"/>
      <c r="P1057" s="1615"/>
      <c r="Q1057" s="1615"/>
      <c r="R1057" s="1615"/>
      <c r="S1057" s="1615"/>
      <c r="T1057" s="1615"/>
      <c r="U1057" s="1615"/>
      <c r="V1057" s="1615"/>
      <c r="W1057" s="1615"/>
      <c r="X1057" s="1615"/>
      <c r="Y1057" s="1615"/>
      <c r="Z1057" s="1615"/>
      <c r="AA1057" s="1615"/>
      <c r="AB1057" s="1615"/>
      <c r="AC1057" s="1615"/>
      <c r="AD1057" s="1615"/>
      <c r="AE1057" s="1615"/>
      <c r="AF1057" s="1615"/>
      <c r="AG1057" s="1615"/>
      <c r="AH1057" s="1615"/>
      <c r="AI1057" s="1615"/>
      <c r="AJ1057" s="1615"/>
      <c r="AK1057" s="1615"/>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Gy6RXr7nJRfcy6ZfzNDQVdHawkfWMwbmsoIPQWyNR6oKrIWLmoCgB4Uzgi89yIkiZuVaCNpiR5fBdvab0zueQ==" saltValue="bIVKanOmHAH4fWYgc3FH7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9">
    <mergeCell ref="M804:P804"/>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D968:AE968"/>
    <mergeCell ref="AG968:AH968"/>
    <mergeCell ref="AJ968:AQ969"/>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D982:AE982"/>
    <mergeCell ref="AG982:AH982"/>
    <mergeCell ref="AJ982:AQ985"/>
    <mergeCell ref="D983:AE985"/>
    <mergeCell ref="AF983:AI985"/>
    <mergeCell ref="D986:AE986"/>
    <mergeCell ref="AG986:AH986"/>
    <mergeCell ref="AJ986:AQ988"/>
    <mergeCell ref="D987:AE988"/>
    <mergeCell ref="D989:AE989"/>
    <mergeCell ref="AG989:AH989"/>
    <mergeCell ref="AJ989:AQ992"/>
    <mergeCell ref="D990:AE99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E921:AK921"/>
    <mergeCell ref="F892:T893"/>
    <mergeCell ref="AB893:AE893"/>
    <mergeCell ref="AC805:AF805"/>
    <mergeCell ref="M808:P808"/>
    <mergeCell ref="AG806:AJ806"/>
    <mergeCell ref="U910:Z910"/>
    <mergeCell ref="W832:AC832"/>
    <mergeCell ref="AJ970:AQ972"/>
    <mergeCell ref="D971:AE972"/>
    <mergeCell ref="J773:N773"/>
    <mergeCell ref="O773:S773"/>
    <mergeCell ref="M805:P805"/>
    <mergeCell ref="Z786:AE786"/>
    <mergeCell ref="U804:X804"/>
    <mergeCell ref="AC804:AF804"/>
    <mergeCell ref="Y804:AB804"/>
    <mergeCell ref="W847:AC847"/>
    <mergeCell ref="W854:AC854"/>
    <mergeCell ref="W820:AC820"/>
    <mergeCell ref="W839:AC839"/>
    <mergeCell ref="AG810:AJ810"/>
    <mergeCell ref="AC863:AH863"/>
    <mergeCell ref="W850:AC850"/>
    <mergeCell ref="AC872:AH872"/>
    <mergeCell ref="W856:AC856"/>
    <mergeCell ref="T836:V836"/>
    <mergeCell ref="T838:V838"/>
    <mergeCell ref="AC868:AH868"/>
    <mergeCell ref="AC869:AH869"/>
    <mergeCell ref="AC862:AH862"/>
    <mergeCell ref="W830:AC830"/>
    <mergeCell ref="W825:AC825"/>
    <mergeCell ref="E872:AB872"/>
    <mergeCell ref="M803:P803"/>
    <mergeCell ref="C807:H807"/>
    <mergeCell ref="AC806:AF806"/>
    <mergeCell ref="D969:AE969"/>
    <mergeCell ref="D970:AE970"/>
    <mergeCell ref="AG970:AH970"/>
    <mergeCell ref="J774:N774"/>
    <mergeCell ref="O774:S774"/>
    <mergeCell ref="W824:AC824"/>
    <mergeCell ref="W833:AC833"/>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X775:AB775"/>
    <mergeCell ref="AC775:AG775"/>
    <mergeCell ref="AC776:AG776"/>
    <mergeCell ref="Z796:AE796"/>
    <mergeCell ref="Z791:AE791"/>
    <mergeCell ref="AC752:AG752"/>
    <mergeCell ref="AF733:AH733"/>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6:N726"/>
    <mergeCell ref="O726:S726"/>
    <mergeCell ref="T726:X726"/>
    <mergeCell ref="Y726:AB726"/>
    <mergeCell ref="AC726:AG726"/>
    <mergeCell ref="AH726:AL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H720:AL720"/>
    <mergeCell ref="K724:N724"/>
    <mergeCell ref="O724:S724"/>
    <mergeCell ref="T724:X724"/>
    <mergeCell ref="Y724:AB724"/>
    <mergeCell ref="AC724:AG724"/>
    <mergeCell ref="AH724:AL724"/>
    <mergeCell ref="K729:N729"/>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28:J728"/>
    <mergeCell ref="G730:J730"/>
    <mergeCell ref="G729:J729"/>
    <mergeCell ref="J754:N754"/>
    <mergeCell ref="J768:N768"/>
    <mergeCell ref="T775:W775"/>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B717:F717"/>
    <mergeCell ref="B706:F706"/>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B712:F712"/>
    <mergeCell ref="G715:J715"/>
    <mergeCell ref="K727:N727"/>
    <mergeCell ref="O727:S727"/>
    <mergeCell ref="O729:S729"/>
    <mergeCell ref="B730:F730"/>
    <mergeCell ref="B728:F728"/>
    <mergeCell ref="O762:S765"/>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Y729:AB729"/>
    <mergeCell ref="AC729:AG729"/>
    <mergeCell ref="AH729:AL729"/>
    <mergeCell ref="AM729:AO729"/>
    <mergeCell ref="AM730:AO730"/>
    <mergeCell ref="T731:X731"/>
    <mergeCell ref="AH731:AL731"/>
    <mergeCell ref="AM731:AO731"/>
    <mergeCell ref="T748:W751"/>
    <mergeCell ref="X748:AB751"/>
    <mergeCell ref="AC748:AG751"/>
    <mergeCell ref="T752:W752"/>
    <mergeCell ref="X752:AB752"/>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AA929:AG929"/>
    <mergeCell ref="L921:S921"/>
    <mergeCell ref="AJ1002:AQ1002"/>
    <mergeCell ref="D973:AE973"/>
    <mergeCell ref="AG973:AH973"/>
    <mergeCell ref="AG955:AH955"/>
    <mergeCell ref="AJ955:AQ957"/>
    <mergeCell ref="D974:AE976"/>
    <mergeCell ref="D957:AE957"/>
    <mergeCell ref="D958:AE958"/>
    <mergeCell ref="AG958:AH958"/>
    <mergeCell ref="AJ958:AQ963"/>
    <mergeCell ref="D1002:AI1002"/>
    <mergeCell ref="Q384:U384"/>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B946:AI946"/>
    <mergeCell ref="L917:S917"/>
    <mergeCell ref="U909:Z909"/>
    <mergeCell ref="AY930:AZ930"/>
    <mergeCell ref="AY924:AZ924"/>
    <mergeCell ref="AY925:AZ925"/>
    <mergeCell ref="L923:S923"/>
    <mergeCell ref="M930:S930"/>
    <mergeCell ref="AA935:AG935"/>
    <mergeCell ref="W936:AG936"/>
    <mergeCell ref="AA937:AG937"/>
    <mergeCell ref="T935:Z935"/>
    <mergeCell ref="F937:L937"/>
    <mergeCell ref="L920:S920"/>
    <mergeCell ref="AE924:AK924"/>
    <mergeCell ref="J762:N765"/>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AI325:AK325"/>
    <mergeCell ref="P333:R333"/>
    <mergeCell ref="AA318:AF318"/>
    <mergeCell ref="N365:Q365"/>
    <mergeCell ref="D461:V461"/>
    <mergeCell ref="N363:Q363"/>
    <mergeCell ref="V374:W374"/>
    <mergeCell ref="N371:P371"/>
    <mergeCell ref="AG373:AH373"/>
    <mergeCell ref="G665:R665"/>
    <mergeCell ref="AD370:AE370"/>
    <mergeCell ref="S370:T370"/>
    <mergeCell ref="AC363:AF363"/>
    <mergeCell ref="AA334:AF334"/>
    <mergeCell ref="AG372:AH372"/>
    <mergeCell ref="AA339:AK339"/>
    <mergeCell ref="H335:R335"/>
    <mergeCell ref="H338:R338"/>
    <mergeCell ref="E361:AH362"/>
    <mergeCell ref="AC364:AF364"/>
    <mergeCell ref="AC866:AH866"/>
    <mergeCell ref="M856:V856"/>
    <mergeCell ref="AC865:AH865"/>
    <mergeCell ref="B722:F722"/>
    <mergeCell ref="B727:F727"/>
    <mergeCell ref="B724:F724"/>
    <mergeCell ref="B720:F720"/>
    <mergeCell ref="B721:F721"/>
    <mergeCell ref="Y808:AB808"/>
    <mergeCell ref="Y806:AB806"/>
    <mergeCell ref="C808:H808"/>
    <mergeCell ref="J775:N775"/>
    <mergeCell ref="J776:N776"/>
    <mergeCell ref="O776:S776"/>
    <mergeCell ref="U808:X808"/>
    <mergeCell ref="O768:S768"/>
    <mergeCell ref="J769:N769"/>
    <mergeCell ref="Q809:T809"/>
    <mergeCell ref="Y779:AC779"/>
    <mergeCell ref="AC810:AF810"/>
    <mergeCell ref="W840:AC840"/>
    <mergeCell ref="W827:AC827"/>
    <mergeCell ref="W829:AC829"/>
    <mergeCell ref="W835:AC835"/>
    <mergeCell ref="W821:AC821"/>
    <mergeCell ref="B718:F718"/>
    <mergeCell ref="H317:M317"/>
    <mergeCell ref="AA306:AK306"/>
    <mergeCell ref="AA313:AK313"/>
    <mergeCell ref="H311:R311"/>
    <mergeCell ref="T280:V280"/>
    <mergeCell ref="H298:R298"/>
    <mergeCell ref="M255:T25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K717:N717"/>
    <mergeCell ref="O717:S717"/>
    <mergeCell ref="G726:J726"/>
    <mergeCell ref="G727:J727"/>
    <mergeCell ref="G725:J725"/>
    <mergeCell ref="N366:AF367"/>
    <mergeCell ref="AC378:AJ378"/>
    <mergeCell ref="V375:W375"/>
    <mergeCell ref="AI317:AK317"/>
    <mergeCell ref="AA315:AK315"/>
    <mergeCell ref="W263:X263"/>
    <mergeCell ref="M259:T259"/>
    <mergeCell ref="H300:R300"/>
    <mergeCell ref="H313:R313"/>
    <mergeCell ref="H292:R292"/>
    <mergeCell ref="M352:N352"/>
    <mergeCell ref="U801:X802"/>
    <mergeCell ref="H333:M333"/>
    <mergeCell ref="Z615:AK615"/>
    <mergeCell ref="AA338:AK338"/>
    <mergeCell ref="J360:K360"/>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23:R323"/>
    <mergeCell ref="P325:R325"/>
    <mergeCell ref="AA323:AK323"/>
    <mergeCell ref="AA302:AF302"/>
    <mergeCell ref="H326:M326"/>
    <mergeCell ref="AA332:AK332"/>
    <mergeCell ref="L276:AJ276"/>
    <mergeCell ref="V278:W278"/>
    <mergeCell ref="H307:R307"/>
    <mergeCell ref="H321:R321"/>
    <mergeCell ref="AA303:AK303"/>
    <mergeCell ref="M267:T267"/>
    <mergeCell ref="AA329:AK329"/>
    <mergeCell ref="AA325:AF325"/>
    <mergeCell ref="AF261:AK261"/>
    <mergeCell ref="H293:M293"/>
    <mergeCell ref="P317:R317"/>
    <mergeCell ref="H331:R331"/>
    <mergeCell ref="M263:T263"/>
    <mergeCell ref="D272:H272"/>
    <mergeCell ref="M266:AE266"/>
    <mergeCell ref="AA305:AK305"/>
    <mergeCell ref="AA311:AK311"/>
    <mergeCell ref="P301:R301"/>
    <mergeCell ref="AI301:AK301"/>
    <mergeCell ref="L277:AD277"/>
    <mergeCell ref="L278:S278"/>
    <mergeCell ref="AA295:AK295"/>
    <mergeCell ref="AA267:AK267"/>
    <mergeCell ref="H290:R290"/>
    <mergeCell ref="AA317:AF317"/>
    <mergeCell ref="H314:R314"/>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AP874:AS874"/>
    <mergeCell ref="W857:AC857"/>
    <mergeCell ref="AY919:AZ919"/>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M849:V849"/>
    <mergeCell ref="U897:Z897"/>
    <mergeCell ref="AN874:AO874"/>
    <mergeCell ref="AA895:AF895"/>
    <mergeCell ref="AA897:AF897"/>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C806:H806"/>
    <mergeCell ref="O767:S767"/>
    <mergeCell ref="U806:X806"/>
    <mergeCell ref="B713:F713"/>
    <mergeCell ref="O754:S754"/>
    <mergeCell ref="J755:N755"/>
    <mergeCell ref="O755:S755"/>
    <mergeCell ref="B726:F726"/>
    <mergeCell ref="G723:J723"/>
    <mergeCell ref="G724:J724"/>
    <mergeCell ref="Z692:AE692"/>
    <mergeCell ref="W557:Y559"/>
    <mergeCell ref="G731:J731"/>
    <mergeCell ref="B731:F731"/>
    <mergeCell ref="B729:F729"/>
    <mergeCell ref="J756:N756"/>
    <mergeCell ref="B725:F725"/>
    <mergeCell ref="G711:J711"/>
    <mergeCell ref="G718:J718"/>
    <mergeCell ref="J766:N766"/>
    <mergeCell ref="G721:J721"/>
    <mergeCell ref="AA693:AK693"/>
    <mergeCell ref="Y801:AB802"/>
    <mergeCell ref="Z794:AE794"/>
    <mergeCell ref="AC809:AF809"/>
    <mergeCell ref="W849:AC849"/>
    <mergeCell ref="W848:AC848"/>
    <mergeCell ref="O769:S769"/>
    <mergeCell ref="AG803:AJ803"/>
    <mergeCell ref="T770:W770"/>
    <mergeCell ref="X770:AB770"/>
    <mergeCell ref="AC770:AG770"/>
    <mergeCell ref="T771:W771"/>
    <mergeCell ref="X771:AB771"/>
    <mergeCell ref="AC771:AG771"/>
    <mergeCell ref="W846:AC846"/>
    <mergeCell ref="W843:AC843"/>
    <mergeCell ref="W831:AC831"/>
    <mergeCell ref="J827:V827"/>
    <mergeCell ref="Y810:AB810"/>
    <mergeCell ref="AC807:AF807"/>
    <mergeCell ref="Q810:T810"/>
    <mergeCell ref="Q803:T803"/>
    <mergeCell ref="G714:J714"/>
    <mergeCell ref="J748:N751"/>
    <mergeCell ref="O752:S752"/>
    <mergeCell ref="K730:N730"/>
    <mergeCell ref="O730:S730"/>
    <mergeCell ref="J758:K758"/>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U907:Z907"/>
    <mergeCell ref="AA905:AF905"/>
    <mergeCell ref="Z876:AE876"/>
    <mergeCell ref="AA894:AF894"/>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U906:Z906"/>
    <mergeCell ref="A1036:B1036"/>
    <mergeCell ref="A1044:B1044"/>
    <mergeCell ref="A1030:B1030"/>
    <mergeCell ref="D1044:AK1046"/>
    <mergeCell ref="M853:V853"/>
    <mergeCell ref="M934:S934"/>
    <mergeCell ref="T934:Z934"/>
    <mergeCell ref="M935:S935"/>
    <mergeCell ref="M931:S931"/>
    <mergeCell ref="AA907:AF907"/>
    <mergeCell ref="AA903:AF903"/>
    <mergeCell ref="AA906:AF906"/>
    <mergeCell ref="U903:Z903"/>
    <mergeCell ref="I403:AD403"/>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W255:X255"/>
    <mergeCell ref="H341:M341"/>
    <mergeCell ref="H330:R330"/>
    <mergeCell ref="H319:R319"/>
    <mergeCell ref="AB278:AD278"/>
    <mergeCell ref="AA341:AF341"/>
    <mergeCell ref="U265:W265"/>
    <mergeCell ref="AA335:AK335"/>
    <mergeCell ref="AA333:AF333"/>
    <mergeCell ref="AA321:AK321"/>
    <mergeCell ref="H327:R327"/>
    <mergeCell ref="H325:M325"/>
    <mergeCell ref="AA326:AF326"/>
    <mergeCell ref="H340:R340"/>
    <mergeCell ref="H342:M342"/>
    <mergeCell ref="AA331:AK331"/>
    <mergeCell ref="A284:AL285"/>
    <mergeCell ref="L280:Q280"/>
    <mergeCell ref="M261:AE261"/>
    <mergeCell ref="T269:X269"/>
    <mergeCell ref="AC263:AE263"/>
    <mergeCell ref="M258:AE258"/>
    <mergeCell ref="Y280:AD280"/>
    <mergeCell ref="M265:R265"/>
    <mergeCell ref="Y358:Z358"/>
    <mergeCell ref="AI333:AK333"/>
    <mergeCell ref="AI341:AK341"/>
    <mergeCell ref="AA342:AF342"/>
    <mergeCell ref="AJ350:AK350"/>
    <mergeCell ref="N357:O357"/>
    <mergeCell ref="H343:R343"/>
    <mergeCell ref="H305:R305"/>
    <mergeCell ref="T197:U197"/>
    <mergeCell ref="AA292:AK292"/>
    <mergeCell ref="AA297:AK297"/>
    <mergeCell ref="AA301:AF301"/>
    <mergeCell ref="AA307:AK307"/>
    <mergeCell ref="AA300:AK300"/>
    <mergeCell ref="H297:R297"/>
    <mergeCell ref="H294:M294"/>
    <mergeCell ref="H302:M302"/>
    <mergeCell ref="H332:R332"/>
    <mergeCell ref="AA316:AK316"/>
    <mergeCell ref="H306:R306"/>
    <mergeCell ref="AA309:AF309"/>
    <mergeCell ref="AA294:AF294"/>
    <mergeCell ref="AA310:AF310"/>
    <mergeCell ref="Z239:AE239"/>
  </mergeCells>
  <phoneticPr fontId="0" type="noConversion"/>
  <conditionalFormatting sqref="AF990">
    <cfRule type="cellIs" dxfId="140" priority="2" stopIfTrue="1" operator="equal">
      <formula>"Please Enter Amount:"</formula>
    </cfRule>
  </conditionalFormatting>
  <conditionalFormatting sqref="B1013 B1011">
    <cfRule type="cellIs" dxfId="139" priority="7" stopIfTrue="1" operator="equal">
      <formula>#N/A</formula>
    </cfRule>
  </conditionalFormatting>
  <conditionalFormatting sqref="AG434:AJ434">
    <cfRule type="expression" dxfId="138" priority="9" stopIfTrue="1">
      <formula>"iserror(d31)"</formula>
    </cfRule>
  </conditionalFormatting>
  <conditionalFormatting sqref="AF978">
    <cfRule type="cellIs" dxfId="137" priority="3" stopIfTrue="1" operator="equal">
      <formula>"Please Enter Amount:"</formula>
    </cfRule>
  </conditionalFormatting>
  <conditionalFormatting sqref="AF983">
    <cfRule type="cellIs" dxfId="136"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formula1>"Yes, No"</formula1>
    </dataValidation>
    <dataValidation type="list" allowBlank="1" showInputMessage="1" showErrorMessage="1" sqref="Q496 AG968 AG977 AG986 AG955 AG958 AG993 AG964 AG970 AG973 AG982 AG989 AG998">
      <formula1>"Yes,No"</formula1>
    </dataValidation>
    <dataValidation type="list" allowBlank="1" showInputMessage="1" showErrorMessage="1" sqref="J981">
      <formula1>"N/A,Seismic Upgrading, Environmental Mitigation"</formula1>
    </dataValidation>
    <dataValidation type="decimal" allowBlank="1" showInputMessage="1" showErrorMessage="1" error="example: enter 30 for 30%, hit cancel and try again._x000a_" sqref="AH706:AH730 AI708:AL730">
      <formula1>0</formula1>
      <formula2>1</formula2>
    </dataValidation>
    <dataValidation type="list" showInputMessage="1" showErrorMessage="1" sqref="J758:K758">
      <formula1>"No,Yes"</formula1>
    </dataValidation>
    <dataValidation type="list" showInputMessage="1" showErrorMessage="1" sqref="Z274:AD274">
      <formula1>"Nonprofit, For-Profit, N/A"</formula1>
    </dataValidation>
    <dataValidation type="list" showInputMessage="1" showErrorMessage="1" sqref="AC508:AF515 AC520:AF548">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O33:P33 AE423:AF423 J360:K360 Y358:Z358 N357:O357 AJ351:AK351 AJ349:AK349">
      <formula1>"N/A, Yes, No"</formula1>
    </dataValidation>
    <dataValidation type="list" allowBlank="1" showInputMessage="1" showErrorMessage="1" sqref="U894:U912">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19:BB819">
      <formula1>$BA$597:$BA$598</formula1>
    </dataValidation>
    <dataValidation type="list" allowBlank="1" showInputMessage="1" showErrorMessage="1" sqref="M259:T259 M251:T251">
      <formula1>"(select one),Nonprofit, For Profit"</formula1>
    </dataValidation>
    <dataValidation type="list" allowBlank="1" showInputMessage="1" showErrorMessage="1" sqref="P908:T908 S394:U394">
      <formula1>"No,Yes"</formula1>
    </dataValidation>
    <dataValidation type="list" showInputMessage="1" showErrorMessage="1" sqref="M267:T267">
      <formula1>"(select one),Nonprofit, For Profit"</formula1>
    </dataValidation>
    <dataValidation type="list" allowBlank="1" showInputMessage="1" showErrorMessage="1" sqref="M934:S934">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31:S931">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AF733:AH733">
      <formula1>"N/A,Yes,No"</formula1>
    </dataValidation>
    <dataValidation type="whole" operator="greaterThanOrEqual" allowBlank="1" showInputMessage="1" showErrorMessage="1" sqref="Z791:AE791 AG387:AJ387">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16:AF516">
      <formula1>"(select),Yes,No"</formula1>
    </dataValidation>
    <dataValidation type="list" allowBlank="1" showInputMessage="1" showErrorMessage="1" sqref="Z560:AD571">
      <formula1>"(select),Fixed,Variable,N/A"</formula1>
    </dataValidation>
    <dataValidation type="list" allowBlank="1" showInputMessage="1" showErrorMessage="1" sqref="X632:AB643">
      <formula1>$BA$632:$BA$636</formula1>
    </dataValidation>
    <dataValidation type="list" allowBlank="1" showInputMessage="1" showErrorMessage="1" sqref="J752:N755 J766:N775 B706:F730">
      <formula1>$AZ$602:$AZ$607</formula1>
    </dataValidation>
    <dataValidation type="list" showInputMessage="1" showErrorMessage="1" sqref="U174:V174">
      <formula1>$BJ$160:$BJ$162</formula1>
    </dataValidation>
    <dataValidation type="list" allowBlank="1" showInputMessage="1" showErrorMessage="1" sqref="E217:Z217">
      <formula1>$BH$189:$BH$193</formula1>
    </dataValidation>
    <dataValidation type="list" showInputMessage="1" showErrorMessage="1" sqref="D214:Z214">
      <formula1>$BC$189:$BC$194</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showInputMessage="1" showErrorMessage="1" promptTitle="TCAC/HCD Opportunity Map Zone" sqref="R199">
      <formula1>$AX$206:$AX$213</formula1>
    </dataValidation>
    <dataValidation type="list" allowBlank="1" showInputMessage="1" showErrorMessage="1" sqref="D211:P211">
      <formula1>$AX$194:$AX$204</formula1>
    </dataValidation>
    <dataValidation type="list" showInputMessage="1" showErrorMessage="1" sqref="D223:AI223">
      <formula1>$BC$197:$BC$209</formula1>
    </dataValidation>
    <dataValidation type="list" allowBlank="1" showInputMessage="1" showErrorMessage="1" sqref="T189:AE189">
      <formula1>$BT$156:$BT$214</formula1>
    </dataValidation>
  </dataValidations>
  <hyperlinks>
    <hyperlink ref="U229" r:id="rId2"/>
    <hyperlink ref="D167" r:id="rId3" display="http://www.treasurer.ca.gov/ctcac/2019/lra/contact.pdf"/>
    <hyperlink ref="D167:Y167" r:id="rId4" display="https://www.treasurer.ca.gov/ctcac/2018/lra/contact.pdf"/>
    <hyperlink ref="G201" r:id="rId5"/>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7"/>
  <sheetViews>
    <sheetView showGridLines="0" showZeros="0" zoomScaleNormal="100" zoomScaleSheetLayoutView="100" workbookViewId="0">
      <pane xSplit="2" ySplit="3" topLeftCell="C49" activePane="bottomRight" state="frozen"/>
      <selection pane="topRight" activeCell="C1" sqref="C1"/>
      <selection pane="bottomLeft" activeCell="A4" sqref="A4"/>
      <selection pane="bottomRight" activeCell="C5" sqref="C5"/>
    </sheetView>
  </sheetViews>
  <sheetFormatPr defaultColWidth="8.85546875" defaultRowHeight="12" zeroHeight="1"/>
  <cols>
    <col min="1" max="1" width="32.42578125" style="765" customWidth="1"/>
    <col min="2" max="12" width="12.140625" style="763" customWidth="1"/>
    <col min="13" max="17" width="11.42578125" style="763" customWidth="1"/>
    <col min="18" max="18" width="12.42578125" style="763" customWidth="1"/>
    <col min="19" max="20" width="12.140625" style="763" customWidth="1"/>
    <col min="21" max="21" width="0.42578125" style="764" customWidth="1"/>
    <col min="22" max="16384" width="8.85546875" style="763"/>
  </cols>
  <sheetData>
    <row r="1" spans="1:21" s="312" customFormat="1" ht="13.5">
      <c r="A1" s="399" t="s">
        <v>146</v>
      </c>
      <c r="B1" s="352"/>
      <c r="C1" s="352"/>
      <c r="D1" s="352"/>
      <c r="E1" s="353"/>
      <c r="F1" s="2239" t="s">
        <v>201</v>
      </c>
      <c r="G1" s="2240"/>
      <c r="H1" s="2240"/>
      <c r="I1" s="2240"/>
      <c r="J1" s="2240"/>
      <c r="K1" s="2240"/>
      <c r="L1" s="2240"/>
      <c r="M1" s="2240"/>
      <c r="N1" s="2240"/>
      <c r="O1" s="2240"/>
      <c r="P1" s="2240"/>
      <c r="Q1" s="2240"/>
      <c r="R1" s="2241"/>
      <c r="S1" s="314"/>
      <c r="T1" s="313"/>
      <c r="U1" s="315"/>
    </row>
    <row r="2" spans="1:21" s="362" customFormat="1" ht="60" customHeight="1">
      <c r="A2" s="361"/>
      <c r="B2" s="362" t="s">
        <v>876</v>
      </c>
      <c r="C2" s="362" t="s">
        <v>565</v>
      </c>
      <c r="D2" s="432" t="s">
        <v>564</v>
      </c>
      <c r="E2" s="362" t="s">
        <v>877</v>
      </c>
      <c r="F2" s="363" t="str">
        <f>Application!B632&amp;Application!C632</f>
        <v>1)Housing Relinquished Fund Corp</v>
      </c>
      <c r="G2" s="363" t="str">
        <f>Application!B633&amp;Application!C633</f>
        <v>2)City of Fresno Loan</v>
      </c>
      <c r="H2" s="363" t="str">
        <f>Application!B634&amp;Application!C634</f>
        <v>3)Accrued/Deferred Interest</v>
      </c>
      <c r="I2" s="363" t="str">
        <f>Application!B635&amp;Application!C635</f>
        <v>4)NPLH Capital</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598</v>
      </c>
      <c r="S2" s="362" t="s">
        <v>301</v>
      </c>
      <c r="T2" s="362" t="s">
        <v>878</v>
      </c>
      <c r="U2" s="364"/>
    </row>
    <row r="3" spans="1:21" s="368" customFormat="1">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5">
      <c r="A4" s="480" t="s">
        <v>74</v>
      </c>
      <c r="B4" s="370">
        <f>SUM(C4+D4)</f>
        <v>1755789</v>
      </c>
      <c r="C4" s="371">
        <v>1755789</v>
      </c>
      <c r="D4" s="371"/>
      <c r="E4" s="371">
        <f>C4</f>
        <v>1755789</v>
      </c>
      <c r="F4" s="371"/>
      <c r="G4" s="371"/>
      <c r="H4" s="371"/>
      <c r="I4" s="371"/>
      <c r="J4" s="371"/>
      <c r="K4" s="371"/>
      <c r="L4" s="371"/>
      <c r="M4" s="371"/>
      <c r="N4" s="371"/>
      <c r="O4" s="371"/>
      <c r="P4" s="371"/>
      <c r="Q4" s="371"/>
      <c r="R4" s="371">
        <f>C4</f>
        <v>1755789</v>
      </c>
      <c r="S4" s="372"/>
      <c r="T4" s="372"/>
      <c r="U4" s="367"/>
    </row>
    <row r="5" spans="1:21" s="368" customFormat="1" ht="13.5">
      <c r="A5" s="480" t="s">
        <v>75</v>
      </c>
      <c r="B5" s="370">
        <f>SUM(C5+D5)</f>
        <v>50000</v>
      </c>
      <c r="C5" s="371">
        <v>50000</v>
      </c>
      <c r="D5" s="371"/>
      <c r="E5" s="371">
        <f>C5</f>
        <v>50000</v>
      </c>
      <c r="F5" s="371"/>
      <c r="G5" s="371"/>
      <c r="H5" s="371"/>
      <c r="I5" s="371"/>
      <c r="J5" s="371"/>
      <c r="K5" s="371"/>
      <c r="L5" s="371"/>
      <c r="M5" s="371"/>
      <c r="N5" s="371"/>
      <c r="O5" s="371"/>
      <c r="P5" s="371"/>
      <c r="Q5" s="371"/>
      <c r="R5" s="371">
        <f>SUM(E5:Q5)</f>
        <v>50000</v>
      </c>
      <c r="S5" s="372"/>
      <c r="T5" s="372"/>
      <c r="U5" s="367"/>
    </row>
    <row r="6" spans="1:21" s="368" customFormat="1">
      <c r="A6" s="369" t="s">
        <v>382</v>
      </c>
      <c r="B6" s="370">
        <f>SUM(C6+D6)</f>
        <v>10000</v>
      </c>
      <c r="C6" s="371">
        <v>10000</v>
      </c>
      <c r="D6" s="371"/>
      <c r="E6" s="371">
        <f>C6</f>
        <v>10000</v>
      </c>
      <c r="F6" s="371"/>
      <c r="G6" s="371"/>
      <c r="H6" s="371"/>
      <c r="I6" s="371"/>
      <c r="J6" s="371"/>
      <c r="K6" s="371"/>
      <c r="L6" s="371"/>
      <c r="M6" s="371"/>
      <c r="N6" s="371"/>
      <c r="O6" s="371"/>
      <c r="P6" s="371"/>
      <c r="Q6" s="371"/>
      <c r="R6" s="371">
        <f>SUM(E6:Q6)</f>
        <v>10000</v>
      </c>
      <c r="S6" s="372"/>
      <c r="T6" s="372"/>
      <c r="U6" s="367"/>
    </row>
    <row r="7" spans="1:21" s="368" customFormat="1">
      <c r="A7" s="369" t="s">
        <v>310</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81" t="s">
        <v>770</v>
      </c>
      <c r="B8" s="370">
        <f>SUM(C8:D8)</f>
        <v>1815789</v>
      </c>
      <c r="C8" s="370">
        <f t="shared" ref="C8:R8" si="0">SUM(C4:C7)</f>
        <v>1815789</v>
      </c>
      <c r="D8" s="370">
        <f t="shared" si="0"/>
        <v>0</v>
      </c>
      <c r="E8" s="370">
        <f t="shared" si="0"/>
        <v>1815789</v>
      </c>
      <c r="F8" s="370">
        <f t="shared" si="0"/>
        <v>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1815789</v>
      </c>
      <c r="S8" s="372"/>
      <c r="T8" s="372"/>
      <c r="U8" s="367"/>
    </row>
    <row r="9" spans="1:21" s="368" customFormat="1">
      <c r="A9" s="369" t="s">
        <v>1939</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3.5">
      <c r="A10" s="480" t="s">
        <v>76</v>
      </c>
      <c r="B10" s="370">
        <f>SUM(C10+D10)</f>
        <v>490000</v>
      </c>
      <c r="C10" s="371">
        <v>490000</v>
      </c>
      <c r="D10" s="371"/>
      <c r="E10" s="371">
        <f>C10</f>
        <v>490000</v>
      </c>
      <c r="F10" s="371"/>
      <c r="G10" s="371"/>
      <c r="H10" s="371"/>
      <c r="I10" s="371"/>
      <c r="J10" s="371"/>
      <c r="K10" s="371"/>
      <c r="L10" s="371"/>
      <c r="M10" s="371"/>
      <c r="N10" s="371"/>
      <c r="O10" s="371"/>
      <c r="P10" s="371"/>
      <c r="Q10" s="371"/>
      <c r="R10" s="371">
        <f>SUM(E10:Q10)</f>
        <v>490000</v>
      </c>
      <c r="S10" s="371">
        <f>R10</f>
        <v>490000</v>
      </c>
      <c r="T10" s="371"/>
      <c r="U10" s="367"/>
    </row>
    <row r="11" spans="1:21" s="368" customFormat="1">
      <c r="A11" s="373" t="s">
        <v>646</v>
      </c>
      <c r="B11" s="370">
        <f>SUM(C11:D11)</f>
        <v>490000</v>
      </c>
      <c r="C11" s="370">
        <f t="shared" ref="C11:T11" si="1">SUM(C9:C10)</f>
        <v>490000</v>
      </c>
      <c r="D11" s="370">
        <f t="shared" si="1"/>
        <v>0</v>
      </c>
      <c r="E11" s="370">
        <f t="shared" si="1"/>
        <v>490000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490000</v>
      </c>
      <c r="S11" s="372"/>
      <c r="T11" s="370">
        <f t="shared" si="1"/>
        <v>0</v>
      </c>
      <c r="U11" s="367"/>
    </row>
    <row r="12" spans="1:21" s="368" customFormat="1">
      <c r="A12" s="373" t="s">
        <v>778</v>
      </c>
      <c r="B12" s="370">
        <f t="shared" ref="B12:R12" si="2">SUM(B8+B11)</f>
        <v>2305789</v>
      </c>
      <c r="C12" s="370">
        <f t="shared" si="2"/>
        <v>2305789</v>
      </c>
      <c r="D12" s="370">
        <f t="shared" si="2"/>
        <v>0</v>
      </c>
      <c r="E12" s="370">
        <f t="shared" si="2"/>
        <v>2305789</v>
      </c>
      <c r="F12" s="370">
        <f t="shared" si="2"/>
        <v>0</v>
      </c>
      <c r="G12" s="370">
        <f t="shared" si="2"/>
        <v>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2305789</v>
      </c>
      <c r="S12" s="372"/>
      <c r="T12" s="372"/>
      <c r="U12" s="367"/>
    </row>
    <row r="13" spans="1:21" s="368" customFormat="1">
      <c r="A13" s="720" t="s">
        <v>1229</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4">
      <c r="A14" s="721" t="s">
        <v>1264</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1" t="s">
        <v>1895</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1013</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1014</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1015</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1016</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1017</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1018</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1019</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1020</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2240</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592</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248</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1021</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c r="A28" s="365" t="s">
        <v>1022</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1014</v>
      </c>
      <c r="B29" s="370">
        <f t="shared" ref="B29:B38" si="6">SUM(C29+D29)</f>
        <v>849057</v>
      </c>
      <c r="C29" s="371">
        <v>849057</v>
      </c>
      <c r="D29" s="371"/>
      <c r="E29" s="371">
        <f>C29</f>
        <v>849057</v>
      </c>
      <c r="F29" s="371"/>
      <c r="G29" s="371"/>
      <c r="H29" s="371"/>
      <c r="I29" s="371"/>
      <c r="J29" s="371"/>
      <c r="K29" s="371"/>
      <c r="L29" s="371"/>
      <c r="M29" s="371"/>
      <c r="N29" s="371"/>
      <c r="O29" s="371"/>
      <c r="P29" s="371"/>
      <c r="Q29" s="371"/>
      <c r="R29" s="371">
        <f t="shared" ref="R29:R37" si="7">SUM(E29:Q29)</f>
        <v>849057</v>
      </c>
      <c r="S29" s="371">
        <f>R29</f>
        <v>849057</v>
      </c>
      <c r="T29" s="371"/>
      <c r="U29" s="367"/>
    </row>
    <row r="30" spans="1:21" s="368" customFormat="1">
      <c r="A30" s="369" t="s">
        <v>1015</v>
      </c>
      <c r="B30" s="370">
        <f t="shared" si="6"/>
        <v>13819851</v>
      </c>
      <c r="C30" s="371">
        <f>13869851-50000</f>
        <v>13819851</v>
      </c>
      <c r="D30" s="371"/>
      <c r="E30" s="371">
        <f>C30-SUM(F30:I30)</f>
        <v>8019851</v>
      </c>
      <c r="F30" s="371">
        <f>F107</f>
        <v>1800000</v>
      </c>
      <c r="G30" s="371">
        <f>G107</f>
        <v>2700000</v>
      </c>
      <c r="H30" s="371"/>
      <c r="I30" s="371">
        <f>I107</f>
        <v>1300000</v>
      </c>
      <c r="J30" s="371"/>
      <c r="K30" s="371"/>
      <c r="L30" s="371"/>
      <c r="M30" s="371"/>
      <c r="N30" s="371"/>
      <c r="O30" s="371"/>
      <c r="P30" s="371"/>
      <c r="Q30" s="371"/>
      <c r="R30" s="371">
        <f t="shared" si="7"/>
        <v>13819851</v>
      </c>
      <c r="S30" s="371">
        <f>R30</f>
        <v>13819851</v>
      </c>
      <c r="T30" s="371"/>
      <c r="U30" s="367"/>
    </row>
    <row r="31" spans="1:21" s="368" customFormat="1">
      <c r="A31" s="369" t="s">
        <v>1016</v>
      </c>
      <c r="B31" s="370">
        <f t="shared" si="6"/>
        <v>270566</v>
      </c>
      <c r="C31" s="371">
        <v>270566</v>
      </c>
      <c r="D31" s="371"/>
      <c r="E31" s="371">
        <f>C31</f>
        <v>270566</v>
      </c>
      <c r="F31" s="371"/>
      <c r="G31" s="371"/>
      <c r="H31" s="371"/>
      <c r="I31" s="371"/>
      <c r="J31" s="371"/>
      <c r="K31" s="371"/>
      <c r="L31" s="371"/>
      <c r="M31" s="371"/>
      <c r="N31" s="371"/>
      <c r="O31" s="371"/>
      <c r="P31" s="371"/>
      <c r="Q31" s="371"/>
      <c r="R31" s="371">
        <f t="shared" si="7"/>
        <v>270566</v>
      </c>
      <c r="S31" s="371">
        <f>R31</f>
        <v>270566</v>
      </c>
      <c r="T31" s="371"/>
      <c r="U31" s="367"/>
    </row>
    <row r="32" spans="1:21" s="368" customFormat="1">
      <c r="A32" s="369" t="s">
        <v>1017</v>
      </c>
      <c r="B32" s="370">
        <f t="shared" si="6"/>
        <v>811698</v>
      </c>
      <c r="C32" s="371">
        <f>1623396/2</f>
        <v>811698</v>
      </c>
      <c r="D32" s="371"/>
      <c r="E32" s="371">
        <f>C32</f>
        <v>811698</v>
      </c>
      <c r="F32" s="371"/>
      <c r="G32" s="371"/>
      <c r="H32" s="371"/>
      <c r="I32" s="371"/>
      <c r="J32" s="371"/>
      <c r="K32" s="371"/>
      <c r="L32" s="371"/>
      <c r="M32" s="371"/>
      <c r="N32" s="371"/>
      <c r="O32" s="371"/>
      <c r="P32" s="371"/>
      <c r="Q32" s="371"/>
      <c r="R32" s="371">
        <f t="shared" si="7"/>
        <v>811698</v>
      </c>
      <c r="S32" s="371">
        <f>R32</f>
        <v>811698</v>
      </c>
      <c r="T32" s="371"/>
      <c r="U32" s="367"/>
    </row>
    <row r="33" spans="1:21" s="368" customFormat="1">
      <c r="A33" s="369" t="s">
        <v>1018</v>
      </c>
      <c r="B33" s="370">
        <f t="shared" si="6"/>
        <v>811698</v>
      </c>
      <c r="C33" s="371">
        <f>C32</f>
        <v>811698</v>
      </c>
      <c r="D33" s="371"/>
      <c r="E33" s="371">
        <f>C33</f>
        <v>811698</v>
      </c>
      <c r="F33" s="371"/>
      <c r="G33" s="371"/>
      <c r="H33" s="371"/>
      <c r="I33" s="371"/>
      <c r="J33" s="371"/>
      <c r="K33" s="371"/>
      <c r="L33" s="371"/>
      <c r="M33" s="371"/>
      <c r="N33" s="371"/>
      <c r="O33" s="371"/>
      <c r="P33" s="371"/>
      <c r="Q33" s="371"/>
      <c r="R33" s="371">
        <f t="shared" si="7"/>
        <v>811698</v>
      </c>
      <c r="S33" s="371">
        <f>R33</f>
        <v>811698</v>
      </c>
      <c r="T33" s="371"/>
      <c r="U33" s="367"/>
    </row>
    <row r="34" spans="1:21" s="368" customFormat="1">
      <c r="A34" s="369" t="s">
        <v>1019</v>
      </c>
      <c r="B34" s="370">
        <f t="shared" si="6"/>
        <v>0</v>
      </c>
      <c r="C34" s="371"/>
      <c r="D34" s="371"/>
      <c r="E34" s="371"/>
      <c r="F34" s="371"/>
      <c r="G34" s="371"/>
      <c r="H34" s="371"/>
      <c r="I34" s="371"/>
      <c r="J34" s="371"/>
      <c r="K34" s="371"/>
      <c r="L34" s="371"/>
      <c r="M34" s="371"/>
      <c r="N34" s="371"/>
      <c r="O34" s="371"/>
      <c r="P34" s="371"/>
      <c r="Q34" s="371"/>
      <c r="R34" s="371">
        <f t="shared" si="7"/>
        <v>0</v>
      </c>
      <c r="S34" s="371"/>
      <c r="T34" s="371"/>
      <c r="U34" s="367"/>
    </row>
    <row r="35" spans="1:21" s="368" customFormat="1">
      <c r="A35" s="369" t="s">
        <v>1020</v>
      </c>
      <c r="B35" s="370">
        <f t="shared" si="6"/>
        <v>113207</v>
      </c>
      <c r="C35" s="371">
        <v>113207</v>
      </c>
      <c r="D35" s="371"/>
      <c r="E35" s="371">
        <f>C35</f>
        <v>113207</v>
      </c>
      <c r="F35" s="371"/>
      <c r="G35" s="371"/>
      <c r="H35" s="371"/>
      <c r="I35" s="371"/>
      <c r="J35" s="371"/>
      <c r="K35" s="371"/>
      <c r="L35" s="371"/>
      <c r="M35" s="371"/>
      <c r="N35" s="371"/>
      <c r="O35" s="371"/>
      <c r="P35" s="371"/>
      <c r="Q35" s="371"/>
      <c r="R35" s="371">
        <f t="shared" si="7"/>
        <v>113207</v>
      </c>
      <c r="S35" s="371">
        <f>R35</f>
        <v>113207</v>
      </c>
      <c r="T35" s="371"/>
      <c r="U35" s="367"/>
    </row>
    <row r="36" spans="1:21" s="368" customFormat="1">
      <c r="A36" s="380" t="s">
        <v>2240</v>
      </c>
      <c r="B36" s="370">
        <f t="shared" si="6"/>
        <v>0</v>
      </c>
      <c r="C36" s="371"/>
      <c r="D36" s="371"/>
      <c r="E36" s="371"/>
      <c r="F36" s="371"/>
      <c r="G36" s="371"/>
      <c r="H36" s="371"/>
      <c r="I36" s="371"/>
      <c r="J36" s="371"/>
      <c r="K36" s="371"/>
      <c r="L36" s="371"/>
      <c r="M36" s="371"/>
      <c r="N36" s="371"/>
      <c r="O36" s="371"/>
      <c r="P36" s="371"/>
      <c r="Q36" s="371"/>
      <c r="R36" s="371">
        <f t="shared" si="7"/>
        <v>0</v>
      </c>
      <c r="S36" s="371"/>
      <c r="T36" s="371"/>
      <c r="U36" s="367"/>
    </row>
    <row r="37" spans="1:21" s="368" customFormat="1">
      <c r="A37" s="376" t="s">
        <v>2487</v>
      </c>
      <c r="B37" s="370">
        <f t="shared" si="6"/>
        <v>202925</v>
      </c>
      <c r="C37" s="371">
        <v>202925</v>
      </c>
      <c r="D37" s="371"/>
      <c r="E37" s="371">
        <f>C37</f>
        <v>202925</v>
      </c>
      <c r="F37" s="371"/>
      <c r="G37" s="371"/>
      <c r="H37" s="371"/>
      <c r="I37" s="371"/>
      <c r="J37" s="371"/>
      <c r="K37" s="371"/>
      <c r="L37" s="371"/>
      <c r="M37" s="371"/>
      <c r="N37" s="371"/>
      <c r="O37" s="371"/>
      <c r="P37" s="371"/>
      <c r="Q37" s="371"/>
      <c r="R37" s="371">
        <f t="shared" si="7"/>
        <v>202925</v>
      </c>
      <c r="S37" s="371">
        <f>R37</f>
        <v>202925</v>
      </c>
      <c r="T37" s="371"/>
      <c r="U37" s="367"/>
    </row>
    <row r="38" spans="1:21" s="368" customFormat="1">
      <c r="A38" s="373" t="s">
        <v>1023</v>
      </c>
      <c r="B38" s="370">
        <f t="shared" si="6"/>
        <v>16879002</v>
      </c>
      <c r="C38" s="370">
        <f>SUM(C29:C37)</f>
        <v>16879002</v>
      </c>
      <c r="D38" s="370">
        <f>SUM(D29:D37)</f>
        <v>0</v>
      </c>
      <c r="E38" s="370">
        <f>SUM(E29:E37)</f>
        <v>11079002</v>
      </c>
      <c r="F38" s="370">
        <f t="shared" ref="F38:T38" si="8">SUM(F29:F37)</f>
        <v>1800000</v>
      </c>
      <c r="G38" s="370">
        <f t="shared" si="8"/>
        <v>2700000</v>
      </c>
      <c r="H38" s="370">
        <f t="shared" si="8"/>
        <v>0</v>
      </c>
      <c r="I38" s="370">
        <f t="shared" si="8"/>
        <v>1300000</v>
      </c>
      <c r="J38" s="370">
        <f t="shared" si="8"/>
        <v>0</v>
      </c>
      <c r="K38" s="370">
        <f t="shared" si="8"/>
        <v>0</v>
      </c>
      <c r="L38" s="370">
        <f t="shared" si="8"/>
        <v>0</v>
      </c>
      <c r="M38" s="370">
        <f t="shared" si="8"/>
        <v>0</v>
      </c>
      <c r="N38" s="370">
        <f t="shared" si="8"/>
        <v>0</v>
      </c>
      <c r="O38" s="370">
        <f t="shared" si="8"/>
        <v>0</v>
      </c>
      <c r="P38" s="370">
        <f t="shared" si="8"/>
        <v>0</v>
      </c>
      <c r="Q38" s="370">
        <f t="shared" si="8"/>
        <v>0</v>
      </c>
      <c r="R38" s="370">
        <f t="shared" si="8"/>
        <v>16879002</v>
      </c>
      <c r="S38" s="374">
        <f t="shared" si="8"/>
        <v>16879002</v>
      </c>
      <c r="T38" s="374">
        <f t="shared" si="8"/>
        <v>0</v>
      </c>
      <c r="U38" s="367"/>
    </row>
    <row r="39" spans="1:21" s="368" customFormat="1">
      <c r="A39" s="365" t="s">
        <v>1024</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1025</v>
      </c>
      <c r="B40" s="370">
        <f>SUM(C40+D40)</f>
        <v>427358</v>
      </c>
      <c r="C40" s="371">
        <v>427358</v>
      </c>
      <c r="D40" s="371"/>
      <c r="E40" s="371">
        <f>C40</f>
        <v>427358</v>
      </c>
      <c r="F40" s="371"/>
      <c r="G40" s="371"/>
      <c r="H40" s="371"/>
      <c r="I40" s="371"/>
      <c r="J40" s="371"/>
      <c r="K40" s="371"/>
      <c r="L40" s="371"/>
      <c r="M40" s="371"/>
      <c r="N40" s="371"/>
      <c r="O40" s="371"/>
      <c r="P40" s="371"/>
      <c r="Q40" s="371"/>
      <c r="R40" s="371">
        <f>SUM(E40:Q40)</f>
        <v>427358</v>
      </c>
      <c r="S40" s="371">
        <f>R40</f>
        <v>427358</v>
      </c>
      <c r="T40" s="371"/>
      <c r="U40" s="367"/>
    </row>
    <row r="41" spans="1:21" s="368" customFormat="1">
      <c r="A41" s="369" t="s">
        <v>1026</v>
      </c>
      <c r="B41" s="370">
        <f>SUM(C41+D41)</f>
        <v>0</v>
      </c>
      <c r="C41" s="371"/>
      <c r="D41" s="371"/>
      <c r="E41" s="371"/>
      <c r="F41" s="371"/>
      <c r="G41" s="371"/>
      <c r="H41" s="371"/>
      <c r="I41" s="371"/>
      <c r="J41" s="371"/>
      <c r="K41" s="371"/>
      <c r="L41" s="371"/>
      <c r="M41" s="371"/>
      <c r="N41" s="371"/>
      <c r="O41" s="371"/>
      <c r="P41" s="371"/>
      <c r="Q41" s="371"/>
      <c r="R41" s="371">
        <f>SUM(E41:Q41)</f>
        <v>0</v>
      </c>
      <c r="S41" s="371"/>
      <c r="T41" s="371"/>
      <c r="U41" s="367"/>
    </row>
    <row r="42" spans="1:21" s="368" customFormat="1">
      <c r="A42" s="373" t="s">
        <v>1027</v>
      </c>
      <c r="B42" s="370">
        <f>SUM(C42:D42)</f>
        <v>427358</v>
      </c>
      <c r="C42" s="370">
        <f>SUM(C39:C41)</f>
        <v>427358</v>
      </c>
      <c r="D42" s="370">
        <f>SUM(D39:D41)</f>
        <v>0</v>
      </c>
      <c r="E42" s="370">
        <f t="shared" ref="E42:T42" si="9">SUM(E40:E41)</f>
        <v>427358</v>
      </c>
      <c r="F42" s="370">
        <f t="shared" si="9"/>
        <v>0</v>
      </c>
      <c r="G42" s="370">
        <f t="shared" si="9"/>
        <v>0</v>
      </c>
      <c r="H42" s="370">
        <f t="shared" si="9"/>
        <v>0</v>
      </c>
      <c r="I42" s="370">
        <f t="shared" si="9"/>
        <v>0</v>
      </c>
      <c r="J42" s="370">
        <f t="shared" si="9"/>
        <v>0</v>
      </c>
      <c r="K42" s="370">
        <f t="shared" si="9"/>
        <v>0</v>
      </c>
      <c r="L42" s="370">
        <f t="shared" si="9"/>
        <v>0</v>
      </c>
      <c r="M42" s="370">
        <f t="shared" si="9"/>
        <v>0</v>
      </c>
      <c r="N42" s="370">
        <f t="shared" si="9"/>
        <v>0</v>
      </c>
      <c r="O42" s="370">
        <f t="shared" si="9"/>
        <v>0</v>
      </c>
      <c r="P42" s="370">
        <f t="shared" si="9"/>
        <v>0</v>
      </c>
      <c r="Q42" s="370">
        <f t="shared" si="9"/>
        <v>0</v>
      </c>
      <c r="R42" s="370">
        <f t="shared" si="9"/>
        <v>427358</v>
      </c>
      <c r="S42" s="374">
        <f t="shared" si="9"/>
        <v>427358</v>
      </c>
      <c r="T42" s="374">
        <f t="shared" si="9"/>
        <v>0</v>
      </c>
      <c r="U42" s="367"/>
    </row>
    <row r="43" spans="1:21" s="368" customFormat="1">
      <c r="A43" s="373" t="s">
        <v>1028</v>
      </c>
      <c r="B43" s="370">
        <f>SUM(C43:D43)</f>
        <v>113207</v>
      </c>
      <c r="C43" s="371">
        <f>113207</f>
        <v>113207</v>
      </c>
      <c r="D43" s="371"/>
      <c r="E43" s="371">
        <f>C43</f>
        <v>113207</v>
      </c>
      <c r="F43" s="371">
        <v>0</v>
      </c>
      <c r="G43" s="371"/>
      <c r="H43" s="371"/>
      <c r="I43" s="371"/>
      <c r="J43" s="371"/>
      <c r="K43" s="371"/>
      <c r="L43" s="371"/>
      <c r="M43" s="371"/>
      <c r="N43" s="371"/>
      <c r="O43" s="371"/>
      <c r="P43" s="371"/>
      <c r="Q43" s="371"/>
      <c r="R43" s="371">
        <f>SUM(E43:Q43)</f>
        <v>113207</v>
      </c>
      <c r="S43" s="371">
        <f>R43</f>
        <v>113207</v>
      </c>
      <c r="T43" s="371"/>
      <c r="U43" s="367"/>
    </row>
    <row r="44" spans="1:21" s="368" customFormat="1">
      <c r="A44" s="365" t="s">
        <v>1029</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1030</v>
      </c>
      <c r="B45" s="370">
        <f t="shared" ref="B45:B52" si="10">SUM(C45+D45)</f>
        <v>1085453</v>
      </c>
      <c r="C45" s="371">
        <f>946672+59541+79240</f>
        <v>1085453</v>
      </c>
      <c r="D45" s="371"/>
      <c r="E45" s="371">
        <f>C45-H45</f>
        <v>946673</v>
      </c>
      <c r="F45" s="371"/>
      <c r="G45" s="371"/>
      <c r="H45" s="371">
        <f>59541+79239</f>
        <v>138780</v>
      </c>
      <c r="I45" s="371"/>
      <c r="J45" s="371"/>
      <c r="K45" s="371"/>
      <c r="L45" s="371"/>
      <c r="M45" s="371"/>
      <c r="N45" s="371"/>
      <c r="O45" s="371"/>
      <c r="P45" s="371"/>
      <c r="Q45" s="371"/>
      <c r="R45" s="371">
        <f>SUM(E45:Q45)</f>
        <v>1085453</v>
      </c>
      <c r="S45" s="371">
        <f>439899+36521+48630</f>
        <v>525050</v>
      </c>
      <c r="T45" s="371"/>
      <c r="U45" s="367"/>
    </row>
    <row r="46" spans="1:21" s="368" customFormat="1">
      <c r="A46" s="369" t="s">
        <v>1031</v>
      </c>
      <c r="B46" s="370">
        <f t="shared" si="10"/>
        <v>189586</v>
      </c>
      <c r="C46" s="371">
        <v>189586</v>
      </c>
      <c r="D46" s="371"/>
      <c r="E46" s="1542">
        <f>C46</f>
        <v>189586</v>
      </c>
      <c r="F46" s="371"/>
      <c r="G46" s="371"/>
      <c r="H46" s="371"/>
      <c r="I46" s="371"/>
      <c r="J46" s="371"/>
      <c r="K46" s="371"/>
      <c r="L46" s="371"/>
      <c r="M46" s="371"/>
      <c r="N46" s="371"/>
      <c r="O46" s="371"/>
      <c r="P46" s="371"/>
      <c r="Q46" s="371"/>
      <c r="R46" s="371">
        <f t="shared" ref="R46:R52" si="11">SUM(E46:Q46)</f>
        <v>189586</v>
      </c>
      <c r="S46" s="371">
        <v>87651</v>
      </c>
      <c r="T46" s="371"/>
      <c r="U46" s="367"/>
    </row>
    <row r="47" spans="1:21" s="368" customFormat="1" ht="12" customHeight="1">
      <c r="A47" s="369" t="s">
        <v>1032</v>
      </c>
      <c r="B47" s="370">
        <f t="shared" si="10"/>
        <v>0</v>
      </c>
      <c r="C47" s="371"/>
      <c r="D47" s="371"/>
      <c r="E47" s="371"/>
      <c r="F47" s="371"/>
      <c r="G47" s="371"/>
      <c r="H47" s="371"/>
      <c r="I47" s="371"/>
      <c r="J47" s="371"/>
      <c r="K47" s="371"/>
      <c r="L47" s="371"/>
      <c r="M47" s="371"/>
      <c r="N47" s="371"/>
      <c r="O47" s="371"/>
      <c r="P47" s="371"/>
      <c r="Q47" s="371"/>
      <c r="R47" s="371">
        <f>SUM(E47:Q47)</f>
        <v>0</v>
      </c>
      <c r="S47" s="371"/>
      <c r="T47" s="371"/>
      <c r="U47" s="367"/>
    </row>
    <row r="48" spans="1:21" s="368" customFormat="1">
      <c r="A48" s="369" t="s">
        <v>1033</v>
      </c>
      <c r="B48" s="370">
        <f t="shared" si="10"/>
        <v>0</v>
      </c>
      <c r="C48" s="371"/>
      <c r="D48" s="371"/>
      <c r="E48" s="371"/>
      <c r="F48" s="371"/>
      <c r="G48" s="371"/>
      <c r="H48" s="371"/>
      <c r="I48" s="371"/>
      <c r="J48" s="371"/>
      <c r="K48" s="371"/>
      <c r="L48" s="371"/>
      <c r="M48" s="371"/>
      <c r="N48" s="371"/>
      <c r="O48" s="371"/>
      <c r="P48" s="371"/>
      <c r="Q48" s="371"/>
      <c r="R48" s="371">
        <f t="shared" si="11"/>
        <v>0</v>
      </c>
      <c r="S48" s="371"/>
      <c r="T48" s="371"/>
      <c r="U48" s="367"/>
    </row>
    <row r="49" spans="1:21" s="368" customFormat="1">
      <c r="A49" s="369" t="s">
        <v>1036</v>
      </c>
      <c r="B49" s="370">
        <f t="shared" si="10"/>
        <v>39500</v>
      </c>
      <c r="C49" s="371">
        <v>39500</v>
      </c>
      <c r="D49" s="371"/>
      <c r="E49" s="371">
        <f>C49</f>
        <v>39500</v>
      </c>
      <c r="F49" s="371"/>
      <c r="G49" s="371"/>
      <c r="H49" s="371"/>
      <c r="I49" s="371"/>
      <c r="J49" s="371"/>
      <c r="K49" s="371"/>
      <c r="L49" s="371"/>
      <c r="M49" s="371"/>
      <c r="N49" s="371"/>
      <c r="O49" s="371"/>
      <c r="P49" s="371"/>
      <c r="Q49" s="371"/>
      <c r="R49" s="371">
        <f t="shared" si="11"/>
        <v>39500</v>
      </c>
      <c r="S49" s="371">
        <f>R49</f>
        <v>39500</v>
      </c>
      <c r="T49" s="371"/>
      <c r="U49" s="367"/>
    </row>
    <row r="50" spans="1:21" s="368" customFormat="1">
      <c r="A50" s="369" t="s">
        <v>1034</v>
      </c>
      <c r="B50" s="370">
        <f t="shared" si="10"/>
        <v>43500</v>
      </c>
      <c r="C50" s="371">
        <v>43500</v>
      </c>
      <c r="D50" s="371"/>
      <c r="E50" s="371">
        <f>C50</f>
        <v>43500</v>
      </c>
      <c r="F50" s="371"/>
      <c r="G50" s="371"/>
      <c r="H50" s="371"/>
      <c r="I50" s="371"/>
      <c r="J50" s="371"/>
      <c r="K50" s="371"/>
      <c r="L50" s="371"/>
      <c r="M50" s="371"/>
      <c r="N50" s="371"/>
      <c r="O50" s="371"/>
      <c r="P50" s="371"/>
      <c r="Q50" s="371"/>
      <c r="R50" s="371">
        <f t="shared" si="11"/>
        <v>43500</v>
      </c>
      <c r="S50" s="371">
        <v>12000</v>
      </c>
      <c r="T50" s="371"/>
      <c r="U50" s="367"/>
    </row>
    <row r="51" spans="1:21" s="368" customFormat="1">
      <c r="A51" s="369" t="s">
        <v>1035</v>
      </c>
      <c r="B51" s="370">
        <f t="shared" si="10"/>
        <v>31500</v>
      </c>
      <c r="C51" s="371">
        <v>31500</v>
      </c>
      <c r="D51" s="371"/>
      <c r="E51" s="371">
        <f>C51</f>
        <v>31500</v>
      </c>
      <c r="F51" s="371"/>
      <c r="G51" s="371"/>
      <c r="H51" s="371"/>
      <c r="I51" s="371"/>
      <c r="J51" s="371"/>
      <c r="K51" s="371"/>
      <c r="L51" s="371"/>
      <c r="M51" s="371"/>
      <c r="N51" s="371"/>
      <c r="O51" s="371"/>
      <c r="P51" s="371"/>
      <c r="Q51" s="371"/>
      <c r="R51" s="371">
        <f t="shared" si="11"/>
        <v>31500</v>
      </c>
      <c r="S51" s="371">
        <f>R51</f>
        <v>31500</v>
      </c>
      <c r="T51" s="371"/>
      <c r="U51" s="367"/>
    </row>
    <row r="52" spans="1:21" s="368" customFormat="1">
      <c r="A52" s="376" t="s">
        <v>2491</v>
      </c>
      <c r="B52" s="370">
        <f t="shared" si="10"/>
        <v>45000</v>
      </c>
      <c r="C52" s="371">
        <v>45000</v>
      </c>
      <c r="D52" s="371"/>
      <c r="E52" s="371">
        <f>C52</f>
        <v>45000</v>
      </c>
      <c r="F52" s="371"/>
      <c r="G52" s="371"/>
      <c r="H52" s="371"/>
      <c r="I52" s="371"/>
      <c r="J52" s="371"/>
      <c r="K52" s="371"/>
      <c r="L52" s="371"/>
      <c r="M52" s="371"/>
      <c r="N52" s="371"/>
      <c r="O52" s="371"/>
      <c r="P52" s="371"/>
      <c r="Q52" s="371"/>
      <c r="R52" s="371">
        <f t="shared" si="11"/>
        <v>45000</v>
      </c>
      <c r="S52" s="371">
        <v>20805</v>
      </c>
      <c r="T52" s="371"/>
      <c r="U52" s="367"/>
    </row>
    <row r="53" spans="1:21" s="378" customFormat="1">
      <c r="A53" s="373" t="s">
        <v>1037</v>
      </c>
      <c r="B53" s="374">
        <f>SUM(C53:D53)</f>
        <v>1434539</v>
      </c>
      <c r="C53" s="374">
        <f t="shared" ref="C53:T53" si="12">SUM(C45:C52)</f>
        <v>1434539</v>
      </c>
      <c r="D53" s="374">
        <f t="shared" si="12"/>
        <v>0</v>
      </c>
      <c r="E53" s="374">
        <f t="shared" si="12"/>
        <v>1295759</v>
      </c>
      <c r="F53" s="374">
        <f t="shared" si="12"/>
        <v>0</v>
      </c>
      <c r="G53" s="374">
        <f t="shared" si="12"/>
        <v>0</v>
      </c>
      <c r="H53" s="374">
        <f t="shared" si="12"/>
        <v>138780</v>
      </c>
      <c r="I53" s="374">
        <f t="shared" si="12"/>
        <v>0</v>
      </c>
      <c r="J53" s="374">
        <f t="shared" si="12"/>
        <v>0</v>
      </c>
      <c r="K53" s="374">
        <f t="shared" si="12"/>
        <v>0</v>
      </c>
      <c r="L53" s="374">
        <f t="shared" si="12"/>
        <v>0</v>
      </c>
      <c r="M53" s="374">
        <f t="shared" si="12"/>
        <v>0</v>
      </c>
      <c r="N53" s="374">
        <f t="shared" si="12"/>
        <v>0</v>
      </c>
      <c r="O53" s="374">
        <f t="shared" si="12"/>
        <v>0</v>
      </c>
      <c r="P53" s="374">
        <f t="shared" si="12"/>
        <v>0</v>
      </c>
      <c r="Q53" s="374">
        <f t="shared" si="12"/>
        <v>0</v>
      </c>
      <c r="R53" s="370">
        <f t="shared" si="12"/>
        <v>1434539</v>
      </c>
      <c r="S53" s="374">
        <f t="shared" si="12"/>
        <v>716506</v>
      </c>
      <c r="T53" s="374">
        <f t="shared" si="12"/>
        <v>0</v>
      </c>
      <c r="U53" s="377"/>
    </row>
    <row r="54" spans="1:21" s="368" customFormat="1">
      <c r="A54" s="365" t="s">
        <v>749</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1038</v>
      </c>
      <c r="B55" s="370">
        <f t="shared" ref="B55:B60" si="13">SUM(C55+D55)</f>
        <v>0</v>
      </c>
      <c r="C55" s="371"/>
      <c r="D55" s="371"/>
      <c r="E55" s="371"/>
      <c r="F55" s="371"/>
      <c r="G55" s="371"/>
      <c r="H55" s="371"/>
      <c r="I55" s="371"/>
      <c r="J55" s="371"/>
      <c r="K55" s="371"/>
      <c r="L55" s="371"/>
      <c r="M55" s="371"/>
      <c r="N55" s="371"/>
      <c r="O55" s="371"/>
      <c r="P55" s="371"/>
      <c r="Q55" s="371"/>
      <c r="R55" s="371">
        <f t="shared" ref="R55:R60" si="14">SUM(E55:Q55)</f>
        <v>0</v>
      </c>
      <c r="S55" s="372"/>
      <c r="T55" s="372"/>
      <c r="U55" s="367"/>
    </row>
    <row r="56" spans="1:21" s="368" customFormat="1" ht="12" customHeight="1">
      <c r="A56" s="369" t="s">
        <v>1032</v>
      </c>
      <c r="B56" s="370">
        <f t="shared" si="13"/>
        <v>0</v>
      </c>
      <c r="C56" s="371"/>
      <c r="D56" s="371"/>
      <c r="E56" s="371"/>
      <c r="F56" s="371"/>
      <c r="G56" s="371"/>
      <c r="H56" s="371"/>
      <c r="I56" s="371"/>
      <c r="J56" s="371"/>
      <c r="K56" s="371"/>
      <c r="L56" s="371"/>
      <c r="M56" s="371"/>
      <c r="N56" s="371"/>
      <c r="O56" s="371"/>
      <c r="P56" s="371"/>
      <c r="Q56" s="371"/>
      <c r="R56" s="371">
        <f t="shared" si="14"/>
        <v>0</v>
      </c>
      <c r="S56" s="372"/>
      <c r="T56" s="372"/>
      <c r="U56" s="367"/>
    </row>
    <row r="57" spans="1:21" s="368" customFormat="1">
      <c r="A57" s="369" t="s">
        <v>1036</v>
      </c>
      <c r="B57" s="370">
        <f t="shared" si="13"/>
        <v>0</v>
      </c>
      <c r="C57" s="371"/>
      <c r="D57" s="371"/>
      <c r="E57" s="371"/>
      <c r="F57" s="371"/>
      <c r="G57" s="371"/>
      <c r="H57" s="371"/>
      <c r="I57" s="371"/>
      <c r="J57" s="371"/>
      <c r="K57" s="371"/>
      <c r="L57" s="371"/>
      <c r="M57" s="371"/>
      <c r="N57" s="371"/>
      <c r="O57" s="371"/>
      <c r="P57" s="371"/>
      <c r="Q57" s="371"/>
      <c r="R57" s="371">
        <f t="shared" si="14"/>
        <v>0</v>
      </c>
      <c r="S57" s="372"/>
      <c r="T57" s="372"/>
      <c r="U57" s="367"/>
    </row>
    <row r="58" spans="1:21" s="368" customFormat="1">
      <c r="A58" s="369" t="s">
        <v>1034</v>
      </c>
      <c r="B58" s="370">
        <f t="shared" si="13"/>
        <v>0</v>
      </c>
      <c r="C58" s="371"/>
      <c r="D58" s="371"/>
      <c r="E58" s="371"/>
      <c r="F58" s="371"/>
      <c r="G58" s="371"/>
      <c r="H58" s="371"/>
      <c r="I58" s="371"/>
      <c r="J58" s="371"/>
      <c r="K58" s="371"/>
      <c r="L58" s="371"/>
      <c r="M58" s="371"/>
      <c r="N58" s="371"/>
      <c r="O58" s="371"/>
      <c r="P58" s="371"/>
      <c r="Q58" s="371"/>
      <c r="R58" s="371">
        <f t="shared" si="14"/>
        <v>0</v>
      </c>
      <c r="S58" s="372"/>
      <c r="T58" s="372"/>
      <c r="U58" s="367"/>
    </row>
    <row r="59" spans="1:21" s="368" customFormat="1">
      <c r="A59" s="369" t="s">
        <v>1035</v>
      </c>
      <c r="B59" s="370">
        <f t="shared" si="13"/>
        <v>0</v>
      </c>
      <c r="C59" s="371"/>
      <c r="D59" s="371"/>
      <c r="E59" s="371"/>
      <c r="F59" s="371"/>
      <c r="G59" s="371"/>
      <c r="H59" s="371"/>
      <c r="I59" s="371"/>
      <c r="J59" s="371"/>
      <c r="K59" s="371"/>
      <c r="L59" s="371"/>
      <c r="M59" s="371"/>
      <c r="N59" s="371"/>
      <c r="O59" s="371"/>
      <c r="P59" s="371"/>
      <c r="Q59" s="371"/>
      <c r="R59" s="371">
        <f t="shared" si="14"/>
        <v>0</v>
      </c>
      <c r="S59" s="372"/>
      <c r="T59" s="372"/>
      <c r="U59" s="367"/>
    </row>
    <row r="60" spans="1:21" s="368" customFormat="1">
      <c r="A60" s="376" t="s">
        <v>592</v>
      </c>
      <c r="B60" s="370">
        <f t="shared" si="13"/>
        <v>0</v>
      </c>
      <c r="C60" s="371"/>
      <c r="D60" s="371"/>
      <c r="E60" s="371"/>
      <c r="F60" s="371"/>
      <c r="G60" s="371"/>
      <c r="H60" s="371"/>
      <c r="I60" s="371"/>
      <c r="J60" s="371"/>
      <c r="K60" s="371"/>
      <c r="L60" s="371"/>
      <c r="M60" s="371"/>
      <c r="N60" s="371"/>
      <c r="O60" s="371"/>
      <c r="P60" s="371"/>
      <c r="Q60" s="371"/>
      <c r="R60" s="371">
        <f t="shared" si="14"/>
        <v>0</v>
      </c>
      <c r="S60" s="372"/>
      <c r="T60" s="372"/>
      <c r="U60" s="367"/>
    </row>
    <row r="61" spans="1:21" s="368" customFormat="1" ht="14.1" customHeight="1">
      <c r="A61" s="373" t="s">
        <v>549</v>
      </c>
      <c r="B61" s="370">
        <f>SUM(C61:D61)</f>
        <v>0</v>
      </c>
      <c r="C61" s="370">
        <f t="shared" ref="C61:R61" si="15">SUM(C55:C60)</f>
        <v>0</v>
      </c>
      <c r="D61" s="370">
        <f t="shared" si="15"/>
        <v>0</v>
      </c>
      <c r="E61" s="370">
        <f t="shared" si="15"/>
        <v>0</v>
      </c>
      <c r="F61" s="370">
        <f t="shared" si="15"/>
        <v>0</v>
      </c>
      <c r="G61" s="370">
        <f t="shared" si="15"/>
        <v>0</v>
      </c>
      <c r="H61" s="370">
        <f t="shared" si="15"/>
        <v>0</v>
      </c>
      <c r="I61" s="370">
        <f t="shared" si="15"/>
        <v>0</v>
      </c>
      <c r="J61" s="370">
        <f t="shared" si="15"/>
        <v>0</v>
      </c>
      <c r="K61" s="370">
        <f t="shared" si="15"/>
        <v>0</v>
      </c>
      <c r="L61" s="370">
        <f t="shared" si="15"/>
        <v>0</v>
      </c>
      <c r="M61" s="370">
        <f t="shared" si="15"/>
        <v>0</v>
      </c>
      <c r="N61" s="370">
        <f t="shared" si="15"/>
        <v>0</v>
      </c>
      <c r="O61" s="370">
        <f t="shared" si="15"/>
        <v>0</v>
      </c>
      <c r="P61" s="370">
        <f t="shared" si="15"/>
        <v>0</v>
      </c>
      <c r="Q61" s="370">
        <f t="shared" si="15"/>
        <v>0</v>
      </c>
      <c r="R61" s="370">
        <f t="shared" si="15"/>
        <v>0</v>
      </c>
      <c r="S61" s="372"/>
      <c r="T61" s="372"/>
      <c r="U61" s="367"/>
    </row>
    <row r="62" spans="1:21" s="368" customFormat="1">
      <c r="A62" s="379" t="s">
        <v>550</v>
      </c>
      <c r="B62" s="370">
        <f>SUM(C62:D62)</f>
        <v>21159895</v>
      </c>
      <c r="C62" s="370">
        <f t="shared" ref="C62:R62" si="16">SUM(C8+C11+C13+C14+C15+C26+C27+C38+C42+C43+C53+C61)</f>
        <v>21159895</v>
      </c>
      <c r="D62" s="370">
        <f t="shared" si="16"/>
        <v>0</v>
      </c>
      <c r="E62" s="370">
        <f t="shared" si="16"/>
        <v>15221115</v>
      </c>
      <c r="F62" s="370">
        <f t="shared" si="16"/>
        <v>1800000</v>
      </c>
      <c r="G62" s="370">
        <f t="shared" si="16"/>
        <v>2700000</v>
      </c>
      <c r="H62" s="370">
        <f t="shared" si="16"/>
        <v>138780</v>
      </c>
      <c r="I62" s="370">
        <f t="shared" si="16"/>
        <v>1300000</v>
      </c>
      <c r="J62" s="370">
        <f t="shared" si="16"/>
        <v>0</v>
      </c>
      <c r="K62" s="370">
        <f t="shared" si="16"/>
        <v>0</v>
      </c>
      <c r="L62" s="370">
        <f t="shared" si="16"/>
        <v>0</v>
      </c>
      <c r="M62" s="370">
        <f t="shared" si="16"/>
        <v>0</v>
      </c>
      <c r="N62" s="370">
        <f t="shared" si="16"/>
        <v>0</v>
      </c>
      <c r="O62" s="370">
        <f t="shared" si="16"/>
        <v>0</v>
      </c>
      <c r="P62" s="370">
        <f t="shared" si="16"/>
        <v>0</v>
      </c>
      <c r="Q62" s="370">
        <f t="shared" si="16"/>
        <v>0</v>
      </c>
      <c r="R62" s="370">
        <f t="shared" si="16"/>
        <v>21159895</v>
      </c>
      <c r="S62" s="370">
        <f>SUM(S10+S13+S14+S15+S26+S27+S38+S42+S43+S53)</f>
        <v>18626073</v>
      </c>
      <c r="T62" s="370">
        <f>SUM(T11+T13+T14+T15+T26+T27+T38+T42+T43+T53)</f>
        <v>0</v>
      </c>
      <c r="U62" s="367"/>
    </row>
    <row r="63" spans="1:21" s="368" customFormat="1" ht="24">
      <c r="A63" s="365" t="s">
        <v>2241</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312</v>
      </c>
      <c r="B64" s="370">
        <f>SUM(C64+D64)</f>
        <v>55000</v>
      </c>
      <c r="C64" s="371">
        <v>55000</v>
      </c>
      <c r="D64" s="371"/>
      <c r="E64" s="371">
        <f>C64</f>
        <v>55000</v>
      </c>
      <c r="F64" s="371"/>
      <c r="G64" s="371"/>
      <c r="H64" s="371"/>
      <c r="I64" s="371"/>
      <c r="J64" s="371"/>
      <c r="K64" s="371"/>
      <c r="L64" s="371"/>
      <c r="M64" s="371"/>
      <c r="N64" s="371"/>
      <c r="O64" s="371"/>
      <c r="P64" s="371"/>
      <c r="Q64" s="371"/>
      <c r="R64" s="371">
        <f>SUM(E64:Q64)</f>
        <v>55000</v>
      </c>
      <c r="S64" s="371">
        <v>25428</v>
      </c>
      <c r="T64" s="371"/>
      <c r="U64" s="367"/>
    </row>
    <row r="65" spans="1:21" s="368" customFormat="1" ht="24">
      <c r="A65" s="369" t="s">
        <v>2242</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4">
      <c r="A66" s="369" t="s">
        <v>2243</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2244</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2489</v>
      </c>
      <c r="B68" s="370">
        <f>SUM(C68+D68)</f>
        <v>110000</v>
      </c>
      <c r="C68" s="371">
        <v>110000</v>
      </c>
      <c r="D68" s="371"/>
      <c r="E68" s="371">
        <f>C68</f>
        <v>110000</v>
      </c>
      <c r="F68" s="371"/>
      <c r="G68" s="371"/>
      <c r="H68" s="371"/>
      <c r="I68" s="371"/>
      <c r="J68" s="371"/>
      <c r="K68" s="371"/>
      <c r="L68" s="371"/>
      <c r="M68" s="371"/>
      <c r="N68" s="371"/>
      <c r="O68" s="371"/>
      <c r="P68" s="371"/>
      <c r="Q68" s="371"/>
      <c r="R68" s="371">
        <f>SUM(E68:Q68)</f>
        <v>110000</v>
      </c>
      <c r="S68" s="371">
        <v>110000</v>
      </c>
      <c r="T68" s="371"/>
      <c r="U68" s="367"/>
    </row>
    <row r="69" spans="1:21" s="368" customFormat="1">
      <c r="A69" s="373" t="s">
        <v>2245</v>
      </c>
      <c r="B69" s="370">
        <f>SUM(C69:D69)</f>
        <v>165000</v>
      </c>
      <c r="C69" s="370">
        <f>SUM(C63:C68)</f>
        <v>165000</v>
      </c>
      <c r="D69" s="370">
        <f>SUM(D63:D68)</f>
        <v>0</v>
      </c>
      <c r="E69" s="370">
        <f t="shared" ref="E69:T69" si="17">SUM(E64:E68)</f>
        <v>165000</v>
      </c>
      <c r="F69" s="370">
        <f t="shared" si="17"/>
        <v>0</v>
      </c>
      <c r="G69" s="370">
        <f t="shared" si="17"/>
        <v>0</v>
      </c>
      <c r="H69" s="370">
        <f t="shared" si="17"/>
        <v>0</v>
      </c>
      <c r="I69" s="370">
        <f t="shared" si="17"/>
        <v>0</v>
      </c>
      <c r="J69" s="370">
        <f t="shared" si="17"/>
        <v>0</v>
      </c>
      <c r="K69" s="370">
        <f t="shared" si="17"/>
        <v>0</v>
      </c>
      <c r="L69" s="370">
        <f t="shared" si="17"/>
        <v>0</v>
      </c>
      <c r="M69" s="370">
        <f t="shared" si="17"/>
        <v>0</v>
      </c>
      <c r="N69" s="370">
        <f t="shared" si="17"/>
        <v>0</v>
      </c>
      <c r="O69" s="370">
        <f t="shared" si="17"/>
        <v>0</v>
      </c>
      <c r="P69" s="370">
        <f t="shared" si="17"/>
        <v>0</v>
      </c>
      <c r="Q69" s="370">
        <f t="shared" si="17"/>
        <v>0</v>
      </c>
      <c r="R69" s="370">
        <f t="shared" si="17"/>
        <v>165000</v>
      </c>
      <c r="S69" s="374">
        <f t="shared" si="17"/>
        <v>135428</v>
      </c>
      <c r="T69" s="374">
        <f t="shared" si="17"/>
        <v>0</v>
      </c>
      <c r="U69" s="367"/>
    </row>
    <row r="70" spans="1:21" s="368" customFormat="1">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314</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c r="A72" s="369" t="s">
        <v>315</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97" t="s">
        <v>1373</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316</v>
      </c>
      <c r="B74" s="370">
        <f>SUM(C74+D74)</f>
        <v>267720</v>
      </c>
      <c r="C74" s="371">
        <v>267720</v>
      </c>
      <c r="D74" s="371"/>
      <c r="E74" s="371">
        <f>C74</f>
        <v>267720</v>
      </c>
      <c r="F74" s="371"/>
      <c r="G74" s="371"/>
      <c r="H74" s="371"/>
      <c r="I74" s="371"/>
      <c r="J74" s="371"/>
      <c r="K74" s="371"/>
      <c r="L74" s="371"/>
      <c r="M74" s="371"/>
      <c r="N74" s="371"/>
      <c r="O74" s="371"/>
      <c r="P74" s="371"/>
      <c r="Q74" s="371"/>
      <c r="R74" s="371">
        <f>SUM(E74:Q74)</f>
        <v>267720</v>
      </c>
      <c r="S74" s="372"/>
      <c r="T74" s="372"/>
      <c r="U74" s="367"/>
    </row>
    <row r="75" spans="1:21" s="368" customFormat="1">
      <c r="A75" s="376" t="s">
        <v>592</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317</v>
      </c>
      <c r="B76" s="370">
        <f>SUM(C76:D76)</f>
        <v>267720</v>
      </c>
      <c r="C76" s="370">
        <f t="shared" ref="C76:Q76" si="18">SUM(C71:C75)</f>
        <v>267720</v>
      </c>
      <c r="D76" s="370">
        <f t="shared" si="18"/>
        <v>0</v>
      </c>
      <c r="E76" s="370">
        <f>SUM(E71:E75)</f>
        <v>267720</v>
      </c>
      <c r="F76" s="370">
        <f>SUM(F71:F75)</f>
        <v>0</v>
      </c>
      <c r="G76" s="370">
        <f>SUM(G71:G75)</f>
        <v>0</v>
      </c>
      <c r="H76" s="370">
        <f t="shared" si="18"/>
        <v>0</v>
      </c>
      <c r="I76" s="370">
        <f t="shared" si="18"/>
        <v>0</v>
      </c>
      <c r="J76" s="370">
        <f t="shared" si="18"/>
        <v>0</v>
      </c>
      <c r="K76" s="370">
        <f t="shared" si="18"/>
        <v>0</v>
      </c>
      <c r="L76" s="370">
        <f t="shared" si="18"/>
        <v>0</v>
      </c>
      <c r="M76" s="370">
        <f t="shared" si="18"/>
        <v>0</v>
      </c>
      <c r="N76" s="370">
        <f t="shared" si="18"/>
        <v>0</v>
      </c>
      <c r="O76" s="370">
        <f t="shared" si="18"/>
        <v>0</v>
      </c>
      <c r="P76" s="370">
        <f t="shared" si="18"/>
        <v>0</v>
      </c>
      <c r="Q76" s="370">
        <f t="shared" si="18"/>
        <v>0</v>
      </c>
      <c r="R76" s="370">
        <f>SUM(R71:R75)</f>
        <v>267720</v>
      </c>
      <c r="S76" s="372"/>
      <c r="T76" s="372"/>
      <c r="U76" s="367"/>
    </row>
    <row r="77" spans="1:21" s="368" customFormat="1" ht="11.85" customHeight="1">
      <c r="A77" s="365" t="s">
        <v>1970</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1968</v>
      </c>
      <c r="B78" s="370">
        <f>SUM(C78+D78)</f>
        <v>1707745</v>
      </c>
      <c r="C78" s="371">
        <v>1707745</v>
      </c>
      <c r="D78" s="371"/>
      <c r="E78" s="371">
        <f>C78</f>
        <v>1707745</v>
      </c>
      <c r="F78" s="371"/>
      <c r="G78" s="371"/>
      <c r="H78" s="371"/>
      <c r="I78" s="371"/>
      <c r="J78" s="371"/>
      <c r="K78" s="371"/>
      <c r="L78" s="371"/>
      <c r="M78" s="371"/>
      <c r="N78" s="371"/>
      <c r="O78" s="371"/>
      <c r="P78" s="371"/>
      <c r="Q78" s="371"/>
      <c r="R78" s="371">
        <f>SUM(E78:Q78)</f>
        <v>1707745</v>
      </c>
      <c r="S78" s="371">
        <f>R78</f>
        <v>1707745</v>
      </c>
      <c r="T78" s="371"/>
      <c r="U78" s="367"/>
    </row>
    <row r="79" spans="1:21" s="368" customFormat="1">
      <c r="A79" s="369" t="s">
        <v>597</v>
      </c>
      <c r="B79" s="370">
        <f>SUM(C79+D79)</f>
        <v>80483</v>
      </c>
      <c r="C79" s="371">
        <v>80483</v>
      </c>
      <c r="D79" s="371"/>
      <c r="E79" s="371">
        <f>C79</f>
        <v>80483</v>
      </c>
      <c r="F79" s="371"/>
      <c r="G79" s="371"/>
      <c r="H79" s="371"/>
      <c r="I79" s="371"/>
      <c r="J79" s="371"/>
      <c r="K79" s="371"/>
      <c r="L79" s="371"/>
      <c r="M79" s="371"/>
      <c r="N79" s="371"/>
      <c r="O79" s="371"/>
      <c r="P79" s="371"/>
      <c r="Q79" s="371"/>
      <c r="R79" s="371">
        <f>SUM(E79:Q79)</f>
        <v>80483</v>
      </c>
      <c r="S79" s="371">
        <f>R79</f>
        <v>80483</v>
      </c>
      <c r="T79" s="371"/>
      <c r="U79" s="367"/>
    </row>
    <row r="80" spans="1:21" s="368" customFormat="1">
      <c r="A80" s="373" t="s">
        <v>1969</v>
      </c>
      <c r="B80" s="370">
        <f>SUM(C80:D80)</f>
        <v>1788228</v>
      </c>
      <c r="C80" s="1123">
        <f>SUM(C78:C79)</f>
        <v>1788228</v>
      </c>
      <c r="D80" s="1123">
        <f t="shared" ref="D80:R80" si="19">SUM(D78:D79)</f>
        <v>0</v>
      </c>
      <c r="E80" s="1123">
        <f t="shared" si="19"/>
        <v>1788228</v>
      </c>
      <c r="F80" s="1123">
        <f t="shared" si="19"/>
        <v>0</v>
      </c>
      <c r="G80" s="1123">
        <f t="shared" si="19"/>
        <v>0</v>
      </c>
      <c r="H80" s="1123">
        <f t="shared" si="19"/>
        <v>0</v>
      </c>
      <c r="I80" s="1123">
        <f t="shared" si="19"/>
        <v>0</v>
      </c>
      <c r="J80" s="1123">
        <f t="shared" si="19"/>
        <v>0</v>
      </c>
      <c r="K80" s="1123">
        <f t="shared" si="19"/>
        <v>0</v>
      </c>
      <c r="L80" s="1123">
        <f t="shared" si="19"/>
        <v>0</v>
      </c>
      <c r="M80" s="1123">
        <f t="shared" si="19"/>
        <v>0</v>
      </c>
      <c r="N80" s="1123">
        <f t="shared" si="19"/>
        <v>0</v>
      </c>
      <c r="O80" s="1123">
        <f t="shared" si="19"/>
        <v>0</v>
      </c>
      <c r="P80" s="1123">
        <f t="shared" si="19"/>
        <v>0</v>
      </c>
      <c r="Q80" s="1123">
        <f t="shared" si="19"/>
        <v>0</v>
      </c>
      <c r="R80" s="1123">
        <f t="shared" si="19"/>
        <v>1788228</v>
      </c>
      <c r="S80" s="1123">
        <f>SUM(S78:S79)</f>
        <v>1788228</v>
      </c>
      <c r="T80" s="1123">
        <f>SUM(T78:T79)</f>
        <v>0</v>
      </c>
      <c r="U80" s="367"/>
    </row>
    <row r="81" spans="1:21" s="368" customFormat="1">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4.1" customHeight="1">
      <c r="A82" s="369" t="s">
        <v>574</v>
      </c>
      <c r="B82" s="370">
        <f>SUM(C82+D82)</f>
        <v>126600</v>
      </c>
      <c r="C82" s="371">
        <v>126600</v>
      </c>
      <c r="D82" s="371"/>
      <c r="E82" s="371">
        <f>C82</f>
        <v>126600</v>
      </c>
      <c r="F82" s="371"/>
      <c r="G82" s="371"/>
      <c r="H82" s="371"/>
      <c r="I82" s="371"/>
      <c r="J82" s="371"/>
      <c r="K82" s="371"/>
      <c r="L82" s="371"/>
      <c r="M82" s="371"/>
      <c r="N82" s="371"/>
      <c r="O82" s="371"/>
      <c r="P82" s="371"/>
      <c r="Q82" s="371"/>
      <c r="R82" s="371">
        <f>SUM(E82:Q82)</f>
        <v>126600</v>
      </c>
      <c r="S82" s="372"/>
      <c r="T82" s="372"/>
      <c r="U82" s="367"/>
    </row>
    <row r="83" spans="1:21" s="368" customFormat="1">
      <c r="A83" s="369" t="s">
        <v>575</v>
      </c>
      <c r="B83" s="370">
        <f t="shared" ref="B83:B93" si="20">SUM(C83+D83)</f>
        <v>15000</v>
      </c>
      <c r="C83" s="371">
        <v>15000</v>
      </c>
      <c r="D83" s="371"/>
      <c r="E83" s="371">
        <f>C83</f>
        <v>15000</v>
      </c>
      <c r="F83" s="371"/>
      <c r="G83" s="371"/>
      <c r="H83" s="371"/>
      <c r="I83" s="371"/>
      <c r="J83" s="371"/>
      <c r="K83" s="371"/>
      <c r="L83" s="371"/>
      <c r="M83" s="371"/>
      <c r="N83" s="371"/>
      <c r="O83" s="371"/>
      <c r="P83" s="371"/>
      <c r="Q83" s="371"/>
      <c r="R83" s="371">
        <f t="shared" ref="R83:R93" si="21">SUM(E83:Q83)</f>
        <v>15000</v>
      </c>
      <c r="S83" s="371">
        <f>R83</f>
        <v>15000</v>
      </c>
      <c r="T83" s="371"/>
      <c r="U83" s="367"/>
    </row>
    <row r="84" spans="1:21" s="368" customFormat="1">
      <c r="A84" s="369" t="s">
        <v>576</v>
      </c>
      <c r="B84" s="370">
        <f t="shared" si="20"/>
        <v>1278798</v>
      </c>
      <c r="C84" s="371">
        <v>1278798</v>
      </c>
      <c r="D84" s="371"/>
      <c r="E84" s="371">
        <f>C84</f>
        <v>1278798</v>
      </c>
      <c r="F84" s="371"/>
      <c r="G84" s="371"/>
      <c r="H84" s="371"/>
      <c r="I84" s="371"/>
      <c r="J84" s="371"/>
      <c r="K84" s="371"/>
      <c r="L84" s="371"/>
      <c r="M84" s="371"/>
      <c r="N84" s="371"/>
      <c r="O84" s="371"/>
      <c r="P84" s="371"/>
      <c r="Q84" s="371"/>
      <c r="R84" s="371">
        <f t="shared" si="21"/>
        <v>1278798</v>
      </c>
      <c r="S84" s="371">
        <f>R84</f>
        <v>1278798</v>
      </c>
      <c r="T84" s="371"/>
      <c r="U84" s="367"/>
    </row>
    <row r="85" spans="1:21" s="368" customFormat="1">
      <c r="A85" s="369" t="s">
        <v>577</v>
      </c>
      <c r="B85" s="370">
        <f t="shared" si="20"/>
        <v>118900</v>
      </c>
      <c r="C85" s="371">
        <v>118900</v>
      </c>
      <c r="D85" s="371"/>
      <c r="E85" s="371">
        <f>C85</f>
        <v>118900</v>
      </c>
      <c r="F85" s="371"/>
      <c r="G85" s="371"/>
      <c r="H85" s="371"/>
      <c r="I85" s="371"/>
      <c r="J85" s="371"/>
      <c r="K85" s="371"/>
      <c r="L85" s="371"/>
      <c r="M85" s="371"/>
      <c r="N85" s="371"/>
      <c r="O85" s="371"/>
      <c r="P85" s="371"/>
      <c r="Q85" s="371"/>
      <c r="R85" s="371">
        <f t="shared" si="21"/>
        <v>118900</v>
      </c>
      <c r="S85" s="371">
        <f>R85</f>
        <v>118900</v>
      </c>
      <c r="T85" s="371"/>
      <c r="U85" s="367"/>
    </row>
    <row r="86" spans="1:21" s="368" customFormat="1">
      <c r="A86" s="369" t="s">
        <v>578</v>
      </c>
      <c r="B86" s="370">
        <f t="shared" si="20"/>
        <v>0</v>
      </c>
      <c r="C86" s="371"/>
      <c r="D86" s="371"/>
      <c r="E86" s="371"/>
      <c r="F86" s="371"/>
      <c r="G86" s="371"/>
      <c r="H86" s="371"/>
      <c r="I86" s="371"/>
      <c r="J86" s="371"/>
      <c r="K86" s="371"/>
      <c r="L86" s="371"/>
      <c r="M86" s="371"/>
      <c r="N86" s="371"/>
      <c r="O86" s="371"/>
      <c r="P86" s="371"/>
      <c r="Q86" s="371"/>
      <c r="R86" s="371">
        <f t="shared" si="21"/>
        <v>0</v>
      </c>
      <c r="S86" s="371"/>
      <c r="T86" s="371"/>
      <c r="U86" s="367"/>
    </row>
    <row r="87" spans="1:21" s="368" customFormat="1">
      <c r="A87" s="369" t="s">
        <v>579</v>
      </c>
      <c r="B87" s="370">
        <f t="shared" si="20"/>
        <v>20000</v>
      </c>
      <c r="C87" s="371">
        <v>20000</v>
      </c>
      <c r="D87" s="371"/>
      <c r="E87" s="371">
        <f>C87</f>
        <v>20000</v>
      </c>
      <c r="F87" s="371"/>
      <c r="G87" s="371"/>
      <c r="H87" s="371"/>
      <c r="I87" s="371"/>
      <c r="J87" s="371"/>
      <c r="K87" s="371"/>
      <c r="L87" s="371"/>
      <c r="M87" s="371"/>
      <c r="N87" s="371"/>
      <c r="O87" s="371"/>
      <c r="P87" s="371"/>
      <c r="Q87" s="371"/>
      <c r="R87" s="371">
        <f t="shared" si="21"/>
        <v>20000</v>
      </c>
      <c r="S87" s="372"/>
      <c r="T87" s="372"/>
      <c r="U87" s="367"/>
    </row>
    <row r="88" spans="1:21" s="368" customFormat="1">
      <c r="A88" s="369" t="s">
        <v>580</v>
      </c>
      <c r="B88" s="370">
        <f t="shared" si="20"/>
        <v>56500</v>
      </c>
      <c r="C88" s="371">
        <v>56500</v>
      </c>
      <c r="D88" s="371"/>
      <c r="E88" s="371">
        <f>C88</f>
        <v>56500</v>
      </c>
      <c r="F88" s="371"/>
      <c r="G88" s="371"/>
      <c r="H88" s="371"/>
      <c r="I88" s="371"/>
      <c r="J88" s="371"/>
      <c r="K88" s="371"/>
      <c r="L88" s="371"/>
      <c r="M88" s="371"/>
      <c r="N88" s="371"/>
      <c r="O88" s="371"/>
      <c r="P88" s="371"/>
      <c r="Q88" s="371"/>
      <c r="R88" s="371">
        <f t="shared" si="21"/>
        <v>56500</v>
      </c>
      <c r="S88" s="371">
        <f>R88</f>
        <v>56500</v>
      </c>
      <c r="T88" s="371"/>
      <c r="U88" s="367"/>
    </row>
    <row r="89" spans="1:21" s="368" customFormat="1">
      <c r="A89" s="369" t="s">
        <v>581</v>
      </c>
      <c r="B89" s="370">
        <f t="shared" si="20"/>
        <v>5000</v>
      </c>
      <c r="C89" s="371">
        <v>5000</v>
      </c>
      <c r="D89" s="371"/>
      <c r="E89" s="371">
        <f>C89</f>
        <v>5000</v>
      </c>
      <c r="F89" s="371"/>
      <c r="G89" s="371"/>
      <c r="H89" s="371"/>
      <c r="I89" s="371"/>
      <c r="J89" s="371"/>
      <c r="K89" s="371"/>
      <c r="L89" s="371"/>
      <c r="M89" s="371"/>
      <c r="N89" s="371"/>
      <c r="O89" s="371"/>
      <c r="P89" s="371"/>
      <c r="Q89" s="371"/>
      <c r="R89" s="371">
        <f t="shared" si="21"/>
        <v>5000</v>
      </c>
      <c r="S89" s="371"/>
      <c r="T89" s="371"/>
      <c r="U89" s="367"/>
    </row>
    <row r="90" spans="1:21" s="368" customFormat="1">
      <c r="A90" s="380" t="s">
        <v>1455</v>
      </c>
      <c r="B90" s="370">
        <f t="shared" si="20"/>
        <v>0</v>
      </c>
      <c r="C90" s="371"/>
      <c r="D90" s="371"/>
      <c r="E90" s="371"/>
      <c r="F90" s="371"/>
      <c r="G90" s="371"/>
      <c r="H90" s="371"/>
      <c r="I90" s="371"/>
      <c r="J90" s="371"/>
      <c r="K90" s="371"/>
      <c r="L90" s="371"/>
      <c r="M90" s="371"/>
      <c r="N90" s="371"/>
      <c r="O90" s="371"/>
      <c r="P90" s="371"/>
      <c r="Q90" s="371"/>
      <c r="R90" s="371">
        <f t="shared" si="21"/>
        <v>0</v>
      </c>
      <c r="S90" s="371"/>
      <c r="T90" s="371"/>
      <c r="U90" s="367"/>
    </row>
    <row r="91" spans="1:21" s="368" customFormat="1">
      <c r="A91" s="380" t="s">
        <v>1967</v>
      </c>
      <c r="B91" s="370">
        <f t="shared" si="20"/>
        <v>2500</v>
      </c>
      <c r="C91" s="371">
        <v>2500</v>
      </c>
      <c r="D91" s="371"/>
      <c r="E91" s="371">
        <f>C91</f>
        <v>2500</v>
      </c>
      <c r="F91" s="371"/>
      <c r="G91" s="371"/>
      <c r="H91" s="371"/>
      <c r="I91" s="371"/>
      <c r="J91" s="371"/>
      <c r="K91" s="371"/>
      <c r="L91" s="371"/>
      <c r="M91" s="371"/>
      <c r="N91" s="371"/>
      <c r="O91" s="371"/>
      <c r="P91" s="371"/>
      <c r="Q91" s="371"/>
      <c r="R91" s="371">
        <f t="shared" si="21"/>
        <v>2500</v>
      </c>
      <c r="S91" s="371">
        <f>R91</f>
        <v>2500</v>
      </c>
      <c r="T91" s="371"/>
      <c r="U91" s="367"/>
    </row>
    <row r="92" spans="1:21" s="368" customFormat="1">
      <c r="A92" s="376" t="s">
        <v>2486</v>
      </c>
      <c r="B92" s="370">
        <f t="shared" si="20"/>
        <v>15000</v>
      </c>
      <c r="C92" s="371">
        <v>15000</v>
      </c>
      <c r="D92" s="371"/>
      <c r="E92" s="371">
        <f>C92</f>
        <v>15000</v>
      </c>
      <c r="F92" s="371"/>
      <c r="G92" s="371"/>
      <c r="H92" s="371"/>
      <c r="I92" s="371"/>
      <c r="J92" s="371"/>
      <c r="K92" s="371"/>
      <c r="L92" s="371"/>
      <c r="M92" s="371"/>
      <c r="N92" s="371"/>
      <c r="O92" s="371"/>
      <c r="P92" s="371"/>
      <c r="Q92" s="371"/>
      <c r="R92" s="371">
        <f t="shared" si="21"/>
        <v>15000</v>
      </c>
      <c r="S92" s="371"/>
      <c r="T92" s="371"/>
      <c r="U92" s="367"/>
    </row>
    <row r="93" spans="1:21" s="368" customFormat="1">
      <c r="A93" s="376" t="s">
        <v>2488</v>
      </c>
      <c r="B93" s="370">
        <f t="shared" si="20"/>
        <v>50000</v>
      </c>
      <c r="C93" s="371">
        <v>50000</v>
      </c>
      <c r="D93" s="371"/>
      <c r="E93" s="371">
        <f>C93</f>
        <v>50000</v>
      </c>
      <c r="F93" s="371"/>
      <c r="G93" s="371"/>
      <c r="H93" s="371"/>
      <c r="I93" s="371"/>
      <c r="J93" s="371"/>
      <c r="K93" s="371"/>
      <c r="L93" s="371"/>
      <c r="M93" s="371"/>
      <c r="N93" s="371"/>
      <c r="O93" s="371"/>
      <c r="P93" s="371"/>
      <c r="Q93" s="371"/>
      <c r="R93" s="371">
        <f t="shared" si="21"/>
        <v>50000</v>
      </c>
      <c r="S93" s="371">
        <f>R93</f>
        <v>50000</v>
      </c>
      <c r="T93" s="371"/>
      <c r="U93" s="367"/>
    </row>
    <row r="94" spans="1:21" s="368" customFormat="1">
      <c r="A94" s="376" t="s">
        <v>2490</v>
      </c>
      <c r="B94" s="370">
        <f>SUM(C94+D94)</f>
        <v>25000</v>
      </c>
      <c r="C94" s="371">
        <v>25000</v>
      </c>
      <c r="D94" s="371"/>
      <c r="E94" s="371">
        <f>C94</f>
        <v>25000</v>
      </c>
      <c r="F94" s="371"/>
      <c r="G94" s="371"/>
      <c r="H94" s="371"/>
      <c r="I94" s="371"/>
      <c r="J94" s="371"/>
      <c r="K94" s="371"/>
      <c r="L94" s="371"/>
      <c r="M94" s="371"/>
      <c r="N94" s="371"/>
      <c r="O94" s="371"/>
      <c r="P94" s="371"/>
      <c r="Q94" s="371"/>
      <c r="R94" s="371">
        <f>SUM(E94:Q94)</f>
        <v>25000</v>
      </c>
      <c r="S94" s="371"/>
      <c r="T94" s="371"/>
      <c r="U94" s="367"/>
    </row>
    <row r="95" spans="1:21" s="368" customFormat="1">
      <c r="A95" s="373" t="s">
        <v>582</v>
      </c>
      <c r="B95" s="370">
        <f>SUM(C95:D95)</f>
        <v>1713298</v>
      </c>
      <c r="C95" s="370">
        <f t="shared" ref="C95:R95" si="22">SUM(C82:C94)</f>
        <v>1713298</v>
      </c>
      <c r="D95" s="370">
        <f t="shared" si="22"/>
        <v>0</v>
      </c>
      <c r="E95" s="370">
        <f t="shared" si="22"/>
        <v>1713298</v>
      </c>
      <c r="F95" s="370">
        <f t="shared" si="22"/>
        <v>0</v>
      </c>
      <c r="G95" s="370">
        <f t="shared" si="22"/>
        <v>0</v>
      </c>
      <c r="H95" s="370">
        <f t="shared" si="22"/>
        <v>0</v>
      </c>
      <c r="I95" s="370">
        <f t="shared" si="22"/>
        <v>0</v>
      </c>
      <c r="J95" s="370">
        <f t="shared" si="22"/>
        <v>0</v>
      </c>
      <c r="K95" s="370">
        <f t="shared" si="22"/>
        <v>0</v>
      </c>
      <c r="L95" s="370">
        <f t="shared" si="22"/>
        <v>0</v>
      </c>
      <c r="M95" s="370">
        <f t="shared" si="22"/>
        <v>0</v>
      </c>
      <c r="N95" s="370">
        <f t="shared" si="22"/>
        <v>0</v>
      </c>
      <c r="O95" s="370">
        <f t="shared" si="22"/>
        <v>0</v>
      </c>
      <c r="P95" s="370">
        <f t="shared" si="22"/>
        <v>0</v>
      </c>
      <c r="Q95" s="370">
        <f t="shared" si="22"/>
        <v>0</v>
      </c>
      <c r="R95" s="370">
        <f t="shared" si="22"/>
        <v>1713298</v>
      </c>
      <c r="S95" s="374">
        <f>SUM(S83:S86,S88:S94)</f>
        <v>1521698</v>
      </c>
      <c r="T95" s="370">
        <f>SUM(T83:T86,T88:T94)</f>
        <v>0</v>
      </c>
      <c r="U95" s="367"/>
    </row>
    <row r="96" spans="1:21" s="368" customFormat="1">
      <c r="A96" s="373" t="s">
        <v>583</v>
      </c>
      <c r="B96" s="370">
        <f>SUM(C96:D96)</f>
        <v>25094141</v>
      </c>
      <c r="C96" s="370">
        <f t="shared" ref="C96:R96" si="23">SUM(C62+C69+C76+C80+C95)</f>
        <v>25094141</v>
      </c>
      <c r="D96" s="370">
        <f t="shared" si="23"/>
        <v>0</v>
      </c>
      <c r="E96" s="370">
        <f t="shared" si="23"/>
        <v>19155361</v>
      </c>
      <c r="F96" s="370">
        <f t="shared" si="23"/>
        <v>1800000</v>
      </c>
      <c r="G96" s="370">
        <f t="shared" si="23"/>
        <v>2700000</v>
      </c>
      <c r="H96" s="370">
        <f t="shared" si="23"/>
        <v>138780</v>
      </c>
      <c r="I96" s="370">
        <f t="shared" si="23"/>
        <v>1300000</v>
      </c>
      <c r="J96" s="370">
        <f t="shared" si="23"/>
        <v>0</v>
      </c>
      <c r="K96" s="370">
        <f t="shared" si="23"/>
        <v>0</v>
      </c>
      <c r="L96" s="370">
        <f t="shared" si="23"/>
        <v>0</v>
      </c>
      <c r="M96" s="370">
        <f t="shared" si="23"/>
        <v>0</v>
      </c>
      <c r="N96" s="370">
        <f t="shared" si="23"/>
        <v>0</v>
      </c>
      <c r="O96" s="370">
        <f t="shared" si="23"/>
        <v>0</v>
      </c>
      <c r="P96" s="370">
        <f t="shared" si="23"/>
        <v>0</v>
      </c>
      <c r="Q96" s="370">
        <f t="shared" si="23"/>
        <v>0</v>
      </c>
      <c r="R96" s="370">
        <f t="shared" si="23"/>
        <v>25094141</v>
      </c>
      <c r="S96" s="374">
        <f>SUM(+S62+S69+S80+S95)</f>
        <v>22071427</v>
      </c>
      <c r="T96" s="374">
        <f>SUM(T62+T69+T80+T95)</f>
        <v>0</v>
      </c>
      <c r="U96" s="367"/>
    </row>
    <row r="97" spans="1:21" s="368" customFormat="1">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585</v>
      </c>
      <c r="B98" s="370">
        <f>SUM(C98+D98)</f>
        <v>2200000</v>
      </c>
      <c r="C98" s="371">
        <v>2200000</v>
      </c>
      <c r="D98" s="371"/>
      <c r="E98" s="371">
        <f>C98</f>
        <v>2200000</v>
      </c>
      <c r="F98" s="371"/>
      <c r="G98" s="371"/>
      <c r="H98" s="371"/>
      <c r="I98" s="371"/>
      <c r="J98" s="371"/>
      <c r="K98" s="371"/>
      <c r="L98" s="371"/>
      <c r="M98" s="371"/>
      <c r="N98" s="371"/>
      <c r="O98" s="371"/>
      <c r="P98" s="371"/>
      <c r="Q98" s="371"/>
      <c r="R98" s="371">
        <f>SUM(E98:Q98)</f>
        <v>2200000</v>
      </c>
      <c r="S98" s="371">
        <f>R98</f>
        <v>2200000</v>
      </c>
      <c r="T98" s="371"/>
      <c r="U98" s="367"/>
    </row>
    <row r="99" spans="1:21" s="368" customFormat="1">
      <c r="A99" s="369" t="s">
        <v>2246</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586</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1374</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592</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587</v>
      </c>
      <c r="B103" s="370">
        <f>SUM(C103:D103)</f>
        <v>2200000</v>
      </c>
      <c r="C103" s="370">
        <f t="shared" ref="C103:T103" si="24">SUM(C98:C102)</f>
        <v>2200000</v>
      </c>
      <c r="D103" s="370">
        <f t="shared" si="24"/>
        <v>0</v>
      </c>
      <c r="E103" s="370">
        <f t="shared" si="24"/>
        <v>2200000</v>
      </c>
      <c r="F103" s="370">
        <f t="shared" si="24"/>
        <v>0</v>
      </c>
      <c r="G103" s="370">
        <f t="shared" si="24"/>
        <v>0</v>
      </c>
      <c r="H103" s="370">
        <f t="shared" si="24"/>
        <v>0</v>
      </c>
      <c r="I103" s="370">
        <f t="shared" si="24"/>
        <v>0</v>
      </c>
      <c r="J103" s="370">
        <f t="shared" si="24"/>
        <v>0</v>
      </c>
      <c r="K103" s="370">
        <f t="shared" si="24"/>
        <v>0</v>
      </c>
      <c r="L103" s="370">
        <f t="shared" si="24"/>
        <v>0</v>
      </c>
      <c r="M103" s="370">
        <f t="shared" si="24"/>
        <v>0</v>
      </c>
      <c r="N103" s="370">
        <f t="shared" si="24"/>
        <v>0</v>
      </c>
      <c r="O103" s="370">
        <f t="shared" si="24"/>
        <v>0</v>
      </c>
      <c r="P103" s="370">
        <f t="shared" si="24"/>
        <v>0</v>
      </c>
      <c r="Q103" s="370">
        <f t="shared" si="24"/>
        <v>0</v>
      </c>
      <c r="R103" s="370">
        <f t="shared" si="24"/>
        <v>2200000</v>
      </c>
      <c r="S103" s="374">
        <f t="shared" si="24"/>
        <v>2200000</v>
      </c>
      <c r="T103" s="374">
        <f t="shared" si="24"/>
        <v>0</v>
      </c>
      <c r="U103" s="367"/>
    </row>
    <row r="104" spans="1:21" s="368" customFormat="1">
      <c r="A104" s="373" t="s">
        <v>1282</v>
      </c>
      <c r="B104" s="374">
        <f>SUM(C104:D104)</f>
        <v>27294141</v>
      </c>
      <c r="C104" s="374">
        <f t="shared" ref="C104:R104" si="25">SUM(C96+C103)</f>
        <v>27294141</v>
      </c>
      <c r="D104" s="374">
        <f t="shared" si="25"/>
        <v>0</v>
      </c>
      <c r="E104" s="374">
        <f t="shared" si="25"/>
        <v>21355361</v>
      </c>
      <c r="F104" s="374">
        <f t="shared" si="25"/>
        <v>1800000</v>
      </c>
      <c r="G104" s="374">
        <f t="shared" si="25"/>
        <v>2700000</v>
      </c>
      <c r="H104" s="374">
        <f t="shared" si="25"/>
        <v>138780</v>
      </c>
      <c r="I104" s="374">
        <f t="shared" si="25"/>
        <v>1300000</v>
      </c>
      <c r="J104" s="374">
        <f t="shared" si="25"/>
        <v>0</v>
      </c>
      <c r="K104" s="374">
        <f t="shared" si="25"/>
        <v>0</v>
      </c>
      <c r="L104" s="374">
        <f t="shared" si="25"/>
        <v>0</v>
      </c>
      <c r="M104" s="374">
        <f t="shared" si="25"/>
        <v>0</v>
      </c>
      <c r="N104" s="374">
        <f t="shared" si="25"/>
        <v>0</v>
      </c>
      <c r="O104" s="374">
        <f t="shared" si="25"/>
        <v>0</v>
      </c>
      <c r="P104" s="374">
        <f t="shared" si="25"/>
        <v>0</v>
      </c>
      <c r="Q104" s="374">
        <f t="shared" si="25"/>
        <v>0</v>
      </c>
      <c r="R104" s="370">
        <f t="shared" si="25"/>
        <v>27294141</v>
      </c>
      <c r="S104" s="374">
        <f>S96+S103</f>
        <v>24271427</v>
      </c>
      <c r="T104" s="374">
        <f>T96+T103</f>
        <v>0</v>
      </c>
      <c r="U104" s="367"/>
    </row>
    <row r="105" spans="1:21" s="383" customFormat="1">
      <c r="A105" s="1310" t="s">
        <v>1451</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24271427</v>
      </c>
      <c r="T106" s="388">
        <f>T104+T105</f>
        <v>0</v>
      </c>
      <c r="U106" s="386"/>
    </row>
    <row r="107" spans="1:21" s="389" customFormat="1">
      <c r="A107" s="387" t="s">
        <v>1226</v>
      </c>
      <c r="B107" s="382"/>
      <c r="C107" s="382"/>
      <c r="D107" s="382"/>
      <c r="E107" s="653">
        <f>Application!AO645</f>
        <v>21355361</v>
      </c>
      <c r="F107" s="653">
        <f>Application!AO632</f>
        <v>1800000</v>
      </c>
      <c r="G107" s="653">
        <f>Application!AO633</f>
        <v>2700000</v>
      </c>
      <c r="H107" s="653">
        <f>Application!AO634</f>
        <v>138780</v>
      </c>
      <c r="I107" s="653">
        <f>Application!AO635</f>
        <v>1300000</v>
      </c>
      <c r="J107" s="653">
        <f>Application!AO636</f>
        <v>0</v>
      </c>
      <c r="K107" s="653">
        <f>Application!AO637</f>
        <v>0</v>
      </c>
      <c r="L107" s="653">
        <f>Application!AO638</f>
        <v>0</v>
      </c>
      <c r="M107" s="653">
        <f>Application!AO639</f>
        <v>0</v>
      </c>
      <c r="N107" s="653">
        <f>Application!AO640</f>
        <v>0</v>
      </c>
      <c r="O107" s="653">
        <f>Application!AO641</f>
        <v>0</v>
      </c>
      <c r="P107" s="653">
        <f>Application!AO642</f>
        <v>0</v>
      </c>
      <c r="Q107" s="653">
        <f>Application!AO643</f>
        <v>0</v>
      </c>
      <c r="R107" s="652"/>
      <c r="S107" s="383"/>
      <c r="T107" s="383"/>
      <c r="U107" s="469"/>
    </row>
    <row r="108" spans="1:21" s="389" customFormat="1">
      <c r="A108" s="387"/>
      <c r="B108" s="382"/>
      <c r="C108" s="382"/>
      <c r="D108" s="382"/>
      <c r="E108" s="652"/>
      <c r="F108" s="652"/>
      <c r="G108" s="652"/>
      <c r="H108" s="652"/>
      <c r="I108" s="652"/>
      <c r="J108" s="652"/>
      <c r="K108" s="652"/>
      <c r="L108" s="652"/>
      <c r="M108" s="652"/>
      <c r="N108" s="652"/>
      <c r="O108" s="652"/>
      <c r="P108" s="652"/>
      <c r="Q108" s="652"/>
      <c r="R108" s="652"/>
      <c r="S108" s="383"/>
      <c r="T108" s="383"/>
      <c r="U108" s="469"/>
    </row>
    <row r="109" spans="1:21" s="389" customFormat="1" ht="12.75">
      <c r="A109" s="759" t="s">
        <v>1346</v>
      </c>
      <c r="B109" s="382"/>
      <c r="C109" s="382"/>
      <c r="D109" s="382"/>
      <c r="E109" s="652"/>
      <c r="F109" s="652"/>
      <c r="G109" s="652"/>
      <c r="H109" s="652"/>
      <c r="I109" s="652"/>
      <c r="J109" s="652"/>
      <c r="K109" s="652"/>
      <c r="L109" s="652"/>
      <c r="M109" s="652"/>
      <c r="N109" s="652"/>
      <c r="O109" s="652"/>
      <c r="P109" s="652"/>
      <c r="Q109" s="652"/>
      <c r="R109" s="652"/>
      <c r="S109" s="383"/>
      <c r="T109" s="383"/>
      <c r="U109" s="469"/>
    </row>
    <row r="110" spans="1:21" s="389" customFormat="1" ht="12.75">
      <c r="A110" s="568" t="s">
        <v>1347</v>
      </c>
      <c r="B110" s="382"/>
      <c r="C110" s="382"/>
      <c r="D110" s="382"/>
      <c r="E110" s="383"/>
      <c r="F110" s="383"/>
      <c r="G110" s="383"/>
      <c r="H110" s="383"/>
      <c r="I110" s="383"/>
      <c r="J110" s="383"/>
      <c r="K110" s="383"/>
      <c r="L110" s="383"/>
      <c r="M110" s="383"/>
      <c r="N110" s="383"/>
      <c r="O110" s="383"/>
      <c r="P110" s="383"/>
      <c r="Q110" s="383"/>
      <c r="R110" s="383"/>
      <c r="S110" s="383"/>
      <c r="T110" s="383"/>
      <c r="U110" s="469"/>
    </row>
    <row r="111" spans="1:21" s="389" customFormat="1" ht="12.75">
      <c r="A111" s="568"/>
      <c r="B111" s="382"/>
      <c r="C111" s="382"/>
      <c r="D111" s="382"/>
      <c r="E111" s="383"/>
      <c r="F111" s="383"/>
      <c r="G111" s="383"/>
      <c r="H111" s="383"/>
      <c r="I111" s="383"/>
      <c r="J111" s="383"/>
      <c r="K111" s="383"/>
      <c r="L111" s="383"/>
      <c r="M111" s="383"/>
      <c r="N111" s="383"/>
      <c r="O111" s="383"/>
      <c r="P111" s="383"/>
      <c r="Q111" s="383"/>
      <c r="R111" s="383"/>
      <c r="S111" s="383"/>
      <c r="T111" s="383"/>
      <c r="U111" s="469"/>
    </row>
    <row r="112" spans="1:21" s="389" customFormat="1" ht="14.25">
      <c r="A112" s="472" t="s">
        <v>1449</v>
      </c>
      <c r="B112" s="382"/>
      <c r="C112" s="382"/>
      <c r="D112" s="382"/>
      <c r="E112" s="383"/>
      <c r="F112" s="383"/>
      <c r="G112" s="383"/>
      <c r="H112" s="383"/>
      <c r="I112" s="383"/>
      <c r="J112" s="383"/>
      <c r="K112" s="383"/>
      <c r="L112" s="383"/>
      <c r="M112" s="383"/>
      <c r="N112" s="383"/>
      <c r="O112" s="383"/>
      <c r="P112" s="383"/>
      <c r="Q112" s="383"/>
      <c r="R112" s="383"/>
      <c r="S112" s="383"/>
      <c r="T112" s="383"/>
      <c r="U112" s="469"/>
    </row>
    <row r="113" spans="1:21" s="368" customFormat="1" ht="12.75">
      <c r="A113" s="568" t="s">
        <v>1450</v>
      </c>
      <c r="B113" s="383"/>
      <c r="C113" s="383"/>
      <c r="D113" s="383"/>
      <c r="E113" s="383"/>
      <c r="F113" s="383"/>
      <c r="G113" s="383"/>
      <c r="H113" s="383"/>
      <c r="I113" s="383"/>
      <c r="J113" s="383"/>
      <c r="K113" s="383"/>
      <c r="L113" s="383"/>
      <c r="M113" s="383"/>
      <c r="N113" s="383"/>
      <c r="O113" s="383"/>
      <c r="P113" s="383"/>
      <c r="Q113" s="383"/>
      <c r="R113" s="383"/>
      <c r="S113" s="383"/>
      <c r="T113" s="383"/>
      <c r="U113" s="470"/>
    </row>
    <row r="114" spans="1:21" s="761" customFormat="1" ht="14.25">
      <c r="A114" s="472" t="s">
        <v>77</v>
      </c>
      <c r="B114" s="383"/>
      <c r="C114" s="383"/>
      <c r="D114" s="383"/>
      <c r="E114" s="383"/>
      <c r="F114" s="383"/>
      <c r="G114" s="383"/>
      <c r="H114" s="383"/>
      <c r="I114" s="383"/>
      <c r="J114" s="383"/>
      <c r="K114" s="383"/>
      <c r="L114" s="383"/>
      <c r="M114" s="383"/>
      <c r="N114" s="383"/>
      <c r="O114" s="383"/>
      <c r="P114" s="383"/>
      <c r="Q114" s="383"/>
      <c r="R114" s="383"/>
      <c r="S114" s="383"/>
      <c r="T114" s="383"/>
      <c r="U114" s="760"/>
    </row>
    <row r="115" spans="1:21" s="383" customFormat="1" ht="14.25">
      <c r="A115" s="472"/>
      <c r="U115" s="386"/>
    </row>
    <row r="116" spans="1:21" s="389" customFormat="1">
      <c r="A116" s="890" t="s">
        <v>1453</v>
      </c>
      <c r="B116" s="382"/>
      <c r="C116" s="382"/>
      <c r="D116" s="382"/>
      <c r="E116" s="383"/>
      <c r="F116" s="383"/>
      <c r="G116" s="383"/>
      <c r="H116" s="383"/>
      <c r="I116" s="383"/>
      <c r="J116" s="383"/>
      <c r="K116" s="383"/>
      <c r="L116" s="383"/>
      <c r="M116" s="383"/>
      <c r="N116" s="383"/>
      <c r="O116" s="383"/>
      <c r="P116" s="383"/>
      <c r="Q116" s="383"/>
      <c r="R116" s="383"/>
      <c r="S116" s="383"/>
      <c r="T116" s="383"/>
      <c r="U116" s="469"/>
    </row>
    <row r="117" spans="1:21" s="368" customFormat="1">
      <c r="A117" s="890" t="s">
        <v>2027</v>
      </c>
      <c r="B117" s="383"/>
      <c r="C117" s="383"/>
      <c r="D117" s="383"/>
      <c r="E117" s="383"/>
      <c r="F117" s="383"/>
      <c r="G117" s="383"/>
      <c r="H117" s="383"/>
      <c r="I117" s="383"/>
      <c r="J117" s="383"/>
      <c r="K117" s="383"/>
      <c r="L117" s="383"/>
      <c r="M117" s="383"/>
      <c r="N117" s="383"/>
      <c r="O117" s="383"/>
      <c r="P117" s="383"/>
      <c r="Q117" s="383"/>
      <c r="R117" s="383"/>
      <c r="S117" s="383"/>
      <c r="T117" s="383"/>
      <c r="U117" s="470"/>
    </row>
    <row r="118" spans="1:21" s="761" customFormat="1">
      <c r="A118" s="890" t="s">
        <v>1452</v>
      </c>
      <c r="B118" s="383"/>
      <c r="C118" s="383"/>
      <c r="D118" s="383"/>
      <c r="E118" s="383"/>
      <c r="F118" s="383"/>
      <c r="G118" s="383"/>
      <c r="H118" s="383"/>
      <c r="I118" s="383"/>
      <c r="J118" s="383"/>
      <c r="K118" s="383"/>
      <c r="L118" s="383"/>
      <c r="M118" s="383"/>
      <c r="N118" s="383"/>
      <c r="O118" s="383"/>
      <c r="P118" s="383"/>
      <c r="Q118" s="383"/>
      <c r="R118" s="383"/>
      <c r="S118" s="383"/>
      <c r="T118" s="383"/>
      <c r="U118" s="760"/>
    </row>
    <row r="119" spans="1:21" s="761" customFormat="1">
      <c r="A119" s="890" t="s">
        <v>1454</v>
      </c>
      <c r="B119" s="383"/>
      <c r="C119" s="383"/>
      <c r="D119" s="383"/>
      <c r="E119" s="383"/>
      <c r="F119" s="383"/>
      <c r="G119" s="383"/>
      <c r="H119" s="383"/>
      <c r="I119" s="383"/>
      <c r="J119" s="383"/>
      <c r="K119" s="383"/>
      <c r="L119" s="383"/>
      <c r="M119" s="383"/>
      <c r="N119" s="383"/>
      <c r="O119" s="383"/>
      <c r="P119" s="383"/>
      <c r="Q119" s="383"/>
      <c r="R119" s="383"/>
      <c r="S119" s="383"/>
      <c r="T119" s="383"/>
      <c r="U119" s="760"/>
    </row>
    <row r="120" spans="1:21" s="383" customFormat="1" ht="14.25">
      <c r="A120" s="472"/>
      <c r="U120" s="386"/>
    </row>
    <row r="121" spans="1:21" s="879" customFormat="1" ht="15.75">
      <c r="A121" s="878" t="s">
        <v>1443</v>
      </c>
      <c r="U121" s="880"/>
    </row>
    <row r="122" spans="1:21" s="383" customFormat="1">
      <c r="A122" s="384" t="s">
        <v>1427</v>
      </c>
      <c r="D122" s="2245" t="s">
        <v>1428</v>
      </c>
      <c r="E122" s="2245"/>
      <c r="F122" s="2245"/>
      <c r="U122" s="386"/>
    </row>
    <row r="123" spans="1:21" s="383" customFormat="1">
      <c r="A123" s="383" t="s">
        <v>1429</v>
      </c>
      <c r="B123" s="868"/>
      <c r="D123" s="2248" t="s">
        <v>1456</v>
      </c>
      <c r="E123" s="2249"/>
      <c r="F123" s="2249"/>
      <c r="G123" s="2249"/>
      <c r="H123" s="2249"/>
      <c r="I123" s="2249"/>
      <c r="J123" s="2249"/>
      <c r="K123" s="2249"/>
      <c r="L123" s="2249"/>
      <c r="M123" s="2249"/>
      <c r="N123" s="2249"/>
      <c r="O123" s="2249"/>
      <c r="P123" s="2249"/>
      <c r="Q123" s="2249"/>
      <c r="R123" s="2249"/>
      <c r="S123" s="2249"/>
      <c r="U123" s="386"/>
    </row>
    <row r="124" spans="1:21" s="383" customFormat="1" ht="12.75">
      <c r="A124" s="871" t="s">
        <v>1430</v>
      </c>
      <c r="B124" s="868"/>
      <c r="C124" s="871"/>
      <c r="D124" s="2249"/>
      <c r="E124" s="2249"/>
      <c r="F124" s="2249"/>
      <c r="G124" s="2249"/>
      <c r="H124" s="2249"/>
      <c r="I124" s="2249"/>
      <c r="J124" s="2249"/>
      <c r="K124" s="2249"/>
      <c r="L124" s="2249"/>
      <c r="M124" s="2249"/>
      <c r="N124" s="2249"/>
      <c r="O124" s="2249"/>
      <c r="P124" s="2249"/>
      <c r="Q124" s="2249"/>
      <c r="R124" s="2249"/>
      <c r="S124" s="2249"/>
      <c r="U124" s="386"/>
    </row>
    <row r="125" spans="1:21" s="383" customFormat="1" ht="12.75">
      <c r="A125" s="871" t="s">
        <v>1431</v>
      </c>
      <c r="B125" s="868"/>
      <c r="C125" s="871"/>
      <c r="D125" s="2249"/>
      <c r="E125" s="2249"/>
      <c r="F125" s="2249"/>
      <c r="G125" s="2249"/>
      <c r="H125" s="2249"/>
      <c r="I125" s="2249"/>
      <c r="J125" s="2249"/>
      <c r="K125" s="2249"/>
      <c r="L125" s="2249"/>
      <c r="M125" s="2249"/>
      <c r="N125" s="2249"/>
      <c r="O125" s="2249"/>
      <c r="P125" s="2249"/>
      <c r="Q125" s="2249"/>
      <c r="R125" s="2249"/>
      <c r="S125" s="2249"/>
      <c r="U125" s="386"/>
    </row>
    <row r="126" spans="1:21" s="383" customFormat="1" ht="12.75">
      <c r="A126" s="871" t="s">
        <v>1432</v>
      </c>
      <c r="B126" s="868"/>
      <c r="C126" s="871"/>
      <c r="D126" s="870"/>
      <c r="E126" s="870"/>
      <c r="F126" s="870"/>
      <c r="G126" s="870"/>
      <c r="H126" s="870"/>
      <c r="I126" s="870"/>
      <c r="J126" s="870"/>
      <c r="K126" s="870"/>
      <c r="L126" s="870"/>
      <c r="M126" s="870"/>
      <c r="N126" s="870"/>
      <c r="O126" s="871"/>
      <c r="P126" s="871"/>
      <c r="Q126" s="871"/>
      <c r="R126" s="871"/>
      <c r="S126" s="871"/>
      <c r="U126" s="386"/>
    </row>
    <row r="127" spans="1:21" s="383" customFormat="1" ht="12.75">
      <c r="A127" s="871" t="s">
        <v>1433</v>
      </c>
      <c r="B127" s="868"/>
      <c r="C127" s="871"/>
      <c r="D127" s="870"/>
      <c r="E127" s="870"/>
      <c r="F127" s="870"/>
      <c r="G127" s="870"/>
      <c r="H127" s="870"/>
      <c r="I127" s="870"/>
      <c r="J127" s="870"/>
      <c r="K127" s="870"/>
      <c r="L127" s="870"/>
      <c r="M127" s="870"/>
      <c r="N127" s="870"/>
      <c r="O127" s="871"/>
      <c r="P127" s="871"/>
      <c r="Q127" s="871"/>
      <c r="R127" s="871"/>
      <c r="S127" s="871"/>
      <c r="U127" s="386"/>
    </row>
    <row r="128" spans="1:21" s="383" customFormat="1" ht="12.75">
      <c r="A128" s="871" t="s">
        <v>1434</v>
      </c>
      <c r="B128" s="868"/>
      <c r="C128" s="871"/>
      <c r="D128" s="2242"/>
      <c r="E128" s="2242"/>
      <c r="F128" s="2242"/>
      <c r="G128" s="2242"/>
      <c r="H128" s="2242"/>
      <c r="I128" s="871"/>
      <c r="J128" s="2243"/>
      <c r="K128" s="2243"/>
      <c r="L128" s="871"/>
      <c r="M128" s="871"/>
      <c r="N128" s="871"/>
      <c r="O128" s="871"/>
      <c r="P128" s="871"/>
      <c r="Q128" s="871"/>
      <c r="R128" s="871"/>
      <c r="S128" s="871"/>
      <c r="U128" s="386"/>
    </row>
    <row r="129" spans="1:21" s="383" customFormat="1" ht="12.75">
      <c r="A129" s="871" t="s">
        <v>548</v>
      </c>
      <c r="B129" s="868"/>
      <c r="C129" s="871"/>
      <c r="D129" s="2244" t="s">
        <v>1435</v>
      </c>
      <c r="E129" s="2244"/>
      <c r="F129" s="2244"/>
      <c r="G129" s="2244"/>
      <c r="H129" s="2244"/>
      <c r="I129" s="871"/>
      <c r="J129" s="871" t="s">
        <v>1436</v>
      </c>
      <c r="K129" s="871"/>
      <c r="L129" s="871"/>
      <c r="M129" s="871"/>
      <c r="N129" s="871"/>
      <c r="O129" s="871"/>
      <c r="P129" s="871"/>
      <c r="Q129" s="871"/>
      <c r="R129" s="871"/>
      <c r="S129" s="871"/>
      <c r="U129" s="386"/>
    </row>
    <row r="130" spans="1:21" s="383" customFormat="1" ht="12.75">
      <c r="A130" s="871"/>
      <c r="B130" s="866"/>
      <c r="C130" s="871"/>
      <c r="D130" s="871"/>
      <c r="E130" s="871"/>
      <c r="F130" s="871"/>
      <c r="G130" s="871"/>
      <c r="H130" s="871"/>
      <c r="I130" s="871"/>
      <c r="J130" s="871"/>
      <c r="K130" s="871"/>
      <c r="L130" s="871"/>
      <c r="M130" s="871"/>
      <c r="N130" s="871"/>
      <c r="O130" s="871"/>
      <c r="P130" s="871"/>
      <c r="Q130" s="871"/>
      <c r="R130" s="871"/>
      <c r="S130" s="871"/>
      <c r="U130" s="386"/>
    </row>
    <row r="131" spans="1:21" s="383" customFormat="1" ht="12.75">
      <c r="A131" s="872" t="s">
        <v>1437</v>
      </c>
      <c r="B131" s="869">
        <f>SUM(B123:B129)</f>
        <v>0</v>
      </c>
      <c r="C131" s="871"/>
      <c r="D131" s="1867"/>
      <c r="E131" s="1867"/>
      <c r="F131" s="1867"/>
      <c r="G131" s="1867"/>
      <c r="H131" s="1867"/>
      <c r="I131" s="871"/>
      <c r="J131" s="1867"/>
      <c r="K131" s="1867"/>
      <c r="L131" s="1867"/>
      <c r="M131" s="1867"/>
      <c r="N131" s="871"/>
      <c r="O131" s="871"/>
      <c r="P131" s="871"/>
      <c r="Q131" s="871"/>
      <c r="R131" s="871"/>
      <c r="S131" s="871"/>
      <c r="U131" s="386"/>
    </row>
    <row r="132" spans="1:21" s="383" customFormat="1" ht="12.75">
      <c r="A132" s="873"/>
      <c r="B132" s="871"/>
      <c r="C132" s="871"/>
      <c r="D132" s="2250" t="s">
        <v>1438</v>
      </c>
      <c r="E132" s="2250"/>
      <c r="F132" s="2250"/>
      <c r="G132" s="2250"/>
      <c r="H132" s="2250"/>
      <c r="I132" s="871"/>
      <c r="J132" s="2250" t="s">
        <v>1439</v>
      </c>
      <c r="K132" s="2250"/>
      <c r="L132" s="2250"/>
      <c r="M132" s="2250"/>
      <c r="N132" s="871"/>
      <c r="O132" s="871"/>
      <c r="P132" s="871"/>
      <c r="Q132" s="871"/>
      <c r="R132" s="871"/>
      <c r="S132" s="871"/>
      <c r="U132" s="386"/>
    </row>
    <row r="133" spans="1:21" s="383" customFormat="1" ht="12.75">
      <c r="A133" s="873"/>
      <c r="B133" s="871"/>
      <c r="C133" s="871"/>
      <c r="D133" s="871"/>
      <c r="E133" s="871"/>
      <c r="F133" s="871"/>
      <c r="G133" s="871"/>
      <c r="H133" s="871"/>
      <c r="I133" s="871"/>
      <c r="J133" s="871"/>
      <c r="K133" s="871"/>
      <c r="L133" s="871"/>
      <c r="M133" s="871"/>
      <c r="N133" s="871"/>
      <c r="O133" s="871"/>
      <c r="P133" s="871"/>
      <c r="Q133" s="871"/>
      <c r="R133" s="871"/>
      <c r="S133" s="871"/>
      <c r="U133" s="386"/>
    </row>
    <row r="134" spans="1:21" s="383" customFormat="1" ht="12.75">
      <c r="A134" s="874" t="s">
        <v>1440</v>
      </c>
      <c r="B134" s="871"/>
      <c r="C134" s="871"/>
      <c r="D134" s="871"/>
      <c r="E134" s="871"/>
      <c r="F134" s="871"/>
      <c r="G134" s="871"/>
      <c r="H134" s="871"/>
      <c r="I134" s="871"/>
      <c r="J134" s="871"/>
      <c r="K134" s="871"/>
      <c r="L134" s="871"/>
      <c r="M134" s="871"/>
      <c r="N134" s="871"/>
      <c r="O134" s="871"/>
      <c r="P134" s="871"/>
      <c r="Q134" s="871"/>
      <c r="R134" s="871"/>
      <c r="S134" s="871"/>
      <c r="U134" s="386"/>
    </row>
    <row r="135" spans="1:21" s="383" customFormat="1" ht="12.75">
      <c r="A135" s="568" t="s">
        <v>1441</v>
      </c>
      <c r="B135" s="871"/>
      <c r="C135" s="871"/>
      <c r="D135" s="871"/>
      <c r="E135" s="871"/>
      <c r="F135" s="871"/>
      <c r="G135" s="871"/>
      <c r="H135" s="871"/>
      <c r="I135" s="871"/>
      <c r="J135" s="871"/>
      <c r="K135" s="871"/>
      <c r="L135" s="871"/>
      <c r="M135" s="871"/>
      <c r="N135" s="875"/>
      <c r="O135" s="871"/>
      <c r="P135" s="871"/>
      <c r="Q135" s="871"/>
      <c r="R135" s="871"/>
      <c r="S135" s="871"/>
      <c r="U135" s="386"/>
    </row>
    <row r="136" spans="1:21" ht="12.75">
      <c r="A136" s="873"/>
      <c r="B136" s="871"/>
      <c r="C136" s="871"/>
      <c r="D136" s="871"/>
      <c r="E136" s="871"/>
      <c r="F136" s="871"/>
      <c r="G136" s="871"/>
      <c r="H136" s="871"/>
      <c r="I136" s="871"/>
      <c r="J136" s="871"/>
      <c r="K136" s="871"/>
      <c r="L136" s="871"/>
      <c r="M136" s="871"/>
      <c r="N136" s="871"/>
      <c r="O136" s="871"/>
      <c r="P136" s="871"/>
      <c r="Q136" s="871"/>
      <c r="R136" s="871"/>
      <c r="S136" s="871"/>
    </row>
    <row r="137" spans="1:21" ht="12" customHeight="1">
      <c r="A137" s="873"/>
      <c r="B137" s="871"/>
      <c r="C137" s="871"/>
      <c r="D137" s="871"/>
      <c r="E137" s="871"/>
      <c r="F137" s="871"/>
      <c r="G137" s="871"/>
      <c r="H137" s="871"/>
      <c r="I137" s="871"/>
      <c r="J137" s="871"/>
      <c r="K137" s="871"/>
      <c r="L137" s="871"/>
      <c r="M137" s="871"/>
      <c r="N137" s="871"/>
      <c r="O137" s="871"/>
      <c r="P137" s="871"/>
      <c r="Q137" s="871"/>
      <c r="R137" s="871"/>
      <c r="S137" s="871"/>
    </row>
    <row r="138" spans="1:21" ht="12" customHeight="1">
      <c r="A138" s="2251"/>
      <c r="B138" s="2252"/>
      <c r="C138" s="2252"/>
      <c r="D138" s="564"/>
      <c r="E138" s="2243"/>
      <c r="F138" s="2243"/>
      <c r="G138" s="871"/>
      <c r="H138" s="871"/>
      <c r="I138" s="871"/>
      <c r="J138" s="871"/>
      <c r="K138" s="871"/>
      <c r="L138" s="871"/>
      <c r="M138" s="871"/>
      <c r="N138" s="871"/>
      <c r="O138" s="871"/>
      <c r="P138" s="871"/>
      <c r="Q138" s="871"/>
      <c r="R138" s="871"/>
      <c r="S138" s="871"/>
    </row>
    <row r="139" spans="1:21" ht="12" customHeight="1">
      <c r="A139" s="2246" t="s">
        <v>1442</v>
      </c>
      <c r="B139" s="2247"/>
      <c r="C139" s="2247"/>
      <c r="D139" s="564"/>
      <c r="E139" s="871" t="s">
        <v>1436</v>
      </c>
      <c r="F139" s="871"/>
      <c r="G139" s="871"/>
      <c r="H139" s="871"/>
      <c r="I139" s="871"/>
      <c r="J139" s="871"/>
      <c r="K139" s="871"/>
      <c r="L139" s="871"/>
      <c r="M139" s="871"/>
      <c r="N139" s="871"/>
      <c r="O139" s="871"/>
      <c r="P139" s="871"/>
      <c r="Q139" s="871"/>
      <c r="R139" s="871"/>
      <c r="S139" s="871"/>
    </row>
    <row r="140" spans="1:21" s="471" customFormat="1" ht="12" customHeight="1">
      <c r="A140" s="867"/>
      <c r="B140" s="871"/>
      <c r="C140" s="871"/>
      <c r="D140" s="564"/>
      <c r="E140" s="871"/>
      <c r="F140" s="871"/>
      <c r="G140" s="871"/>
      <c r="H140" s="871"/>
      <c r="I140" s="871"/>
      <c r="J140" s="871"/>
      <c r="K140" s="871"/>
      <c r="L140" s="871"/>
      <c r="M140" s="871"/>
      <c r="N140" s="871"/>
      <c r="O140" s="871"/>
      <c r="P140" s="871"/>
      <c r="Q140" s="871"/>
      <c r="R140" s="871"/>
      <c r="S140" s="871"/>
      <c r="T140" s="907"/>
      <c r="U140" s="762"/>
    </row>
    <row r="141" spans="1:21" s="876" customFormat="1" ht="12" customHeight="1">
      <c r="B141" s="564"/>
      <c r="C141" s="564"/>
      <c r="D141" s="564"/>
      <c r="E141" s="564"/>
      <c r="F141" s="564"/>
      <c r="G141" s="871"/>
      <c r="H141" s="871"/>
      <c r="I141" s="871"/>
      <c r="J141" s="871"/>
      <c r="K141" s="871"/>
      <c r="L141" s="871"/>
      <c r="M141" s="871"/>
      <c r="N141" s="871"/>
      <c r="O141" s="871"/>
      <c r="P141" s="871"/>
      <c r="Q141" s="871"/>
      <c r="R141" s="871"/>
      <c r="S141" s="871"/>
      <c r="T141" s="907"/>
      <c r="U141" s="877"/>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5" priority="233" stopIfTrue="1">
      <formula>T9&gt;C9</formula>
    </cfRule>
  </conditionalFormatting>
  <conditionalFormatting sqref="T10 T46:T47">
    <cfRule type="expression" dxfId="134" priority="232" stopIfTrue="1">
      <formula>(T10+S10)&gt;C10</formula>
    </cfRule>
  </conditionalFormatting>
  <conditionalFormatting sqref="R8">
    <cfRule type="cellIs" dxfId="133" priority="212" stopIfTrue="1" operator="notEqual">
      <formula>$B8</formula>
    </cfRule>
    <cfRule type="cellIs" priority="215" stopIfTrue="1" operator="notEqual">
      <formula>$B8</formula>
    </cfRule>
  </conditionalFormatting>
  <conditionalFormatting sqref="R4:R7 R45:R52 R56:R60 R82:R94 R98:R102">
    <cfRule type="cellIs" dxfId="132" priority="214" stopIfTrue="1" operator="notEqual">
      <formula>$B4</formula>
    </cfRule>
  </conditionalFormatting>
  <conditionalFormatting sqref="R9:R10">
    <cfRule type="cellIs" dxfId="131" priority="213" stopIfTrue="1" operator="notEqual">
      <formula>$B9</formula>
    </cfRule>
  </conditionalFormatting>
  <conditionalFormatting sqref="R11:R12">
    <cfRule type="cellIs" dxfId="130" priority="210" stopIfTrue="1" operator="notEqual">
      <formula>$B11</formula>
    </cfRule>
    <cfRule type="cellIs" priority="211" stopIfTrue="1" operator="notEqual">
      <formula>$B11</formula>
    </cfRule>
  </conditionalFormatting>
  <conditionalFormatting sqref="R13:R15">
    <cfRule type="cellIs" dxfId="129" priority="209" stopIfTrue="1" operator="notEqual">
      <formula>$B13</formula>
    </cfRule>
  </conditionalFormatting>
  <conditionalFormatting sqref="R26">
    <cfRule type="cellIs" dxfId="128" priority="207" stopIfTrue="1" operator="notEqual">
      <formula>$B26</formula>
    </cfRule>
    <cfRule type="cellIs" priority="208" stopIfTrue="1" operator="notEqual">
      <formula>$B26</formula>
    </cfRule>
  </conditionalFormatting>
  <conditionalFormatting sqref="R17:R25">
    <cfRule type="cellIs" dxfId="127" priority="206" stopIfTrue="1" operator="notEqual">
      <formula>$B17</formula>
    </cfRule>
  </conditionalFormatting>
  <conditionalFormatting sqref="R27">
    <cfRule type="cellIs" dxfId="126" priority="205" stopIfTrue="1" operator="notEqual">
      <formula>$B27</formula>
    </cfRule>
  </conditionalFormatting>
  <conditionalFormatting sqref="R38">
    <cfRule type="cellIs" dxfId="125" priority="203" stopIfTrue="1" operator="notEqual">
      <formula>$B38</formula>
    </cfRule>
    <cfRule type="cellIs" priority="204" stopIfTrue="1" operator="notEqual">
      <formula>$B38</formula>
    </cfRule>
  </conditionalFormatting>
  <conditionalFormatting sqref="R29:R37">
    <cfRule type="cellIs" dxfId="124" priority="202" stopIfTrue="1" operator="notEqual">
      <formula>$B29</formula>
    </cfRule>
  </conditionalFormatting>
  <conditionalFormatting sqref="R42">
    <cfRule type="cellIs" dxfId="123" priority="200" stopIfTrue="1" operator="notEqual">
      <formula>$B42</formula>
    </cfRule>
    <cfRule type="cellIs" priority="201" stopIfTrue="1" operator="notEqual">
      <formula>$B42</formula>
    </cfRule>
  </conditionalFormatting>
  <conditionalFormatting sqref="R40:R41">
    <cfRule type="cellIs" dxfId="122" priority="199" stopIfTrue="1" operator="notEqual">
      <formula>$B40</formula>
    </cfRule>
  </conditionalFormatting>
  <conditionalFormatting sqref="R43">
    <cfRule type="cellIs" dxfId="121" priority="198" stopIfTrue="1" operator="notEqual">
      <formula>$B43</formula>
    </cfRule>
  </conditionalFormatting>
  <conditionalFormatting sqref="R53">
    <cfRule type="cellIs" dxfId="120" priority="195" stopIfTrue="1" operator="notEqual">
      <formula>$B53</formula>
    </cfRule>
    <cfRule type="cellIs" priority="196" stopIfTrue="1" operator="notEqual">
      <formula>$B53</formula>
    </cfRule>
  </conditionalFormatting>
  <conditionalFormatting sqref="R55">
    <cfRule type="cellIs" dxfId="119" priority="193" stopIfTrue="1" operator="notEqual">
      <formula>$B55</formula>
    </cfRule>
  </conditionalFormatting>
  <conditionalFormatting sqref="R61:R62">
    <cfRule type="cellIs" dxfId="118" priority="191" stopIfTrue="1" operator="notEqual">
      <formula>$B61</formula>
    </cfRule>
    <cfRule type="cellIs" priority="192" stopIfTrue="1" operator="notEqual">
      <formula>$B61</formula>
    </cfRule>
  </conditionalFormatting>
  <conditionalFormatting sqref="R64:R68">
    <cfRule type="cellIs" dxfId="117" priority="190" stopIfTrue="1" operator="notEqual">
      <formula>$B64</formula>
    </cfRule>
  </conditionalFormatting>
  <conditionalFormatting sqref="R69">
    <cfRule type="cellIs" dxfId="116" priority="188" stopIfTrue="1" operator="notEqual">
      <formula>$B69</formula>
    </cfRule>
    <cfRule type="cellIs" priority="189" stopIfTrue="1" operator="notEqual">
      <formula>$B69</formula>
    </cfRule>
  </conditionalFormatting>
  <conditionalFormatting sqref="R71:R75">
    <cfRule type="cellIs" dxfId="115" priority="187" stopIfTrue="1" operator="notEqual">
      <formula>$B71</formula>
    </cfRule>
  </conditionalFormatting>
  <conditionalFormatting sqref="R76">
    <cfRule type="cellIs" dxfId="114" priority="185" stopIfTrue="1" operator="notEqual">
      <formula>$B76</formula>
    </cfRule>
    <cfRule type="cellIs" priority="186" stopIfTrue="1" operator="notEqual">
      <formula>$B76</formula>
    </cfRule>
  </conditionalFormatting>
  <conditionalFormatting sqref="R78:R79">
    <cfRule type="cellIs" dxfId="113" priority="184" stopIfTrue="1" operator="notEqual">
      <formula>$B78</formula>
    </cfRule>
  </conditionalFormatting>
  <conditionalFormatting sqref="R95:R96">
    <cfRule type="cellIs" dxfId="112" priority="181" stopIfTrue="1" operator="notEqual">
      <formula>$B95</formula>
    </cfRule>
    <cfRule type="cellIs" priority="182" stopIfTrue="1" operator="notEqual">
      <formula>$B95</formula>
    </cfRule>
  </conditionalFormatting>
  <conditionalFormatting sqref="R103:R104">
    <cfRule type="cellIs" dxfId="111" priority="178" stopIfTrue="1" operator="notEqual">
      <formula>$B103</formula>
    </cfRule>
    <cfRule type="cellIs" priority="179" stopIfTrue="1" operator="notEqual">
      <formula>$B103</formula>
    </cfRule>
  </conditionalFormatting>
  <conditionalFormatting sqref="E104:Q104">
    <cfRule type="cellIs" dxfId="110" priority="177" stopIfTrue="1" operator="notEqual">
      <formula>E$107</formula>
    </cfRule>
  </conditionalFormatting>
  <conditionalFormatting sqref="S43 S46:S47">
    <cfRule type="expression" dxfId="109" priority="70" stopIfTrue="1">
      <formula>(S43+T43)&gt;C43</formula>
    </cfRule>
  </conditionalFormatting>
  <conditionalFormatting sqref="S10">
    <cfRule type="expression" dxfId="108" priority="113" stopIfTrue="1">
      <formula>(S10+T10)&gt;C10</formula>
    </cfRule>
  </conditionalFormatting>
  <conditionalFormatting sqref="S30">
    <cfRule type="expression" dxfId="107" priority="89" stopIfTrue="1">
      <formula>(S30+T30)&gt;C30</formula>
    </cfRule>
  </conditionalFormatting>
  <conditionalFormatting sqref="S33">
    <cfRule type="expression" dxfId="106" priority="86" stopIfTrue="1">
      <formula>(S33+T33)&gt;C33</formula>
    </cfRule>
  </conditionalFormatting>
  <conditionalFormatting sqref="S31">
    <cfRule type="expression" dxfId="105" priority="88" stopIfTrue="1">
      <formula>(S31+T31)&gt;C31</formula>
    </cfRule>
  </conditionalFormatting>
  <conditionalFormatting sqref="S29">
    <cfRule type="expression" dxfId="104" priority="90" stopIfTrue="1">
      <formula>(S29+T29)&gt;C29</formula>
    </cfRule>
  </conditionalFormatting>
  <conditionalFormatting sqref="S23:S24">
    <cfRule type="expression" dxfId="103" priority="94" stopIfTrue="1">
      <formula>(S23+T23)&gt;C23</formula>
    </cfRule>
  </conditionalFormatting>
  <conditionalFormatting sqref="T13">
    <cfRule type="expression" dxfId="102" priority="112" stopIfTrue="1">
      <formula>(T13+S13)&gt;C13</formula>
    </cfRule>
  </conditionalFormatting>
  <conditionalFormatting sqref="T14">
    <cfRule type="expression" dxfId="101" priority="111" stopIfTrue="1">
      <formula>(T14+S14)&gt;C14</formula>
    </cfRule>
  </conditionalFormatting>
  <conditionalFormatting sqref="T17">
    <cfRule type="expression" dxfId="100" priority="110" stopIfTrue="1">
      <formula>(T17+S17)&gt;C17</formula>
    </cfRule>
  </conditionalFormatting>
  <conditionalFormatting sqref="T18">
    <cfRule type="expression" dxfId="99" priority="109" stopIfTrue="1">
      <formula>(T18+S18)&gt;C18</formula>
    </cfRule>
  </conditionalFormatting>
  <conditionalFormatting sqref="T19">
    <cfRule type="expression" dxfId="98" priority="108" stopIfTrue="1">
      <formula>(T19+S19)&gt;C19</formula>
    </cfRule>
  </conditionalFormatting>
  <conditionalFormatting sqref="T20">
    <cfRule type="expression" dxfId="97" priority="107" stopIfTrue="1">
      <formula>(T20+S20)&gt;C20</formula>
    </cfRule>
  </conditionalFormatting>
  <conditionalFormatting sqref="T21">
    <cfRule type="expression" dxfId="96" priority="106" stopIfTrue="1">
      <formula>(T21+S21)&gt;C21</formula>
    </cfRule>
  </conditionalFormatting>
  <conditionalFormatting sqref="T22">
    <cfRule type="expression" dxfId="95" priority="105" stopIfTrue="1">
      <formula>(T22+S22)&gt;C22</formula>
    </cfRule>
  </conditionalFormatting>
  <conditionalFormatting sqref="T23:T24">
    <cfRule type="expression" dxfId="94" priority="104" stopIfTrue="1">
      <formula>(T23+S23)&gt;C23</formula>
    </cfRule>
  </conditionalFormatting>
  <conditionalFormatting sqref="T25">
    <cfRule type="expression" dxfId="93" priority="103" stopIfTrue="1">
      <formula>(T25+S25)&gt;C25</formula>
    </cfRule>
  </conditionalFormatting>
  <conditionalFormatting sqref="S13">
    <cfRule type="expression" dxfId="92" priority="102" stopIfTrue="1">
      <formula>(S13+T13)&gt;C13</formula>
    </cfRule>
  </conditionalFormatting>
  <conditionalFormatting sqref="S14">
    <cfRule type="expression" dxfId="91" priority="101" stopIfTrue="1">
      <formula>(S14+T14)&gt;C14</formula>
    </cfRule>
  </conditionalFormatting>
  <conditionalFormatting sqref="S17">
    <cfRule type="expression" dxfId="90" priority="100" stopIfTrue="1">
      <formula>(S17+T17)&gt;C17</formula>
    </cfRule>
  </conditionalFormatting>
  <conditionalFormatting sqref="S18">
    <cfRule type="expression" dxfId="89" priority="99" stopIfTrue="1">
      <formula>(S18+T18)&gt;C18</formula>
    </cfRule>
  </conditionalFormatting>
  <conditionalFormatting sqref="S19">
    <cfRule type="expression" dxfId="88" priority="98" stopIfTrue="1">
      <formula>(S19+T19)&gt;C19</formula>
    </cfRule>
  </conditionalFormatting>
  <conditionalFormatting sqref="S20">
    <cfRule type="expression" dxfId="87" priority="97" stopIfTrue="1">
      <formula>(S20+T20)&gt;C20</formula>
    </cfRule>
  </conditionalFormatting>
  <conditionalFormatting sqref="S21">
    <cfRule type="expression" dxfId="86" priority="96" stopIfTrue="1">
      <formula>(S21+T21)&gt;C21</formula>
    </cfRule>
  </conditionalFormatting>
  <conditionalFormatting sqref="S22">
    <cfRule type="expression" dxfId="85" priority="95" stopIfTrue="1">
      <formula>(S22+T22)&gt;C22</formula>
    </cfRule>
  </conditionalFormatting>
  <conditionalFormatting sqref="S25">
    <cfRule type="expression" dxfId="84" priority="93" stopIfTrue="1">
      <formula>(S25+T25)&gt;C25</formula>
    </cfRule>
  </conditionalFormatting>
  <conditionalFormatting sqref="S27">
    <cfRule type="expression" dxfId="83" priority="92" stopIfTrue="1">
      <formula>(S27+T27)&gt;C27</formula>
    </cfRule>
  </conditionalFormatting>
  <conditionalFormatting sqref="T27">
    <cfRule type="expression" dxfId="82" priority="91" stopIfTrue="1">
      <formula>(T27+S27)&gt;C27</formula>
    </cfRule>
  </conditionalFormatting>
  <conditionalFormatting sqref="S32">
    <cfRule type="expression" dxfId="81" priority="87" stopIfTrue="1">
      <formula>(S32+T32)&gt;C32</formula>
    </cfRule>
  </conditionalFormatting>
  <conditionalFormatting sqref="S34">
    <cfRule type="expression" dxfId="80" priority="85" stopIfTrue="1">
      <formula>(S34+T34)&gt;C34</formula>
    </cfRule>
  </conditionalFormatting>
  <conditionalFormatting sqref="S35:S36">
    <cfRule type="expression" dxfId="79" priority="84" stopIfTrue="1">
      <formula>(S35+T35)&gt;C35</formula>
    </cfRule>
  </conditionalFormatting>
  <conditionalFormatting sqref="S37">
    <cfRule type="expression" dxfId="78" priority="83" stopIfTrue="1">
      <formula>(S37+T37)&gt;C37</formula>
    </cfRule>
  </conditionalFormatting>
  <conditionalFormatting sqref="T29">
    <cfRule type="expression" dxfId="77" priority="82" stopIfTrue="1">
      <formula>(T29+S29)&gt;C29</formula>
    </cfRule>
  </conditionalFormatting>
  <conditionalFormatting sqref="T30">
    <cfRule type="expression" dxfId="76" priority="81" stopIfTrue="1">
      <formula>(T30+S30)&gt;C30</formula>
    </cfRule>
  </conditionalFormatting>
  <conditionalFormatting sqref="T31">
    <cfRule type="expression" dxfId="75" priority="80" stopIfTrue="1">
      <formula>(T31+S31)&gt;C31</formula>
    </cfRule>
  </conditionalFormatting>
  <conditionalFormatting sqref="T32">
    <cfRule type="expression" dxfId="74" priority="79" stopIfTrue="1">
      <formula>(T32+S32)&gt;C32</formula>
    </cfRule>
  </conditionalFormatting>
  <conditionalFormatting sqref="T33">
    <cfRule type="expression" dxfId="73" priority="78" stopIfTrue="1">
      <formula>(T33+S33)&gt;C33</formula>
    </cfRule>
  </conditionalFormatting>
  <conditionalFormatting sqref="T34">
    <cfRule type="expression" dxfId="72" priority="77" stopIfTrue="1">
      <formula>(T34+S34)&gt;C34</formula>
    </cfRule>
  </conditionalFormatting>
  <conditionalFormatting sqref="T35:T36">
    <cfRule type="expression" dxfId="71" priority="76" stopIfTrue="1">
      <formula>(T35+S35)&gt;C35</formula>
    </cfRule>
  </conditionalFormatting>
  <conditionalFormatting sqref="T37">
    <cfRule type="expression" dxfId="70" priority="75" stopIfTrue="1">
      <formula>(T37+S37)&gt;C37</formula>
    </cfRule>
  </conditionalFormatting>
  <conditionalFormatting sqref="T40">
    <cfRule type="expression" dxfId="69" priority="74" stopIfTrue="1">
      <formula>(T40+S40)&gt;C40</formula>
    </cfRule>
  </conditionalFormatting>
  <conditionalFormatting sqref="T41">
    <cfRule type="expression" dxfId="68" priority="73" stopIfTrue="1">
      <formula>(T41+S41)&gt;C41</formula>
    </cfRule>
  </conditionalFormatting>
  <conditionalFormatting sqref="S40">
    <cfRule type="expression" dxfId="67" priority="72" stopIfTrue="1">
      <formula>(S40+T40)&gt;C40</formula>
    </cfRule>
  </conditionalFormatting>
  <conditionalFormatting sqref="S41">
    <cfRule type="expression" dxfId="66" priority="71" stopIfTrue="1">
      <formula>(S41+T41)&gt;C41</formula>
    </cfRule>
  </conditionalFormatting>
  <conditionalFormatting sqref="T43">
    <cfRule type="expression" dxfId="65" priority="69" stopIfTrue="1">
      <formula>(T43+S43)&gt;C43</formula>
    </cfRule>
  </conditionalFormatting>
  <conditionalFormatting sqref="S45">
    <cfRule type="expression" dxfId="64" priority="68" stopIfTrue="1">
      <formula>(S45+T45)&gt;C45</formula>
    </cfRule>
  </conditionalFormatting>
  <conditionalFormatting sqref="S48">
    <cfRule type="expression" dxfId="63" priority="65" stopIfTrue="1">
      <formula>(S48+T48)&gt;C48</formula>
    </cfRule>
  </conditionalFormatting>
  <conditionalFormatting sqref="S49">
    <cfRule type="expression" dxfId="62" priority="64" stopIfTrue="1">
      <formula>(S49+T49)&gt;C49</formula>
    </cfRule>
  </conditionalFormatting>
  <conditionalFormatting sqref="S50">
    <cfRule type="expression" dxfId="61" priority="63" stopIfTrue="1">
      <formula>(S50+T50)&gt;C50</formula>
    </cfRule>
  </conditionalFormatting>
  <conditionalFormatting sqref="S51">
    <cfRule type="expression" dxfId="60" priority="62" stopIfTrue="1">
      <formula>(S51+T51)&gt;C51</formula>
    </cfRule>
  </conditionalFormatting>
  <conditionalFormatting sqref="S52">
    <cfRule type="expression" dxfId="59" priority="60" stopIfTrue="1">
      <formula>(S52+T52)&gt;C52</formula>
    </cfRule>
  </conditionalFormatting>
  <conditionalFormatting sqref="T45">
    <cfRule type="expression" dxfId="58" priority="59" stopIfTrue="1">
      <formula>(T45+S45)&gt;C45</formula>
    </cfRule>
  </conditionalFormatting>
  <conditionalFormatting sqref="T48">
    <cfRule type="expression" dxfId="57" priority="56" stopIfTrue="1">
      <formula>(T48+S48)&gt;C48</formula>
    </cfRule>
  </conditionalFormatting>
  <conditionalFormatting sqref="T49">
    <cfRule type="expression" dxfId="56" priority="55" stopIfTrue="1">
      <formula>(T49+S49)&gt;C49</formula>
    </cfRule>
  </conditionalFormatting>
  <conditionalFormatting sqref="T50">
    <cfRule type="expression" dxfId="55" priority="54" stopIfTrue="1">
      <formula>(T50+S50)&gt;C50</formula>
    </cfRule>
  </conditionalFormatting>
  <conditionalFormatting sqref="T51">
    <cfRule type="expression" dxfId="54" priority="53" stopIfTrue="1">
      <formula>(T51+S51)&gt;C51</formula>
    </cfRule>
  </conditionalFormatting>
  <conditionalFormatting sqref="T52">
    <cfRule type="expression" dxfId="53" priority="51" stopIfTrue="1">
      <formula>(T52+S52)&gt;C52</formula>
    </cfRule>
  </conditionalFormatting>
  <conditionalFormatting sqref="T64:T67">
    <cfRule type="expression" dxfId="52" priority="50" stopIfTrue="1">
      <formula>(T64+S64)&gt;C64</formula>
    </cfRule>
  </conditionalFormatting>
  <conditionalFormatting sqref="T68">
    <cfRule type="expression" dxfId="51" priority="49" stopIfTrue="1">
      <formula>(T68+S68)&gt;C68</formula>
    </cfRule>
  </conditionalFormatting>
  <conditionalFormatting sqref="S64:S67">
    <cfRule type="expression" dxfId="50" priority="48" stopIfTrue="1">
      <formula>(S64+T64)&gt;C64</formula>
    </cfRule>
  </conditionalFormatting>
  <conditionalFormatting sqref="S68">
    <cfRule type="expression" dxfId="49" priority="47" stopIfTrue="1">
      <formula>(S68+T68)&gt;C68</formula>
    </cfRule>
  </conditionalFormatting>
  <conditionalFormatting sqref="T78">
    <cfRule type="expression" dxfId="48" priority="46" stopIfTrue="1">
      <formula>(T78+S78)&gt;C78</formula>
    </cfRule>
  </conditionalFormatting>
  <conditionalFormatting sqref="T79">
    <cfRule type="expression" dxfId="47" priority="45" stopIfTrue="1">
      <formula>(T79+S79)&gt;C79</formula>
    </cfRule>
  </conditionalFormatting>
  <conditionalFormatting sqref="S78">
    <cfRule type="expression" dxfId="46" priority="44" stopIfTrue="1">
      <formula>(S78+T78)&gt;C78</formula>
    </cfRule>
  </conditionalFormatting>
  <conditionalFormatting sqref="S79">
    <cfRule type="expression" dxfId="45" priority="43" stopIfTrue="1">
      <formula>(S79+T79)&gt;C79</formula>
    </cfRule>
  </conditionalFormatting>
  <conditionalFormatting sqref="S83">
    <cfRule type="expression" dxfId="44" priority="42" stopIfTrue="1">
      <formula>(S83+T83)&gt;C83</formula>
    </cfRule>
  </conditionalFormatting>
  <conditionalFormatting sqref="S84">
    <cfRule type="expression" dxfId="43" priority="41" stopIfTrue="1">
      <formula>(S84+T84)&gt;C84</formula>
    </cfRule>
  </conditionalFormatting>
  <conditionalFormatting sqref="S85">
    <cfRule type="expression" dxfId="42" priority="40" stopIfTrue="1">
      <formula>(S85+T85)&gt;C85</formula>
    </cfRule>
  </conditionalFormatting>
  <conditionalFormatting sqref="S86">
    <cfRule type="expression" dxfId="41" priority="39" stopIfTrue="1">
      <formula>(S86+T86)&gt;C86</formula>
    </cfRule>
  </conditionalFormatting>
  <conditionalFormatting sqref="T83">
    <cfRule type="expression" dxfId="40" priority="38" stopIfTrue="1">
      <formula>(T83+S83)&gt;C83</formula>
    </cfRule>
  </conditionalFormatting>
  <conditionalFormatting sqref="T84">
    <cfRule type="expression" dxfId="39" priority="37" stopIfTrue="1">
      <formula>(T84+S84)&gt;C84</formula>
    </cfRule>
  </conditionalFormatting>
  <conditionalFormatting sqref="T85">
    <cfRule type="expression" dxfId="38" priority="36" stopIfTrue="1">
      <formula>(T85+S85)&gt;C85</formula>
    </cfRule>
  </conditionalFormatting>
  <conditionalFormatting sqref="T86">
    <cfRule type="expression" dxfId="37" priority="35" stopIfTrue="1">
      <formula>(T86+S86)&gt;C86</formula>
    </cfRule>
  </conditionalFormatting>
  <conditionalFormatting sqref="S88">
    <cfRule type="expression" dxfId="36" priority="34" stopIfTrue="1">
      <formula>(S88+T88)&gt;C88</formula>
    </cfRule>
  </conditionalFormatting>
  <conditionalFormatting sqref="S89">
    <cfRule type="expression" dxfId="35" priority="33" stopIfTrue="1">
      <formula>(S89+T89)&gt;C89</formula>
    </cfRule>
  </conditionalFormatting>
  <conditionalFormatting sqref="S90">
    <cfRule type="expression" dxfId="34" priority="32" stopIfTrue="1">
      <formula>(S90+T90)&gt;C90</formula>
    </cfRule>
  </conditionalFormatting>
  <conditionalFormatting sqref="S91">
    <cfRule type="expression" dxfId="33" priority="31" stopIfTrue="1">
      <formula>(S91+T91)&gt;C91</formula>
    </cfRule>
  </conditionalFormatting>
  <conditionalFormatting sqref="S92">
    <cfRule type="expression" dxfId="32" priority="30" stopIfTrue="1">
      <formula>(S92+T92)&gt;C92</formula>
    </cfRule>
  </conditionalFormatting>
  <conditionalFormatting sqref="S93">
    <cfRule type="expression" dxfId="31" priority="29" stopIfTrue="1">
      <formula>(S93+T93)&gt;C93</formula>
    </cfRule>
  </conditionalFormatting>
  <conditionalFormatting sqref="S94">
    <cfRule type="expression" dxfId="30" priority="26" stopIfTrue="1">
      <formula>(S94+T94)&gt;C94</formula>
    </cfRule>
  </conditionalFormatting>
  <conditionalFormatting sqref="T88">
    <cfRule type="expression" dxfId="29" priority="25" stopIfTrue="1">
      <formula>(T88+S88)&gt;C88</formula>
    </cfRule>
  </conditionalFormatting>
  <conditionalFormatting sqref="T89">
    <cfRule type="expression" dxfId="28" priority="24" stopIfTrue="1">
      <formula>(T89+S89)&gt;C89</formula>
    </cfRule>
  </conditionalFormatting>
  <conditionalFormatting sqref="T90">
    <cfRule type="expression" dxfId="27" priority="23" stopIfTrue="1">
      <formula>(T90+S90)&gt;C90</formula>
    </cfRule>
  </conditionalFormatting>
  <conditionalFormatting sqref="T91">
    <cfRule type="expression" dxfId="26" priority="22" stopIfTrue="1">
      <formula>(T91+S91)&gt;C91</formula>
    </cfRule>
  </conditionalFormatting>
  <conditionalFormatting sqref="T92">
    <cfRule type="expression" dxfId="25" priority="21" stopIfTrue="1">
      <formula>(T92+S92)&gt;C92</formula>
    </cfRule>
  </conditionalFormatting>
  <conditionalFormatting sqref="T93">
    <cfRule type="expression" dxfId="24" priority="20" stopIfTrue="1">
      <formula>(T93+S93)&gt;C93</formula>
    </cfRule>
  </conditionalFormatting>
  <conditionalFormatting sqref="T94">
    <cfRule type="expression" dxfId="23" priority="17" stopIfTrue="1">
      <formula>(T94+S94)&gt;C94</formula>
    </cfRule>
  </conditionalFormatting>
  <conditionalFormatting sqref="S98">
    <cfRule type="expression" dxfId="22" priority="12" stopIfTrue="1">
      <formula>(S98+T98)&gt;C98</formula>
    </cfRule>
  </conditionalFormatting>
  <conditionalFormatting sqref="S99">
    <cfRule type="expression" dxfId="21" priority="11" stopIfTrue="1">
      <formula>(S99+T99)&gt;C99</formula>
    </cfRule>
  </conditionalFormatting>
  <conditionalFormatting sqref="S100">
    <cfRule type="expression" dxfId="20" priority="9" stopIfTrue="1">
      <formula>(S100+T100)&gt;C100</formula>
    </cfRule>
  </conditionalFormatting>
  <conditionalFormatting sqref="S101">
    <cfRule type="expression" dxfId="19" priority="8" stopIfTrue="1">
      <formula>(S101+T101)&gt;C101</formula>
    </cfRule>
  </conditionalFormatting>
  <conditionalFormatting sqref="S102">
    <cfRule type="expression" dxfId="18" priority="7" stopIfTrue="1">
      <formula>(S102+T102)&gt;C102</formula>
    </cfRule>
  </conditionalFormatting>
  <conditionalFormatting sqref="T98">
    <cfRule type="expression" dxfId="17" priority="6" stopIfTrue="1">
      <formula>(T98+S98)&gt;C98</formula>
    </cfRule>
  </conditionalFormatting>
  <conditionalFormatting sqref="T99">
    <cfRule type="expression" dxfId="16" priority="5" stopIfTrue="1">
      <formula>(T99+S99)&gt;C99</formula>
    </cfRule>
  </conditionalFormatting>
  <conditionalFormatting sqref="T100">
    <cfRule type="expression" dxfId="15" priority="3" stopIfTrue="1">
      <formula>(T100+S100)&gt;C100</formula>
    </cfRule>
  </conditionalFormatting>
  <conditionalFormatting sqref="T101">
    <cfRule type="expression" dxfId="14" priority="2" stopIfTrue="1">
      <formula>(T101+S101)&gt;C101</formula>
    </cfRule>
  </conditionalFormatting>
  <conditionalFormatting sqref="T102">
    <cfRule type="expression" dxfId="13"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20"/>
  <sheetViews>
    <sheetView showGridLines="0" showZeros="0" zoomScaleNormal="100" zoomScaleSheetLayoutView="100" workbookViewId="0">
      <selection activeCell="K35" sqref="K35"/>
    </sheetView>
  </sheetViews>
  <sheetFormatPr defaultColWidth="8.85546875" defaultRowHeight="12" zeroHeight="1"/>
  <cols>
    <col min="1" max="1" width="32.42578125" style="765" customWidth="1"/>
    <col min="2" max="3" width="12.140625" style="763" customWidth="1"/>
    <col min="4" max="4" width="12.85546875" style="763" customWidth="1"/>
    <col min="5" max="6" width="12.7109375" style="763" customWidth="1"/>
    <col min="7" max="7" width="13.42578125" style="763" customWidth="1"/>
    <col min="8" max="9" width="12.140625" style="763" customWidth="1"/>
    <col min="10" max="10" width="12.140625" style="907" customWidth="1"/>
    <col min="11" max="11" width="7" style="914" customWidth="1"/>
    <col min="12" max="16384" width="8.85546875" style="763"/>
  </cols>
  <sheetData>
    <row r="1" spans="1:11" s="564" customFormat="1" ht="12.75">
      <c r="A1" s="2253" t="s">
        <v>2060</v>
      </c>
      <c r="B1" s="2254"/>
      <c r="C1" s="2254"/>
      <c r="D1" s="2254"/>
      <c r="E1" s="2254"/>
      <c r="F1" s="2254"/>
      <c r="G1" s="2254"/>
      <c r="H1" s="2254"/>
      <c r="I1" s="2254"/>
      <c r="J1" s="2255"/>
      <c r="K1" s="911"/>
    </row>
    <row r="2" spans="1:11" s="930" customFormat="1" ht="72">
      <c r="A2" s="928"/>
      <c r="B2" s="362" t="s">
        <v>1508</v>
      </c>
      <c r="C2" s="362" t="s">
        <v>2061</v>
      </c>
      <c r="D2" s="432" t="s">
        <v>2062</v>
      </c>
      <c r="E2" s="362" t="s">
        <v>1512</v>
      </c>
      <c r="F2" s="362" t="s">
        <v>2063</v>
      </c>
      <c r="G2" s="362" t="s">
        <v>2064</v>
      </c>
      <c r="H2" s="362" t="s">
        <v>1511</v>
      </c>
      <c r="I2" s="362" t="s">
        <v>2065</v>
      </c>
      <c r="J2" s="1085" t="s">
        <v>2066</v>
      </c>
      <c r="K2" s="929"/>
    </row>
    <row r="3" spans="1:11" s="383" customFormat="1">
      <c r="A3" s="365" t="s">
        <v>381</v>
      </c>
      <c r="B3" s="916"/>
      <c r="C3" s="916"/>
      <c r="D3" s="916"/>
      <c r="E3" s="916"/>
      <c r="F3" s="916"/>
      <c r="G3" s="916"/>
      <c r="H3" s="916"/>
      <c r="I3" s="916"/>
      <c r="J3" s="916"/>
      <c r="K3" s="912"/>
    </row>
    <row r="4" spans="1:11" s="383" customFormat="1" ht="13.5">
      <c r="A4" s="480" t="s">
        <v>74</v>
      </c>
      <c r="B4" s="917">
        <f>'Sources and Uses Budget'!C4</f>
        <v>1755789</v>
      </c>
      <c r="C4" s="918"/>
      <c r="D4" s="918"/>
      <c r="E4" s="919"/>
      <c r="F4" s="919"/>
      <c r="G4" s="919"/>
      <c r="H4" s="919"/>
      <c r="I4" s="919"/>
      <c r="J4" s="919"/>
      <c r="K4" s="912"/>
    </row>
    <row r="5" spans="1:11" s="383" customFormat="1" ht="13.5">
      <c r="A5" s="480" t="s">
        <v>75</v>
      </c>
      <c r="B5" s="917">
        <f>'Sources and Uses Budget'!C5</f>
        <v>50000</v>
      </c>
      <c r="C5" s="918"/>
      <c r="D5" s="918"/>
      <c r="E5" s="919"/>
      <c r="F5" s="919"/>
      <c r="G5" s="919"/>
      <c r="H5" s="919"/>
      <c r="I5" s="919"/>
      <c r="J5" s="919"/>
      <c r="K5" s="912"/>
    </row>
    <row r="6" spans="1:11" s="383" customFormat="1">
      <c r="A6" s="369" t="s">
        <v>382</v>
      </c>
      <c r="B6" s="917">
        <f>'Sources and Uses Budget'!C6</f>
        <v>10000</v>
      </c>
      <c r="C6" s="918"/>
      <c r="D6" s="918"/>
      <c r="E6" s="919"/>
      <c r="F6" s="919"/>
      <c r="G6" s="919"/>
      <c r="H6" s="919"/>
      <c r="I6" s="919"/>
      <c r="J6" s="919"/>
      <c r="K6" s="912"/>
    </row>
    <row r="7" spans="1:11" s="383" customFormat="1">
      <c r="A7" s="369" t="s">
        <v>310</v>
      </c>
      <c r="B7" s="917">
        <f>'Sources and Uses Budget'!C7</f>
        <v>0</v>
      </c>
      <c r="C7" s="918"/>
      <c r="D7" s="918"/>
      <c r="E7" s="919"/>
      <c r="F7" s="919"/>
      <c r="G7" s="919"/>
      <c r="H7" s="919"/>
      <c r="I7" s="919"/>
      <c r="J7" s="919"/>
      <c r="K7" s="912"/>
    </row>
    <row r="8" spans="1:11" s="383" customFormat="1" ht="13.5">
      <c r="A8" s="481" t="s">
        <v>770</v>
      </c>
      <c r="B8" s="917">
        <f>'Sources and Uses Budget'!C8</f>
        <v>1815789</v>
      </c>
      <c r="C8" s="917">
        <f>SUM(C4:C7)</f>
        <v>0</v>
      </c>
      <c r="D8" s="917">
        <f>SUM(D4:D7)</f>
        <v>0</v>
      </c>
      <c r="E8" s="919"/>
      <c r="F8" s="919"/>
      <c r="G8" s="919"/>
      <c r="H8" s="919"/>
      <c r="I8" s="919"/>
      <c r="J8" s="919"/>
      <c r="K8" s="912"/>
    </row>
    <row r="9" spans="1:11" s="383" customFormat="1">
      <c r="A9" s="369" t="s">
        <v>1939</v>
      </c>
      <c r="B9" s="917">
        <f>'Sources and Uses Budget'!C9</f>
        <v>0</v>
      </c>
      <c r="C9" s="918"/>
      <c r="D9" s="918"/>
      <c r="E9" s="919"/>
      <c r="F9" s="919"/>
      <c r="G9" s="919"/>
      <c r="H9" s="917">
        <f>'Sources and Uses Budget'!T9</f>
        <v>0</v>
      </c>
      <c r="I9" s="918"/>
      <c r="J9" s="918"/>
      <c r="K9" s="912"/>
    </row>
    <row r="10" spans="1:11" s="383" customFormat="1" ht="13.5">
      <c r="A10" s="480" t="s">
        <v>76</v>
      </c>
      <c r="B10" s="917">
        <f>'Sources and Uses Budget'!C10</f>
        <v>490000</v>
      </c>
      <c r="C10" s="918"/>
      <c r="D10" s="918"/>
      <c r="E10" s="917">
        <f>'Sources and Uses Budget'!S10</f>
        <v>490000</v>
      </c>
      <c r="F10" s="918"/>
      <c r="G10" s="918"/>
      <c r="H10" s="917">
        <f>'Sources and Uses Budget'!T10</f>
        <v>0</v>
      </c>
      <c r="I10" s="918"/>
      <c r="J10" s="918"/>
      <c r="K10" s="912"/>
    </row>
    <row r="11" spans="1:11" s="383" customFormat="1">
      <c r="A11" s="373" t="s">
        <v>646</v>
      </c>
      <c r="B11" s="917">
        <f>'Sources and Uses Budget'!C11</f>
        <v>490000</v>
      </c>
      <c r="C11" s="917">
        <f>SUM(C9:C10)</f>
        <v>0</v>
      </c>
      <c r="D11" s="917">
        <f>SUM(D9:D10)</f>
        <v>0</v>
      </c>
      <c r="E11" s="919"/>
      <c r="F11" s="919"/>
      <c r="G11" s="919"/>
      <c r="H11" s="917">
        <f>'Sources and Uses Budget'!T11</f>
        <v>0</v>
      </c>
      <c r="I11" s="917">
        <f>SUM(I9:I10)</f>
        <v>0</v>
      </c>
      <c r="J11" s="917">
        <f>SUM(J9:J10)</f>
        <v>0</v>
      </c>
      <c r="K11" s="912"/>
    </row>
    <row r="12" spans="1:11" s="383" customFormat="1">
      <c r="A12" s="373" t="s">
        <v>778</v>
      </c>
      <c r="B12" s="917">
        <f>'Sources and Uses Budget'!C12</f>
        <v>2305789</v>
      </c>
      <c r="C12" s="917">
        <f>SUM(C8+C11)</f>
        <v>0</v>
      </c>
      <c r="D12" s="917">
        <f>SUM(D8+D11)</f>
        <v>0</v>
      </c>
      <c r="E12" s="919"/>
      <c r="F12" s="919"/>
      <c r="G12" s="919"/>
      <c r="H12" s="919"/>
      <c r="I12" s="919"/>
      <c r="J12" s="919"/>
      <c r="K12" s="912"/>
    </row>
    <row r="13" spans="1:11" s="383" customFormat="1">
      <c r="A13" s="720" t="s">
        <v>1229</v>
      </c>
      <c r="B13" s="917">
        <f>'Sources and Uses Budget'!C13</f>
        <v>0</v>
      </c>
      <c r="C13" s="918"/>
      <c r="D13" s="918"/>
      <c r="E13" s="917">
        <f>'Sources and Uses Budget'!S13</f>
        <v>0</v>
      </c>
      <c r="F13" s="918"/>
      <c r="G13" s="918"/>
      <c r="H13" s="917">
        <f>'Sources and Uses Budget'!T13</f>
        <v>0</v>
      </c>
      <c r="I13" s="918"/>
      <c r="J13" s="918"/>
      <c r="K13" s="912"/>
    </row>
    <row r="14" spans="1:11" s="383" customFormat="1" ht="24">
      <c r="A14" s="721" t="s">
        <v>1264</v>
      </c>
      <c r="B14" s="917">
        <f>'Sources and Uses Budget'!C14</f>
        <v>0</v>
      </c>
      <c r="C14" s="918"/>
      <c r="D14" s="918"/>
      <c r="E14" s="917">
        <f>'Sources and Uses Budget'!S14</f>
        <v>0</v>
      </c>
      <c r="F14" s="918"/>
      <c r="G14" s="918"/>
      <c r="H14" s="917">
        <f>'Sources and Uses Budget'!T14</f>
        <v>0</v>
      </c>
      <c r="I14" s="918"/>
      <c r="J14" s="918"/>
      <c r="K14" s="912"/>
    </row>
    <row r="15" spans="1:11" s="383" customFormat="1">
      <c r="A15" s="721" t="s">
        <v>1895</v>
      </c>
      <c r="B15" s="917">
        <f>'Sources and Uses Budget'!C15</f>
        <v>0</v>
      </c>
      <c r="C15" s="918"/>
      <c r="D15" s="918"/>
      <c r="E15" s="919">
        <f>'Sources and Uses Budget'!S15</f>
        <v>0</v>
      </c>
      <c r="F15" s="919"/>
      <c r="G15" s="919"/>
      <c r="H15" s="919">
        <f>'Sources and Uses Budget'!T15</f>
        <v>0</v>
      </c>
      <c r="I15" s="919"/>
      <c r="J15" s="919"/>
      <c r="K15" s="912"/>
    </row>
    <row r="16" spans="1:11" s="383" customFormat="1">
      <c r="A16" s="365" t="s">
        <v>1013</v>
      </c>
      <c r="B16" s="916"/>
      <c r="C16" s="916"/>
      <c r="D16" s="916"/>
      <c r="E16" s="916"/>
      <c r="F16" s="916"/>
      <c r="G16" s="916"/>
      <c r="H16" s="916"/>
      <c r="I16" s="916"/>
      <c r="J16" s="916"/>
      <c r="K16" s="912"/>
    </row>
    <row r="17" spans="1:11" s="383" customFormat="1">
      <c r="A17" s="369" t="s">
        <v>1014</v>
      </c>
      <c r="B17" s="917">
        <f>'Sources and Uses Budget'!C17</f>
        <v>0</v>
      </c>
      <c r="C17" s="918"/>
      <c r="D17" s="918"/>
      <c r="E17" s="917">
        <f>'Sources and Uses Budget'!S17</f>
        <v>0</v>
      </c>
      <c r="F17" s="918"/>
      <c r="G17" s="918"/>
      <c r="H17" s="917">
        <f>'Sources and Uses Budget'!T17</f>
        <v>0</v>
      </c>
      <c r="I17" s="918"/>
      <c r="J17" s="918"/>
      <c r="K17" s="912"/>
    </row>
    <row r="18" spans="1:11" s="383" customFormat="1">
      <c r="A18" s="369" t="s">
        <v>1015</v>
      </c>
      <c r="B18" s="917">
        <f>'Sources and Uses Budget'!C18</f>
        <v>0</v>
      </c>
      <c r="C18" s="918"/>
      <c r="D18" s="918"/>
      <c r="E18" s="917">
        <f>'Sources and Uses Budget'!S18</f>
        <v>0</v>
      </c>
      <c r="F18" s="918"/>
      <c r="G18" s="918"/>
      <c r="H18" s="917">
        <f>'Sources and Uses Budget'!T18</f>
        <v>0</v>
      </c>
      <c r="I18" s="918"/>
      <c r="J18" s="918"/>
      <c r="K18" s="912"/>
    </row>
    <row r="19" spans="1:11" s="383" customFormat="1">
      <c r="A19" s="369" t="s">
        <v>1016</v>
      </c>
      <c r="B19" s="917">
        <f>'Sources and Uses Budget'!C19</f>
        <v>0</v>
      </c>
      <c r="C19" s="918"/>
      <c r="D19" s="918"/>
      <c r="E19" s="917">
        <f>'Sources and Uses Budget'!S19</f>
        <v>0</v>
      </c>
      <c r="F19" s="918"/>
      <c r="G19" s="918"/>
      <c r="H19" s="917">
        <f>'Sources and Uses Budget'!T19</f>
        <v>0</v>
      </c>
      <c r="I19" s="918"/>
      <c r="J19" s="918"/>
      <c r="K19" s="912"/>
    </row>
    <row r="20" spans="1:11" s="383" customFormat="1">
      <c r="A20" s="369" t="s">
        <v>1017</v>
      </c>
      <c r="B20" s="917">
        <f>'Sources and Uses Budget'!C20</f>
        <v>0</v>
      </c>
      <c r="C20" s="918"/>
      <c r="D20" s="918"/>
      <c r="E20" s="917">
        <f>'Sources and Uses Budget'!S20</f>
        <v>0</v>
      </c>
      <c r="F20" s="918"/>
      <c r="G20" s="918"/>
      <c r="H20" s="917">
        <f>'Sources and Uses Budget'!T20</f>
        <v>0</v>
      </c>
      <c r="I20" s="918"/>
      <c r="J20" s="918"/>
      <c r="K20" s="912"/>
    </row>
    <row r="21" spans="1:11" s="383" customFormat="1">
      <c r="A21" s="369" t="s">
        <v>1018</v>
      </c>
      <c r="B21" s="917">
        <f>'Sources and Uses Budget'!C21</f>
        <v>0</v>
      </c>
      <c r="C21" s="918"/>
      <c r="D21" s="918"/>
      <c r="E21" s="917">
        <f>'Sources and Uses Budget'!S21</f>
        <v>0</v>
      </c>
      <c r="F21" s="918"/>
      <c r="G21" s="918"/>
      <c r="H21" s="917">
        <f>'Sources and Uses Budget'!T21</f>
        <v>0</v>
      </c>
      <c r="I21" s="918"/>
      <c r="J21" s="918"/>
      <c r="K21" s="912"/>
    </row>
    <row r="22" spans="1:11" s="383" customFormat="1">
      <c r="A22" s="369" t="s">
        <v>1019</v>
      </c>
      <c r="B22" s="917">
        <f>'Sources and Uses Budget'!C22</f>
        <v>0</v>
      </c>
      <c r="C22" s="918"/>
      <c r="D22" s="918"/>
      <c r="E22" s="917">
        <f>'Sources and Uses Budget'!S22</f>
        <v>0</v>
      </c>
      <c r="F22" s="918"/>
      <c r="G22" s="918"/>
      <c r="H22" s="917">
        <f>'Sources and Uses Budget'!T22</f>
        <v>0</v>
      </c>
      <c r="I22" s="918"/>
      <c r="J22" s="918"/>
      <c r="K22" s="912"/>
    </row>
    <row r="23" spans="1:11" s="383" customFormat="1">
      <c r="A23" s="369" t="s">
        <v>1020</v>
      </c>
      <c r="B23" s="917">
        <f>'Sources and Uses Budget'!C23</f>
        <v>0</v>
      </c>
      <c r="C23" s="918"/>
      <c r="D23" s="918"/>
      <c r="E23" s="917">
        <f>'Sources and Uses Budget'!S23</f>
        <v>0</v>
      </c>
      <c r="F23" s="918"/>
      <c r="G23" s="918"/>
      <c r="H23" s="917">
        <f>'Sources and Uses Budget'!T23</f>
        <v>0</v>
      </c>
      <c r="I23" s="918"/>
      <c r="J23" s="918"/>
      <c r="K23" s="912"/>
    </row>
    <row r="24" spans="1:11" s="383" customFormat="1">
      <c r="A24" s="721" t="str">
        <f>'Sources and Uses Budget'!$A25</f>
        <v>Other: (Specify)</v>
      </c>
      <c r="B24" s="917">
        <f>'Sources and Uses Budget'!C25</f>
        <v>0</v>
      </c>
      <c r="C24" s="918"/>
      <c r="D24" s="918"/>
      <c r="E24" s="917">
        <f>'Sources and Uses Budget'!S25</f>
        <v>0</v>
      </c>
      <c r="F24" s="918"/>
      <c r="G24" s="918"/>
      <c r="H24" s="917">
        <f>'Sources and Uses Budget'!T25</f>
        <v>0</v>
      </c>
      <c r="I24" s="918"/>
      <c r="J24" s="918"/>
      <c r="K24" s="912"/>
    </row>
    <row r="25" spans="1:11" s="383" customFormat="1">
      <c r="A25" s="373" t="s">
        <v>248</v>
      </c>
      <c r="B25" s="917">
        <f>'Sources and Uses Budget'!C26</f>
        <v>0</v>
      </c>
      <c r="C25" s="917">
        <f>SUM(C17:C24)</f>
        <v>0</v>
      </c>
      <c r="D25" s="917">
        <f>SUM(D17:D24)</f>
        <v>0</v>
      </c>
      <c r="E25" s="917">
        <f>'Sources and Uses Budget'!S26</f>
        <v>0</v>
      </c>
      <c r="F25" s="920">
        <f>SUM(F17:F24)</f>
        <v>0</v>
      </c>
      <c r="G25" s="920">
        <f>SUM(G17:G24)</f>
        <v>0</v>
      </c>
      <c r="H25" s="917">
        <f>'Sources and Uses Budget'!T26</f>
        <v>0</v>
      </c>
      <c r="I25" s="920">
        <f>SUM(I17:I24)</f>
        <v>0</v>
      </c>
      <c r="J25" s="920">
        <f>SUM(J17:J24)</f>
        <v>0</v>
      </c>
      <c r="K25" s="912"/>
    </row>
    <row r="26" spans="1:11" s="383" customFormat="1">
      <c r="A26" s="373" t="s">
        <v>1021</v>
      </c>
      <c r="B26" s="917">
        <f>'Sources and Uses Budget'!C27</f>
        <v>0</v>
      </c>
      <c r="C26" s="918"/>
      <c r="D26" s="918"/>
      <c r="E26" s="917">
        <f>'Sources and Uses Budget'!S27</f>
        <v>0</v>
      </c>
      <c r="F26" s="918"/>
      <c r="G26" s="918"/>
      <c r="H26" s="917">
        <f>'Sources and Uses Budget'!T27</f>
        <v>0</v>
      </c>
      <c r="I26" s="918"/>
      <c r="J26" s="918"/>
      <c r="K26" s="912"/>
    </row>
    <row r="27" spans="1:11" s="383" customFormat="1">
      <c r="A27" s="365" t="s">
        <v>1022</v>
      </c>
      <c r="B27" s="916"/>
      <c r="C27" s="916"/>
      <c r="D27" s="916"/>
      <c r="E27" s="916"/>
      <c r="F27" s="916"/>
      <c r="G27" s="916"/>
      <c r="H27" s="916"/>
      <c r="I27" s="916"/>
      <c r="J27" s="916"/>
      <c r="K27" s="912"/>
    </row>
    <row r="28" spans="1:11" s="383" customFormat="1">
      <c r="A28" s="369" t="s">
        <v>1014</v>
      </c>
      <c r="B28" s="917">
        <f>'Sources and Uses Budget'!C29</f>
        <v>849057</v>
      </c>
      <c r="C28" s="918"/>
      <c r="D28" s="918"/>
      <c r="E28" s="917">
        <f>'Sources and Uses Budget'!S29</f>
        <v>849057</v>
      </c>
      <c r="F28" s="918"/>
      <c r="G28" s="918"/>
      <c r="H28" s="917">
        <f>'Sources and Uses Budget'!T29</f>
        <v>0</v>
      </c>
      <c r="I28" s="918"/>
      <c r="J28" s="918"/>
      <c r="K28" s="912"/>
    </row>
    <row r="29" spans="1:11" s="383" customFormat="1">
      <c r="A29" s="369" t="s">
        <v>1015</v>
      </c>
      <c r="B29" s="917">
        <f>'Sources and Uses Budget'!C30</f>
        <v>13819851</v>
      </c>
      <c r="C29" s="918"/>
      <c r="D29" s="918"/>
      <c r="E29" s="917">
        <f>'Sources and Uses Budget'!S30</f>
        <v>13819851</v>
      </c>
      <c r="F29" s="918"/>
      <c r="G29" s="918"/>
      <c r="H29" s="917">
        <f>'Sources and Uses Budget'!T30</f>
        <v>0</v>
      </c>
      <c r="I29" s="918"/>
      <c r="J29" s="918"/>
      <c r="K29" s="912"/>
    </row>
    <row r="30" spans="1:11" s="383" customFormat="1">
      <c r="A30" s="369" t="s">
        <v>1016</v>
      </c>
      <c r="B30" s="917">
        <f>'Sources and Uses Budget'!C31</f>
        <v>270566</v>
      </c>
      <c r="C30" s="918"/>
      <c r="D30" s="918"/>
      <c r="E30" s="917">
        <f>'Sources and Uses Budget'!S31</f>
        <v>270566</v>
      </c>
      <c r="F30" s="918"/>
      <c r="G30" s="918"/>
      <c r="H30" s="917">
        <f>'Sources and Uses Budget'!T31</f>
        <v>0</v>
      </c>
      <c r="I30" s="918"/>
      <c r="J30" s="918"/>
      <c r="K30" s="912"/>
    </row>
    <row r="31" spans="1:11" s="383" customFormat="1">
      <c r="A31" s="369" t="s">
        <v>1017</v>
      </c>
      <c r="B31" s="917">
        <f>'Sources and Uses Budget'!C32</f>
        <v>811698</v>
      </c>
      <c r="C31" s="918"/>
      <c r="D31" s="918"/>
      <c r="E31" s="917">
        <f>'Sources and Uses Budget'!S32</f>
        <v>811698</v>
      </c>
      <c r="F31" s="918"/>
      <c r="G31" s="918"/>
      <c r="H31" s="917">
        <f>'Sources and Uses Budget'!T32</f>
        <v>0</v>
      </c>
      <c r="I31" s="918"/>
      <c r="J31" s="918"/>
      <c r="K31" s="912"/>
    </row>
    <row r="32" spans="1:11" s="383" customFormat="1">
      <c r="A32" s="369" t="s">
        <v>1018</v>
      </c>
      <c r="B32" s="917">
        <f>'Sources and Uses Budget'!C33</f>
        <v>811698</v>
      </c>
      <c r="C32" s="918"/>
      <c r="D32" s="918"/>
      <c r="E32" s="917">
        <f>'Sources and Uses Budget'!S33</f>
        <v>811698</v>
      </c>
      <c r="F32" s="918"/>
      <c r="G32" s="918"/>
      <c r="H32" s="917">
        <f>'Sources and Uses Budget'!T33</f>
        <v>0</v>
      </c>
      <c r="I32" s="918"/>
      <c r="J32" s="918"/>
      <c r="K32" s="912"/>
    </row>
    <row r="33" spans="1:11" s="383" customFormat="1">
      <c r="A33" s="369" t="s">
        <v>1019</v>
      </c>
      <c r="B33" s="917">
        <f>'Sources and Uses Budget'!C34</f>
        <v>0</v>
      </c>
      <c r="C33" s="918"/>
      <c r="D33" s="918"/>
      <c r="E33" s="917">
        <f>'Sources and Uses Budget'!S34</f>
        <v>0</v>
      </c>
      <c r="F33" s="918"/>
      <c r="G33" s="918"/>
      <c r="H33" s="917">
        <f>'Sources and Uses Budget'!T34</f>
        <v>0</v>
      </c>
      <c r="I33" s="918"/>
      <c r="J33" s="918"/>
      <c r="K33" s="912"/>
    </row>
    <row r="34" spans="1:11" s="383" customFormat="1">
      <c r="A34" s="369" t="s">
        <v>1020</v>
      </c>
      <c r="B34" s="917">
        <f>'Sources and Uses Budget'!C35</f>
        <v>113207</v>
      </c>
      <c r="C34" s="918"/>
      <c r="D34" s="918"/>
      <c r="E34" s="917">
        <f>'Sources and Uses Budget'!S35</f>
        <v>113207</v>
      </c>
      <c r="F34" s="918"/>
      <c r="G34" s="918"/>
      <c r="H34" s="917">
        <f>'Sources and Uses Budget'!T35</f>
        <v>0</v>
      </c>
      <c r="I34" s="918"/>
      <c r="J34" s="918"/>
      <c r="K34" s="912"/>
    </row>
    <row r="35" spans="1:11" s="1505" customFormat="1">
      <c r="A35" s="721" t="str">
        <f>'Sources and Uses Budget'!$A36</f>
        <v>Third-party Construction Management</v>
      </c>
      <c r="B35" s="917">
        <f>'Sources and Uses Budget'!C36</f>
        <v>0</v>
      </c>
      <c r="C35" s="918"/>
      <c r="D35" s="918"/>
      <c r="E35" s="917">
        <f>'Sources and Uses Budget'!S36</f>
        <v>0</v>
      </c>
      <c r="F35" s="918"/>
      <c r="G35" s="918"/>
      <c r="H35" s="917">
        <f>'Sources and Uses Budget'!T36</f>
        <v>0</v>
      </c>
      <c r="I35" s="918"/>
      <c r="J35" s="918"/>
      <c r="K35" s="912"/>
    </row>
    <row r="36" spans="1:11" s="383" customFormat="1">
      <c r="A36" s="721" t="str">
        <f>'Sources and Uses Budget'!$A37</f>
        <v>Other: Bond premium</v>
      </c>
      <c r="B36" s="917">
        <f>'Sources and Uses Budget'!C37</f>
        <v>202925</v>
      </c>
      <c r="C36" s="918"/>
      <c r="D36" s="918"/>
      <c r="E36" s="917">
        <f>'Sources and Uses Budget'!S37</f>
        <v>202925</v>
      </c>
      <c r="F36" s="918"/>
      <c r="G36" s="918"/>
      <c r="H36" s="917">
        <f>'Sources and Uses Budget'!T37</f>
        <v>0</v>
      </c>
      <c r="I36" s="918"/>
      <c r="J36" s="918"/>
      <c r="K36" s="912"/>
    </row>
    <row r="37" spans="1:11" s="383" customFormat="1">
      <c r="A37" s="910" t="s">
        <v>1023</v>
      </c>
      <c r="B37" s="917">
        <f>'Sources and Uses Budget'!C38</f>
        <v>16879002</v>
      </c>
      <c r="C37" s="917">
        <f>SUM(C28:C36)</f>
        <v>0</v>
      </c>
      <c r="D37" s="917">
        <f>SUM(D28:D36)</f>
        <v>0</v>
      </c>
      <c r="E37" s="917">
        <f>'Sources and Uses Budget'!S38</f>
        <v>16879002</v>
      </c>
      <c r="F37" s="920">
        <f>SUM(F28:F36)</f>
        <v>0</v>
      </c>
      <c r="G37" s="920">
        <f>SUM(G28:G36)</f>
        <v>0</v>
      </c>
      <c r="H37" s="917">
        <f>'Sources and Uses Budget'!T38</f>
        <v>0</v>
      </c>
      <c r="I37" s="920">
        <f>SUM(I28:I36)</f>
        <v>0</v>
      </c>
      <c r="J37" s="920">
        <f>SUM(J28:J36)</f>
        <v>0</v>
      </c>
      <c r="K37" s="912"/>
    </row>
    <row r="38" spans="1:11" s="383" customFormat="1">
      <c r="A38" s="365" t="s">
        <v>1024</v>
      </c>
      <c r="B38" s="916"/>
      <c r="C38" s="916"/>
      <c r="D38" s="916"/>
      <c r="E38" s="916"/>
      <c r="F38" s="916"/>
      <c r="G38" s="916"/>
      <c r="H38" s="916"/>
      <c r="I38" s="916"/>
      <c r="J38" s="916"/>
      <c r="K38" s="912"/>
    </row>
    <row r="39" spans="1:11" s="383" customFormat="1">
      <c r="A39" s="369" t="s">
        <v>1025</v>
      </c>
      <c r="B39" s="917">
        <f>'Sources and Uses Budget'!C40</f>
        <v>427358</v>
      </c>
      <c r="C39" s="918"/>
      <c r="D39" s="918"/>
      <c r="E39" s="917">
        <f>'Sources and Uses Budget'!S40</f>
        <v>427358</v>
      </c>
      <c r="F39" s="918"/>
      <c r="G39" s="918"/>
      <c r="H39" s="917">
        <f>'Sources and Uses Budget'!T40</f>
        <v>0</v>
      </c>
      <c r="I39" s="918"/>
      <c r="J39" s="918"/>
      <c r="K39" s="912"/>
    </row>
    <row r="40" spans="1:11" s="383" customFormat="1">
      <c r="A40" s="369" t="s">
        <v>1026</v>
      </c>
      <c r="B40" s="917">
        <f>'Sources and Uses Budget'!C41</f>
        <v>0</v>
      </c>
      <c r="C40" s="918"/>
      <c r="D40" s="918"/>
      <c r="E40" s="917">
        <f>'Sources and Uses Budget'!S41</f>
        <v>0</v>
      </c>
      <c r="F40" s="918"/>
      <c r="G40" s="918"/>
      <c r="H40" s="917">
        <f>'Sources and Uses Budget'!T41</f>
        <v>0</v>
      </c>
      <c r="I40" s="918"/>
      <c r="J40" s="918"/>
      <c r="K40" s="912"/>
    </row>
    <row r="41" spans="1:11" s="383" customFormat="1">
      <c r="A41" s="373" t="s">
        <v>1027</v>
      </c>
      <c r="B41" s="917">
        <f>'Sources and Uses Budget'!C42</f>
        <v>427358</v>
      </c>
      <c r="C41" s="917">
        <f>SUM(C38:C40)</f>
        <v>0</v>
      </c>
      <c r="D41" s="917">
        <f>SUM(D38:D40)</f>
        <v>0</v>
      </c>
      <c r="E41" s="917">
        <f>'Sources and Uses Budget'!S42</f>
        <v>427358</v>
      </c>
      <c r="F41" s="920">
        <f>SUM(F39:F40)</f>
        <v>0</v>
      </c>
      <c r="G41" s="920">
        <f>SUM(G39:G40)</f>
        <v>0</v>
      </c>
      <c r="H41" s="917">
        <f>'Sources and Uses Budget'!T42</f>
        <v>0</v>
      </c>
      <c r="I41" s="920">
        <f>SUM(I39:I40)</f>
        <v>0</v>
      </c>
      <c r="J41" s="920">
        <f>SUM(J39:J40)</f>
        <v>0</v>
      </c>
      <c r="K41" s="912"/>
    </row>
    <row r="42" spans="1:11" s="383" customFormat="1">
      <c r="A42" s="373" t="s">
        <v>1028</v>
      </c>
      <c r="B42" s="917">
        <f>'Sources and Uses Budget'!C43</f>
        <v>113207</v>
      </c>
      <c r="C42" s="918"/>
      <c r="D42" s="918"/>
      <c r="E42" s="917">
        <f>'Sources and Uses Budget'!S43</f>
        <v>113207</v>
      </c>
      <c r="F42" s="918"/>
      <c r="G42" s="918"/>
      <c r="H42" s="917">
        <f>'Sources and Uses Budget'!T43</f>
        <v>0</v>
      </c>
      <c r="I42" s="918"/>
      <c r="J42" s="918"/>
      <c r="K42" s="912"/>
    </row>
    <row r="43" spans="1:11" s="383" customFormat="1">
      <c r="A43" s="365" t="s">
        <v>1029</v>
      </c>
      <c r="B43" s="916"/>
      <c r="C43" s="916"/>
      <c r="D43" s="916"/>
      <c r="E43" s="916"/>
      <c r="F43" s="916"/>
      <c r="G43" s="916"/>
      <c r="H43" s="916"/>
      <c r="I43" s="916"/>
      <c r="J43" s="916"/>
      <c r="K43" s="912"/>
    </row>
    <row r="44" spans="1:11" s="383" customFormat="1">
      <c r="A44" s="369" t="s">
        <v>1030</v>
      </c>
      <c r="B44" s="917">
        <f>'Sources and Uses Budget'!C45</f>
        <v>1085453</v>
      </c>
      <c r="C44" s="918"/>
      <c r="D44" s="918"/>
      <c r="E44" s="917">
        <f>'Sources and Uses Budget'!S45</f>
        <v>525050</v>
      </c>
      <c r="F44" s="918"/>
      <c r="G44" s="918"/>
      <c r="H44" s="917">
        <f>'Sources and Uses Budget'!T45</f>
        <v>0</v>
      </c>
      <c r="I44" s="918"/>
      <c r="J44" s="918"/>
      <c r="K44" s="912"/>
    </row>
    <row r="45" spans="1:11" s="383" customFormat="1">
      <c r="A45" s="369" t="s">
        <v>1031</v>
      </c>
      <c r="B45" s="917">
        <f>'Sources and Uses Budget'!C46</f>
        <v>189586</v>
      </c>
      <c r="C45" s="918"/>
      <c r="D45" s="918"/>
      <c r="E45" s="917">
        <f>'Sources and Uses Budget'!S46</f>
        <v>87651</v>
      </c>
      <c r="F45" s="918"/>
      <c r="G45" s="918"/>
      <c r="H45" s="917">
        <f>'Sources and Uses Budget'!T46</f>
        <v>0</v>
      </c>
      <c r="I45" s="918"/>
      <c r="J45" s="918"/>
      <c r="K45" s="912"/>
    </row>
    <row r="46" spans="1:11" s="383" customFormat="1" ht="12" customHeight="1">
      <c r="A46" s="369" t="s">
        <v>1032</v>
      </c>
      <c r="B46" s="917">
        <f>'Sources and Uses Budget'!C47</f>
        <v>0</v>
      </c>
      <c r="C46" s="918"/>
      <c r="D46" s="918"/>
      <c r="E46" s="917">
        <f>'Sources and Uses Budget'!S47</f>
        <v>0</v>
      </c>
      <c r="F46" s="918"/>
      <c r="G46" s="918"/>
      <c r="H46" s="917">
        <f>'Sources and Uses Budget'!T47</f>
        <v>0</v>
      </c>
      <c r="I46" s="918"/>
      <c r="J46" s="918"/>
      <c r="K46" s="912"/>
    </row>
    <row r="47" spans="1:11" s="383" customFormat="1">
      <c r="A47" s="369" t="s">
        <v>1033</v>
      </c>
      <c r="B47" s="917">
        <f>'Sources and Uses Budget'!C48</f>
        <v>0</v>
      </c>
      <c r="C47" s="918"/>
      <c r="D47" s="918"/>
      <c r="E47" s="917">
        <f>'Sources and Uses Budget'!S48</f>
        <v>0</v>
      </c>
      <c r="F47" s="918"/>
      <c r="G47" s="918"/>
      <c r="H47" s="917">
        <f>'Sources and Uses Budget'!T48</f>
        <v>0</v>
      </c>
      <c r="I47" s="918"/>
      <c r="J47" s="918"/>
      <c r="K47" s="912"/>
    </row>
    <row r="48" spans="1:11" s="383" customFormat="1">
      <c r="A48" s="369" t="s">
        <v>1036</v>
      </c>
      <c r="B48" s="917">
        <f>'Sources and Uses Budget'!C49</f>
        <v>39500</v>
      </c>
      <c r="C48" s="918"/>
      <c r="D48" s="918"/>
      <c r="E48" s="917">
        <f>'Sources and Uses Budget'!S49</f>
        <v>39500</v>
      </c>
      <c r="F48" s="918"/>
      <c r="G48" s="918"/>
      <c r="H48" s="917">
        <f>'Sources and Uses Budget'!T49</f>
        <v>0</v>
      </c>
      <c r="I48" s="918"/>
      <c r="J48" s="918"/>
      <c r="K48" s="912"/>
    </row>
    <row r="49" spans="1:11" s="383" customFormat="1">
      <c r="A49" s="369" t="s">
        <v>1034</v>
      </c>
      <c r="B49" s="917">
        <f>'Sources and Uses Budget'!C50</f>
        <v>43500</v>
      </c>
      <c r="C49" s="918"/>
      <c r="D49" s="918"/>
      <c r="E49" s="917">
        <f>'Sources and Uses Budget'!S50</f>
        <v>12000</v>
      </c>
      <c r="F49" s="918"/>
      <c r="G49" s="918"/>
      <c r="H49" s="917">
        <f>'Sources and Uses Budget'!T50</f>
        <v>0</v>
      </c>
      <c r="I49" s="918"/>
      <c r="J49" s="918"/>
      <c r="K49" s="912"/>
    </row>
    <row r="50" spans="1:11" s="383" customFormat="1">
      <c r="A50" s="369" t="s">
        <v>1035</v>
      </c>
      <c r="B50" s="917">
        <f>'Sources and Uses Budget'!C51</f>
        <v>31500</v>
      </c>
      <c r="C50" s="918"/>
      <c r="D50" s="918"/>
      <c r="E50" s="917">
        <f>'Sources and Uses Budget'!S51</f>
        <v>31500</v>
      </c>
      <c r="F50" s="918"/>
      <c r="G50" s="918"/>
      <c r="H50" s="917">
        <f>'Sources and Uses Budget'!T51</f>
        <v>0</v>
      </c>
      <c r="I50" s="918"/>
      <c r="J50" s="918"/>
      <c r="K50" s="912"/>
    </row>
    <row r="51" spans="1:11" s="383" customFormat="1">
      <c r="A51" s="721" t="str">
        <f>'Sources and Uses Budget'!$A52</f>
        <v>Other: lender expenses</v>
      </c>
      <c r="B51" s="917">
        <f>'Sources and Uses Budget'!C52</f>
        <v>45000</v>
      </c>
      <c r="C51" s="918"/>
      <c r="D51" s="918"/>
      <c r="E51" s="917">
        <f>'Sources and Uses Budget'!S52</f>
        <v>20805</v>
      </c>
      <c r="F51" s="918"/>
      <c r="G51" s="918"/>
      <c r="H51" s="917">
        <f>'Sources and Uses Budget'!T52</f>
        <v>0</v>
      </c>
      <c r="I51" s="918"/>
      <c r="J51" s="918"/>
      <c r="K51" s="912"/>
    </row>
    <row r="52" spans="1:11" s="909" customFormat="1">
      <c r="A52" s="373" t="s">
        <v>1037</v>
      </c>
      <c r="B52" s="917">
        <f>'Sources and Uses Budget'!C53</f>
        <v>1434539</v>
      </c>
      <c r="C52" s="920">
        <f>SUM(C44:C51)</f>
        <v>0</v>
      </c>
      <c r="D52" s="920">
        <f>SUM(D44:D51)</f>
        <v>0</v>
      </c>
      <c r="E52" s="917">
        <f>'Sources and Uses Budget'!S53</f>
        <v>716506</v>
      </c>
      <c r="F52" s="920">
        <f>SUM(F44:F51)</f>
        <v>0</v>
      </c>
      <c r="G52" s="920">
        <f>SUM(G44:G51)</f>
        <v>0</v>
      </c>
      <c r="H52" s="917">
        <f>'Sources and Uses Budget'!T53</f>
        <v>0</v>
      </c>
      <c r="I52" s="920">
        <f>SUM(I44:I51)</f>
        <v>0</v>
      </c>
      <c r="J52" s="920">
        <f>SUM(J44:J51)</f>
        <v>0</v>
      </c>
      <c r="K52" s="913"/>
    </row>
    <row r="53" spans="1:11" s="383" customFormat="1">
      <c r="A53" s="365" t="s">
        <v>749</v>
      </c>
      <c r="B53" s="916"/>
      <c r="C53" s="916"/>
      <c r="D53" s="916"/>
      <c r="E53" s="916"/>
      <c r="F53" s="916"/>
      <c r="G53" s="916"/>
      <c r="H53" s="916"/>
      <c r="I53" s="916"/>
      <c r="J53" s="916"/>
      <c r="K53" s="912"/>
    </row>
    <row r="54" spans="1:11" s="383" customFormat="1">
      <c r="A54" s="369" t="s">
        <v>1038</v>
      </c>
      <c r="B54" s="917">
        <f>'Sources and Uses Budget'!C55</f>
        <v>0</v>
      </c>
      <c r="C54" s="918"/>
      <c r="D54" s="918"/>
      <c r="E54" s="919"/>
      <c r="F54" s="919"/>
      <c r="G54" s="919"/>
      <c r="H54" s="919"/>
      <c r="I54" s="919"/>
      <c r="J54" s="919"/>
      <c r="K54" s="912"/>
    </row>
    <row r="55" spans="1:11" s="383" customFormat="1" ht="12" customHeight="1">
      <c r="A55" s="369" t="s">
        <v>1032</v>
      </c>
      <c r="B55" s="917">
        <f>'Sources and Uses Budget'!C56</f>
        <v>0</v>
      </c>
      <c r="C55" s="918"/>
      <c r="D55" s="918"/>
      <c r="E55" s="919"/>
      <c r="F55" s="919"/>
      <c r="G55" s="919"/>
      <c r="H55" s="919"/>
      <c r="I55" s="919"/>
      <c r="J55" s="919"/>
      <c r="K55" s="912"/>
    </row>
    <row r="56" spans="1:11" s="383" customFormat="1">
      <c r="A56" s="369" t="s">
        <v>1036</v>
      </c>
      <c r="B56" s="917">
        <f>'Sources and Uses Budget'!C57</f>
        <v>0</v>
      </c>
      <c r="C56" s="918"/>
      <c r="D56" s="918"/>
      <c r="E56" s="919"/>
      <c r="F56" s="919"/>
      <c r="G56" s="919"/>
      <c r="H56" s="919"/>
      <c r="I56" s="919"/>
      <c r="J56" s="919"/>
      <c r="K56" s="912"/>
    </row>
    <row r="57" spans="1:11" s="383" customFormat="1">
      <c r="A57" s="369" t="s">
        <v>1034</v>
      </c>
      <c r="B57" s="917">
        <f>'Sources and Uses Budget'!C58</f>
        <v>0</v>
      </c>
      <c r="C57" s="918"/>
      <c r="D57" s="918"/>
      <c r="E57" s="919"/>
      <c r="F57" s="919"/>
      <c r="G57" s="919"/>
      <c r="H57" s="919"/>
      <c r="I57" s="919"/>
      <c r="J57" s="919"/>
      <c r="K57" s="912"/>
    </row>
    <row r="58" spans="1:11" s="383" customFormat="1">
      <c r="A58" s="369" t="s">
        <v>1035</v>
      </c>
      <c r="B58" s="917">
        <f>'Sources and Uses Budget'!C59</f>
        <v>0</v>
      </c>
      <c r="C58" s="918"/>
      <c r="D58" s="918"/>
      <c r="E58" s="919"/>
      <c r="F58" s="919"/>
      <c r="G58" s="919"/>
      <c r="H58" s="919"/>
      <c r="I58" s="919"/>
      <c r="J58" s="919"/>
      <c r="K58" s="912"/>
    </row>
    <row r="59" spans="1:11" s="383" customFormat="1">
      <c r="A59" s="721" t="str">
        <f>'Sources and Uses Budget'!$A60</f>
        <v>Other: (Specify)</v>
      </c>
      <c r="B59" s="917">
        <f>'Sources and Uses Budget'!C60</f>
        <v>0</v>
      </c>
      <c r="C59" s="918"/>
      <c r="D59" s="918"/>
      <c r="E59" s="919"/>
      <c r="F59" s="919"/>
      <c r="G59" s="919"/>
      <c r="H59" s="919"/>
      <c r="I59" s="919"/>
      <c r="J59" s="919"/>
      <c r="K59" s="912"/>
    </row>
    <row r="60" spans="1:11" s="383" customFormat="1" ht="14.1" customHeight="1">
      <c r="A60" s="373" t="s">
        <v>549</v>
      </c>
      <c r="B60" s="917">
        <f>'Sources and Uses Budget'!C61</f>
        <v>0</v>
      </c>
      <c r="C60" s="917">
        <f>SUM(C54:C59)</f>
        <v>0</v>
      </c>
      <c r="D60" s="917">
        <f>SUM(D54:D59)</f>
        <v>0</v>
      </c>
      <c r="E60" s="919"/>
      <c r="F60" s="919"/>
      <c r="G60" s="919"/>
      <c r="H60" s="919"/>
      <c r="I60" s="919"/>
      <c r="J60" s="919"/>
      <c r="K60" s="912"/>
    </row>
    <row r="61" spans="1:11" s="383" customFormat="1">
      <c r="A61" s="379" t="s">
        <v>550</v>
      </c>
      <c r="B61" s="917">
        <f>'Sources and Uses Budget'!C62</f>
        <v>21159895</v>
      </c>
      <c r="C61" s="917">
        <f>SUM(C8+C11+C13+C14+C15+C25+C26+C37+C41+C42+C52+C60)</f>
        <v>0</v>
      </c>
      <c r="D61" s="917">
        <f>SUM(D8+D11+D13+D14+D15+D25+D26+D37+D41+D42+D52+D60)</f>
        <v>0</v>
      </c>
      <c r="E61" s="917">
        <f>'Sources and Uses Budget'!S62</f>
        <v>18626073</v>
      </c>
      <c r="F61" s="917">
        <f>SUM(F10+F13+F14+F15+F25+F26+F37+F41+F42+F52)</f>
        <v>0</v>
      </c>
      <c r="G61" s="917">
        <f>SUM(G10+G13+G14+G15+G25+G26+G37+G41+G42+G52)</f>
        <v>0</v>
      </c>
      <c r="H61" s="917">
        <f>'Sources and Uses Budget'!T62</f>
        <v>0</v>
      </c>
      <c r="I61" s="917">
        <f>SUM(I11+I13+I14+I15+I25+I26+I37+I41+I42+I52)</f>
        <v>0</v>
      </c>
      <c r="J61" s="917">
        <f>SUM(J11+J13+J14+J15+J25+J26+J37+J41+J42+J52)</f>
        <v>0</v>
      </c>
      <c r="K61" s="912"/>
    </row>
    <row r="62" spans="1:11" s="383" customFormat="1" ht="24">
      <c r="A62" s="365" t="s">
        <v>2241</v>
      </c>
      <c r="B62" s="916"/>
      <c r="C62" s="916"/>
      <c r="D62" s="916"/>
      <c r="E62" s="916"/>
      <c r="F62" s="916"/>
      <c r="G62" s="916"/>
      <c r="H62" s="916"/>
      <c r="I62" s="916"/>
      <c r="J62" s="916"/>
      <c r="K62" s="912"/>
    </row>
    <row r="63" spans="1:11" s="383" customFormat="1">
      <c r="A63" s="369" t="s">
        <v>312</v>
      </c>
      <c r="B63" s="917">
        <f>'Sources and Uses Budget'!C64</f>
        <v>55000</v>
      </c>
      <c r="C63" s="918"/>
      <c r="D63" s="918"/>
      <c r="E63" s="917">
        <f>'Sources and Uses Budget'!S64</f>
        <v>25428</v>
      </c>
      <c r="F63" s="918"/>
      <c r="G63" s="918"/>
      <c r="H63" s="917">
        <f>'Sources and Uses Budget'!T64</f>
        <v>0</v>
      </c>
      <c r="I63" s="918"/>
      <c r="J63" s="918"/>
      <c r="K63" s="912"/>
    </row>
    <row r="64" spans="1:11" s="1384" customFormat="1" ht="24">
      <c r="A64" s="369" t="s">
        <v>2242</v>
      </c>
      <c r="B64" s="917">
        <f>'Sources and Uses Budget'!C65</f>
        <v>0</v>
      </c>
      <c r="C64" s="918"/>
      <c r="D64" s="918"/>
      <c r="E64" s="917">
        <f>'Sources and Uses Budget'!S65</f>
        <v>0</v>
      </c>
      <c r="F64" s="918"/>
      <c r="G64" s="918"/>
      <c r="H64" s="917">
        <f>'Sources and Uses Budget'!T65</f>
        <v>0</v>
      </c>
      <c r="I64" s="918"/>
      <c r="J64" s="918"/>
      <c r="K64" s="912"/>
    </row>
    <row r="65" spans="1:11" s="1384" customFormat="1" ht="24">
      <c r="A65" s="369" t="s">
        <v>2243</v>
      </c>
      <c r="B65" s="917">
        <f>'Sources and Uses Budget'!C66</f>
        <v>0</v>
      </c>
      <c r="C65" s="918"/>
      <c r="D65" s="918"/>
      <c r="E65" s="917">
        <f>'Sources and Uses Budget'!S66</f>
        <v>0</v>
      </c>
      <c r="F65" s="918"/>
      <c r="G65" s="918"/>
      <c r="H65" s="917">
        <f>'Sources and Uses Budget'!T66</f>
        <v>0</v>
      </c>
      <c r="I65" s="918"/>
      <c r="J65" s="918"/>
      <c r="K65" s="912"/>
    </row>
    <row r="66" spans="1:11" s="1384" customFormat="1">
      <c r="A66" s="369" t="s">
        <v>2244</v>
      </c>
      <c r="B66" s="917">
        <f>'Sources and Uses Budget'!C67</f>
        <v>0</v>
      </c>
      <c r="C66" s="918"/>
      <c r="D66" s="918"/>
      <c r="E66" s="917">
        <f>'Sources and Uses Budget'!S67</f>
        <v>0</v>
      </c>
      <c r="F66" s="918"/>
      <c r="G66" s="918"/>
      <c r="H66" s="917">
        <f>'Sources and Uses Budget'!T67</f>
        <v>0</v>
      </c>
      <c r="I66" s="918"/>
      <c r="J66" s="918"/>
      <c r="K66" s="912"/>
    </row>
    <row r="67" spans="1:11" s="383" customFormat="1">
      <c r="A67" s="721" t="str">
        <f>'Sources and Uses Budget'!$A68</f>
        <v>Other: Owner Legal</v>
      </c>
      <c r="B67" s="917">
        <f>'Sources and Uses Budget'!C68</f>
        <v>110000</v>
      </c>
      <c r="C67" s="918"/>
      <c r="D67" s="918"/>
      <c r="E67" s="917">
        <f>'Sources and Uses Budget'!S68</f>
        <v>110000</v>
      </c>
      <c r="F67" s="918"/>
      <c r="G67" s="918"/>
      <c r="H67" s="917">
        <f>'Sources and Uses Budget'!T68</f>
        <v>0</v>
      </c>
      <c r="I67" s="918"/>
      <c r="J67" s="918"/>
      <c r="K67" s="912"/>
    </row>
    <row r="68" spans="1:11" s="383" customFormat="1">
      <c r="A68" s="373" t="s">
        <v>2245</v>
      </c>
      <c r="B68" s="917">
        <f>'Sources and Uses Budget'!C69</f>
        <v>165000</v>
      </c>
      <c r="C68" s="917">
        <f>SUM(C62:C67)</f>
        <v>0</v>
      </c>
      <c r="D68" s="917">
        <f>SUM(D62:D67)</f>
        <v>0</v>
      </c>
      <c r="E68" s="917">
        <f>'Sources and Uses Budget'!S69</f>
        <v>135428</v>
      </c>
      <c r="F68" s="920">
        <f>SUM(F63:F67)</f>
        <v>0</v>
      </c>
      <c r="G68" s="920">
        <f>SUM(G63:G67)</f>
        <v>0</v>
      </c>
      <c r="H68" s="917">
        <f>'Sources and Uses Budget'!T69</f>
        <v>0</v>
      </c>
      <c r="I68" s="920">
        <f>SUM(I63:I67)</f>
        <v>0</v>
      </c>
      <c r="J68" s="920">
        <f>SUM(J63:J67)</f>
        <v>0</v>
      </c>
      <c r="K68" s="912"/>
    </row>
    <row r="69" spans="1:11" s="383" customFormat="1">
      <c r="A69" s="365" t="s">
        <v>313</v>
      </c>
      <c r="B69" s="916"/>
      <c r="C69" s="916"/>
      <c r="D69" s="916"/>
      <c r="E69" s="916"/>
      <c r="F69" s="916"/>
      <c r="G69" s="916"/>
      <c r="H69" s="916"/>
      <c r="I69" s="916"/>
      <c r="J69" s="916"/>
      <c r="K69" s="912"/>
    </row>
    <row r="70" spans="1:11" s="383" customFormat="1">
      <c r="A70" s="369" t="s">
        <v>314</v>
      </c>
      <c r="B70" s="917">
        <f>'Sources and Uses Budget'!C71</f>
        <v>0</v>
      </c>
      <c r="C70" s="918"/>
      <c r="D70" s="918"/>
      <c r="E70" s="919"/>
      <c r="F70" s="919"/>
      <c r="G70" s="919"/>
      <c r="H70" s="919"/>
      <c r="I70" s="919"/>
      <c r="J70" s="919"/>
      <c r="K70" s="912"/>
    </row>
    <row r="71" spans="1:11" s="383" customFormat="1">
      <c r="A71" s="369" t="s">
        <v>315</v>
      </c>
      <c r="B71" s="917">
        <f>'Sources and Uses Budget'!C72</f>
        <v>0</v>
      </c>
      <c r="C71" s="918"/>
      <c r="D71" s="918"/>
      <c r="E71" s="919"/>
      <c r="F71" s="919"/>
      <c r="G71" s="919"/>
      <c r="H71" s="919"/>
      <c r="I71" s="919"/>
      <c r="J71" s="919"/>
      <c r="K71" s="912"/>
    </row>
    <row r="72" spans="1:11" s="383" customFormat="1">
      <c r="A72" s="997" t="s">
        <v>1373</v>
      </c>
      <c r="B72" s="917">
        <f>'Sources and Uses Budget'!C73</f>
        <v>0</v>
      </c>
      <c r="C72" s="918"/>
      <c r="D72" s="918"/>
      <c r="E72" s="919"/>
      <c r="F72" s="919"/>
      <c r="G72" s="919"/>
      <c r="H72" s="919"/>
      <c r="I72" s="919"/>
      <c r="J72" s="919"/>
      <c r="K72" s="912"/>
    </row>
    <row r="73" spans="1:11" s="383" customFormat="1">
      <c r="A73" s="369" t="s">
        <v>316</v>
      </c>
      <c r="B73" s="917">
        <f>'Sources and Uses Budget'!C74</f>
        <v>267720</v>
      </c>
      <c r="C73" s="918"/>
      <c r="D73" s="918"/>
      <c r="E73" s="919"/>
      <c r="F73" s="919"/>
      <c r="G73" s="919"/>
      <c r="H73" s="919"/>
      <c r="I73" s="919"/>
      <c r="J73" s="919"/>
      <c r="K73" s="912"/>
    </row>
    <row r="74" spans="1:11" s="383" customFormat="1">
      <c r="A74" s="721" t="str">
        <f>'Sources and Uses Budget'!$A75</f>
        <v>Other: (Specify)</v>
      </c>
      <c r="B74" s="917">
        <f>'Sources and Uses Budget'!C75</f>
        <v>0</v>
      </c>
      <c r="C74" s="918"/>
      <c r="D74" s="918"/>
      <c r="E74" s="919"/>
      <c r="F74" s="919"/>
      <c r="G74" s="919"/>
      <c r="H74" s="919"/>
      <c r="I74" s="919"/>
      <c r="J74" s="919"/>
      <c r="K74" s="912"/>
    </row>
    <row r="75" spans="1:11" s="383" customFormat="1">
      <c r="A75" s="373" t="s">
        <v>317</v>
      </c>
      <c r="B75" s="917">
        <f>'Sources and Uses Budget'!C76</f>
        <v>267720</v>
      </c>
      <c r="C75" s="917">
        <f>SUM(C70:C74)</f>
        <v>0</v>
      </c>
      <c r="D75" s="917">
        <f>SUM(D70:D74)</f>
        <v>0</v>
      </c>
      <c r="E75" s="919"/>
      <c r="F75" s="919"/>
      <c r="G75" s="919"/>
      <c r="H75" s="919"/>
      <c r="I75" s="919"/>
      <c r="J75" s="919"/>
      <c r="K75" s="912"/>
    </row>
    <row r="76" spans="1:11" s="383" customFormat="1">
      <c r="A76" s="365" t="s">
        <v>1970</v>
      </c>
      <c r="B76" s="916"/>
      <c r="C76" s="916"/>
      <c r="D76" s="916"/>
      <c r="E76" s="916"/>
      <c r="F76" s="916"/>
      <c r="G76" s="916"/>
      <c r="H76" s="916"/>
      <c r="I76" s="916"/>
      <c r="J76" s="916"/>
      <c r="K76" s="912"/>
    </row>
    <row r="77" spans="1:11" s="383" customFormat="1">
      <c r="A77" s="369" t="s">
        <v>1971</v>
      </c>
      <c r="B77" s="917">
        <f>'Sources and Uses Budget'!C78</f>
        <v>1707745</v>
      </c>
      <c r="C77" s="918"/>
      <c r="D77" s="918"/>
      <c r="E77" s="917">
        <f>'Sources and Uses Budget'!S78</f>
        <v>1707745</v>
      </c>
      <c r="F77" s="918"/>
      <c r="G77" s="918"/>
      <c r="H77" s="917">
        <f>'Sources and Uses Budget'!T78</f>
        <v>0</v>
      </c>
      <c r="I77" s="918"/>
      <c r="J77" s="918"/>
      <c r="K77" s="912"/>
    </row>
    <row r="78" spans="1:11" s="1091" customFormat="1">
      <c r="A78" s="369" t="s">
        <v>597</v>
      </c>
      <c r="B78" s="917">
        <f>'Sources and Uses Budget'!C79</f>
        <v>80483</v>
      </c>
      <c r="C78" s="918"/>
      <c r="D78" s="918"/>
      <c r="E78" s="917">
        <f>'Sources and Uses Budget'!S79</f>
        <v>80483</v>
      </c>
      <c r="F78" s="918"/>
      <c r="G78" s="918"/>
      <c r="H78" s="917">
        <f>'Sources and Uses Budget'!T79</f>
        <v>0</v>
      </c>
      <c r="I78" s="918"/>
      <c r="J78" s="918"/>
      <c r="K78" s="912"/>
    </row>
    <row r="79" spans="1:11" s="383" customFormat="1">
      <c r="A79" s="373" t="s">
        <v>1969</v>
      </c>
      <c r="B79" s="917">
        <f>'Sources and Uses Budget'!C80</f>
        <v>1788228</v>
      </c>
      <c r="C79" s="1124">
        <f>SUM(C77:C78)</f>
        <v>0</v>
      </c>
      <c r="D79" s="1124">
        <f>SUM(D77:D78)</f>
        <v>0</v>
      </c>
      <c r="E79" s="917">
        <f>'Sources and Uses Budget'!S80</f>
        <v>1788228</v>
      </c>
      <c r="F79" s="1124">
        <f>SUM(F77:F78)</f>
        <v>0</v>
      </c>
      <c r="G79" s="1124">
        <f>SUM(G77:G78)</f>
        <v>0</v>
      </c>
      <c r="H79" s="917">
        <f>'Sources and Uses Budget'!T80</f>
        <v>0</v>
      </c>
      <c r="I79" s="1124">
        <f>SUM(I77:I78)</f>
        <v>0</v>
      </c>
      <c r="J79" s="1124">
        <f>SUM(J77:J78)</f>
        <v>0</v>
      </c>
      <c r="K79" s="912"/>
    </row>
    <row r="80" spans="1:11" s="383" customFormat="1">
      <c r="A80" s="365" t="s">
        <v>573</v>
      </c>
      <c r="B80" s="916"/>
      <c r="C80" s="916"/>
      <c r="D80" s="916"/>
      <c r="E80" s="916"/>
      <c r="F80" s="916"/>
      <c r="G80" s="916"/>
      <c r="H80" s="916"/>
      <c r="I80" s="916"/>
      <c r="J80" s="916"/>
      <c r="K80" s="912"/>
    </row>
    <row r="81" spans="1:11" s="383" customFormat="1" ht="14.1" customHeight="1">
      <c r="A81" s="369" t="s">
        <v>574</v>
      </c>
      <c r="B81" s="917">
        <f>'Sources and Uses Budget'!C82</f>
        <v>126600</v>
      </c>
      <c r="C81" s="918"/>
      <c r="D81" s="918"/>
      <c r="E81" s="919"/>
      <c r="F81" s="919"/>
      <c r="G81" s="919"/>
      <c r="H81" s="919"/>
      <c r="I81" s="919"/>
      <c r="J81" s="919"/>
      <c r="K81" s="912"/>
    </row>
    <row r="82" spans="1:11" s="383" customFormat="1">
      <c r="A82" s="369" t="s">
        <v>575</v>
      </c>
      <c r="B82" s="917">
        <f>'Sources and Uses Budget'!C83</f>
        <v>15000</v>
      </c>
      <c r="C82" s="918"/>
      <c r="D82" s="918"/>
      <c r="E82" s="917">
        <f>'Sources and Uses Budget'!S83</f>
        <v>15000</v>
      </c>
      <c r="F82" s="918"/>
      <c r="G82" s="918"/>
      <c r="H82" s="917">
        <f>'Sources and Uses Budget'!T83</f>
        <v>0</v>
      </c>
      <c r="I82" s="918"/>
      <c r="J82" s="918"/>
      <c r="K82" s="912"/>
    </row>
    <row r="83" spans="1:11" s="383" customFormat="1">
      <c r="A83" s="369" t="s">
        <v>576</v>
      </c>
      <c r="B83" s="917">
        <f>'Sources and Uses Budget'!C84</f>
        <v>1278798</v>
      </c>
      <c r="C83" s="918"/>
      <c r="D83" s="918"/>
      <c r="E83" s="917">
        <f>'Sources and Uses Budget'!S84</f>
        <v>1278798</v>
      </c>
      <c r="F83" s="918"/>
      <c r="G83" s="918"/>
      <c r="H83" s="917">
        <f>'Sources and Uses Budget'!T84</f>
        <v>0</v>
      </c>
      <c r="I83" s="918"/>
      <c r="J83" s="918"/>
      <c r="K83" s="912"/>
    </row>
    <row r="84" spans="1:11" s="383" customFormat="1">
      <c r="A84" s="369" t="s">
        <v>577</v>
      </c>
      <c r="B84" s="917">
        <f>'Sources and Uses Budget'!C85</f>
        <v>118900</v>
      </c>
      <c r="C84" s="918"/>
      <c r="D84" s="918"/>
      <c r="E84" s="917">
        <f>'Sources and Uses Budget'!S85</f>
        <v>118900</v>
      </c>
      <c r="F84" s="918"/>
      <c r="G84" s="918"/>
      <c r="H84" s="917">
        <f>'Sources and Uses Budget'!T85</f>
        <v>0</v>
      </c>
      <c r="I84" s="918"/>
      <c r="J84" s="918"/>
      <c r="K84" s="912"/>
    </row>
    <row r="85" spans="1:11" s="383" customFormat="1">
      <c r="A85" s="369" t="s">
        <v>578</v>
      </c>
      <c r="B85" s="917">
        <f>'Sources and Uses Budget'!C86</f>
        <v>0</v>
      </c>
      <c r="C85" s="918"/>
      <c r="D85" s="918"/>
      <c r="E85" s="917">
        <f>'Sources and Uses Budget'!S86</f>
        <v>0</v>
      </c>
      <c r="F85" s="918"/>
      <c r="G85" s="918"/>
      <c r="H85" s="917">
        <f>'Sources and Uses Budget'!T86</f>
        <v>0</v>
      </c>
      <c r="I85" s="918"/>
      <c r="J85" s="918"/>
      <c r="K85" s="912"/>
    </row>
    <row r="86" spans="1:11" s="383" customFormat="1">
      <c r="A86" s="369" t="s">
        <v>579</v>
      </c>
      <c r="B86" s="917">
        <f>'Sources and Uses Budget'!C87</f>
        <v>20000</v>
      </c>
      <c r="C86" s="918"/>
      <c r="D86" s="918"/>
      <c r="E86" s="919"/>
      <c r="F86" s="919"/>
      <c r="G86" s="919"/>
      <c r="H86" s="919"/>
      <c r="I86" s="919"/>
      <c r="J86" s="919"/>
      <c r="K86" s="912"/>
    </row>
    <row r="87" spans="1:11" s="383" customFormat="1">
      <c r="A87" s="369" t="s">
        <v>580</v>
      </c>
      <c r="B87" s="917">
        <f>'Sources and Uses Budget'!C88</f>
        <v>56500</v>
      </c>
      <c r="C87" s="918"/>
      <c r="D87" s="918"/>
      <c r="E87" s="917">
        <f>'Sources and Uses Budget'!S88</f>
        <v>56500</v>
      </c>
      <c r="F87" s="918"/>
      <c r="G87" s="918"/>
      <c r="H87" s="917">
        <f>'Sources and Uses Budget'!T88</f>
        <v>0</v>
      </c>
      <c r="I87" s="918"/>
      <c r="J87" s="918"/>
      <c r="K87" s="912"/>
    </row>
    <row r="88" spans="1:11" s="383" customFormat="1">
      <c r="A88" s="369" t="s">
        <v>581</v>
      </c>
      <c r="B88" s="917">
        <f>'Sources and Uses Budget'!C89</f>
        <v>5000</v>
      </c>
      <c r="C88" s="918"/>
      <c r="D88" s="918"/>
      <c r="E88" s="917">
        <f>'Sources and Uses Budget'!S89</f>
        <v>0</v>
      </c>
      <c r="F88" s="918"/>
      <c r="G88" s="918"/>
      <c r="H88" s="917">
        <f>'Sources and Uses Budget'!T89</f>
        <v>0</v>
      </c>
      <c r="I88" s="918"/>
      <c r="J88" s="918"/>
      <c r="K88" s="912"/>
    </row>
    <row r="89" spans="1:11" s="383" customFormat="1">
      <c r="A89" s="721" t="s">
        <v>1455</v>
      </c>
      <c r="B89" s="917">
        <f>'Sources and Uses Budget'!C90</f>
        <v>0</v>
      </c>
      <c r="C89" s="918"/>
      <c r="D89" s="918"/>
      <c r="E89" s="917">
        <f>'Sources and Uses Budget'!S90</f>
        <v>0</v>
      </c>
      <c r="F89" s="918"/>
      <c r="G89" s="918"/>
      <c r="H89" s="917">
        <f>'Sources and Uses Budget'!T90</f>
        <v>0</v>
      </c>
      <c r="I89" s="918"/>
      <c r="J89" s="918"/>
      <c r="K89" s="912"/>
    </row>
    <row r="90" spans="1:11" s="383" customFormat="1">
      <c r="A90" s="721" t="s">
        <v>1967</v>
      </c>
      <c r="B90" s="917">
        <f>'Sources and Uses Budget'!C91</f>
        <v>2500</v>
      </c>
      <c r="C90" s="918"/>
      <c r="D90" s="918"/>
      <c r="E90" s="917">
        <f>'Sources and Uses Budget'!S91</f>
        <v>2500</v>
      </c>
      <c r="F90" s="918"/>
      <c r="G90" s="918"/>
      <c r="H90" s="917">
        <f>'Sources and Uses Budget'!T91</f>
        <v>0</v>
      </c>
      <c r="I90" s="918"/>
      <c r="J90" s="918"/>
      <c r="K90" s="912"/>
    </row>
    <row r="91" spans="1:11" s="383" customFormat="1">
      <c r="A91" s="721" t="str">
        <f>'Sources and Uses Budget'!$A92</f>
        <v>Other: Acq title/recording</v>
      </c>
      <c r="B91" s="917">
        <f>'Sources and Uses Budget'!C92</f>
        <v>15000</v>
      </c>
      <c r="C91" s="918"/>
      <c r="D91" s="918"/>
      <c r="E91" s="917">
        <f>'Sources and Uses Budget'!S92</f>
        <v>0</v>
      </c>
      <c r="F91" s="918"/>
      <c r="G91" s="918"/>
      <c r="H91" s="917">
        <f>'Sources and Uses Budget'!T92</f>
        <v>0</v>
      </c>
      <c r="I91" s="918"/>
      <c r="J91" s="918"/>
      <c r="K91" s="912"/>
    </row>
    <row r="92" spans="1:11" s="383" customFormat="1">
      <c r="A92" s="721" t="str">
        <f>'Sources and Uses Budget'!$A93</f>
        <v>Other: Special Inspections</v>
      </c>
      <c r="B92" s="917">
        <f>'Sources and Uses Budget'!C93</f>
        <v>50000</v>
      </c>
      <c r="C92" s="918"/>
      <c r="D92" s="918"/>
      <c r="E92" s="917">
        <f>'Sources and Uses Budget'!S93</f>
        <v>50000</v>
      </c>
      <c r="F92" s="918"/>
      <c r="G92" s="918"/>
      <c r="H92" s="917">
        <f>'Sources and Uses Budget'!T93</f>
        <v>0</v>
      </c>
      <c r="I92" s="918"/>
      <c r="J92" s="918"/>
      <c r="K92" s="912"/>
    </row>
    <row r="93" spans="1:11" s="383" customFormat="1">
      <c r="A93" s="721" t="str">
        <f>'Sources and Uses Budget'!$A94</f>
        <v>Other: Lease-up Expenses</v>
      </c>
      <c r="B93" s="917">
        <f>'Sources and Uses Budget'!C94</f>
        <v>25000</v>
      </c>
      <c r="C93" s="918"/>
      <c r="D93" s="918"/>
      <c r="E93" s="917">
        <f>'Sources and Uses Budget'!S94</f>
        <v>0</v>
      </c>
      <c r="F93" s="918"/>
      <c r="G93" s="918"/>
      <c r="H93" s="917">
        <f>'Sources and Uses Budget'!T94</f>
        <v>0</v>
      </c>
      <c r="I93" s="918"/>
      <c r="J93" s="918"/>
      <c r="K93" s="912"/>
    </row>
    <row r="94" spans="1:11" s="383" customFormat="1">
      <c r="A94" s="373" t="s">
        <v>582</v>
      </c>
      <c r="B94" s="917">
        <f>'Sources and Uses Budget'!C95</f>
        <v>1713298</v>
      </c>
      <c r="C94" s="917">
        <f>SUM(C81:C93)</f>
        <v>0</v>
      </c>
      <c r="D94" s="917">
        <f>SUM(D81:D93)</f>
        <v>0</v>
      </c>
      <c r="E94" s="917">
        <f>'Sources and Uses Budget'!S95</f>
        <v>1521698</v>
      </c>
      <c r="F94" s="920">
        <f>SUM(F82:F85,F87:F93)</f>
        <v>0</v>
      </c>
      <c r="G94" s="920">
        <f>SUM(G82:G85,G87:G93)</f>
        <v>0</v>
      </c>
      <c r="H94" s="917">
        <f>'Sources and Uses Budget'!T95</f>
        <v>0</v>
      </c>
      <c r="I94" s="917">
        <f>SUM(I82:I85,I87:I93)</f>
        <v>0</v>
      </c>
      <c r="J94" s="917">
        <f>SUM(J82:J85,J87:J93)</f>
        <v>0</v>
      </c>
      <c r="K94" s="912"/>
    </row>
    <row r="95" spans="1:11" s="383" customFormat="1">
      <c r="A95" s="373" t="s">
        <v>1509</v>
      </c>
      <c r="B95" s="917">
        <f>'Sources and Uses Budget'!C96</f>
        <v>25094141</v>
      </c>
      <c r="C95" s="917">
        <f>SUM(C61+C68+C75+C79+C94)</f>
        <v>0</v>
      </c>
      <c r="D95" s="917">
        <f>SUM(D61+D68+D75+D79+D94)</f>
        <v>0</v>
      </c>
      <c r="E95" s="917">
        <f>'Sources and Uses Budget'!S96</f>
        <v>22071427</v>
      </c>
      <c r="F95" s="920">
        <f>SUM(+F61+F68+F79+F94)</f>
        <v>0</v>
      </c>
      <c r="G95" s="920">
        <f>SUM(+G61+G68+G79+G94)</f>
        <v>0</v>
      </c>
      <c r="H95" s="917">
        <f>'Sources and Uses Budget'!T96</f>
        <v>0</v>
      </c>
      <c r="I95" s="920">
        <f>SUM(I61+I68+I79+I94)</f>
        <v>0</v>
      </c>
      <c r="J95" s="920">
        <f>SUM(J61+J68+J79+J94)</f>
        <v>0</v>
      </c>
      <c r="K95" s="912"/>
    </row>
    <row r="96" spans="1:11" s="383" customFormat="1">
      <c r="A96" s="365" t="s">
        <v>584</v>
      </c>
      <c r="B96" s="916"/>
      <c r="C96" s="916"/>
      <c r="D96" s="916"/>
      <c r="E96" s="916"/>
      <c r="F96" s="916"/>
      <c r="G96" s="916"/>
      <c r="H96" s="916"/>
      <c r="I96" s="916"/>
      <c r="J96" s="916"/>
      <c r="K96" s="912"/>
    </row>
    <row r="97" spans="1:11" s="383" customFormat="1">
      <c r="A97" s="369" t="s">
        <v>585</v>
      </c>
      <c r="B97" s="917">
        <f>'Sources and Uses Budget'!C98</f>
        <v>2200000</v>
      </c>
      <c r="C97" s="918"/>
      <c r="D97" s="918"/>
      <c r="E97" s="917">
        <f>'Sources and Uses Budget'!S98</f>
        <v>2200000</v>
      </c>
      <c r="F97" s="918"/>
      <c r="G97" s="918"/>
      <c r="H97" s="917">
        <f>'Sources and Uses Budget'!T98</f>
        <v>0</v>
      </c>
      <c r="I97" s="918"/>
      <c r="J97" s="918"/>
      <c r="K97" s="912"/>
    </row>
    <row r="98" spans="1:11" s="383" customFormat="1">
      <c r="A98" s="369" t="s">
        <v>2246</v>
      </c>
      <c r="B98" s="917">
        <f>'Sources and Uses Budget'!C99</f>
        <v>0</v>
      </c>
      <c r="C98" s="918"/>
      <c r="D98" s="918"/>
      <c r="E98" s="917">
        <f>'Sources and Uses Budget'!S99</f>
        <v>0</v>
      </c>
      <c r="F98" s="918"/>
      <c r="G98" s="918"/>
      <c r="H98" s="917">
        <f>'Sources and Uses Budget'!T99</f>
        <v>0</v>
      </c>
      <c r="I98" s="918"/>
      <c r="J98" s="918"/>
      <c r="K98" s="912"/>
    </row>
    <row r="99" spans="1:11" s="383" customFormat="1" ht="12" customHeight="1">
      <c r="A99" s="369" t="s">
        <v>586</v>
      </c>
      <c r="B99" s="917">
        <f>'Sources and Uses Budget'!C100</f>
        <v>0</v>
      </c>
      <c r="C99" s="918"/>
      <c r="D99" s="918"/>
      <c r="E99" s="917">
        <f>'Sources and Uses Budget'!S100</f>
        <v>0</v>
      </c>
      <c r="F99" s="918"/>
      <c r="G99" s="918"/>
      <c r="H99" s="917">
        <f>'Sources and Uses Budget'!T100</f>
        <v>0</v>
      </c>
      <c r="I99" s="918"/>
      <c r="J99" s="918"/>
      <c r="K99" s="912"/>
    </row>
    <row r="100" spans="1:11" s="383" customFormat="1">
      <c r="A100" s="369" t="s">
        <v>1374</v>
      </c>
      <c r="B100" s="917">
        <f>'Sources and Uses Budget'!C101</f>
        <v>0</v>
      </c>
      <c r="C100" s="918"/>
      <c r="D100" s="918"/>
      <c r="E100" s="917">
        <f>'Sources and Uses Budget'!S101</f>
        <v>0</v>
      </c>
      <c r="F100" s="918"/>
      <c r="G100" s="918"/>
      <c r="H100" s="917">
        <f>'Sources and Uses Budget'!T101</f>
        <v>0</v>
      </c>
      <c r="I100" s="918"/>
      <c r="J100" s="918"/>
      <c r="K100" s="912"/>
    </row>
    <row r="101" spans="1:11" s="383" customFormat="1">
      <c r="A101" s="721" t="str">
        <f>'Sources and Uses Budget'!$A102</f>
        <v>Other: (Specify)</v>
      </c>
      <c r="B101" s="917">
        <f>'Sources and Uses Budget'!C102</f>
        <v>0</v>
      </c>
      <c r="C101" s="918"/>
      <c r="D101" s="918"/>
      <c r="E101" s="917">
        <f>'Sources and Uses Budget'!S102</f>
        <v>0</v>
      </c>
      <c r="F101" s="918"/>
      <c r="G101" s="918"/>
      <c r="H101" s="917">
        <f>'Sources and Uses Budget'!T102</f>
        <v>0</v>
      </c>
      <c r="I101" s="918"/>
      <c r="J101" s="918"/>
      <c r="K101" s="912"/>
    </row>
    <row r="102" spans="1:11" s="383" customFormat="1">
      <c r="A102" s="373" t="s">
        <v>587</v>
      </c>
      <c r="B102" s="917">
        <f>'Sources and Uses Budget'!C103</f>
        <v>2200000</v>
      </c>
      <c r="C102" s="917">
        <f>SUM(C97:C101)</f>
        <v>0</v>
      </c>
      <c r="D102" s="917">
        <f>SUM(D97:D101)</f>
        <v>0</v>
      </c>
      <c r="E102" s="917">
        <f>'Sources and Uses Budget'!S103</f>
        <v>2200000</v>
      </c>
      <c r="F102" s="920">
        <f>SUM(F97:F101)</f>
        <v>0</v>
      </c>
      <c r="G102" s="920">
        <f>SUM(G97:G101)</f>
        <v>0</v>
      </c>
      <c r="H102" s="917">
        <f>'Sources and Uses Budget'!T103</f>
        <v>0</v>
      </c>
      <c r="I102" s="920">
        <f>SUM(I97:I101)</f>
        <v>0</v>
      </c>
      <c r="J102" s="920">
        <f>SUM(J97:J101)</f>
        <v>0</v>
      </c>
      <c r="K102" s="912"/>
    </row>
    <row r="103" spans="1:11" s="383" customFormat="1">
      <c r="A103" s="373" t="s">
        <v>1510</v>
      </c>
      <c r="B103" s="917">
        <f>'Sources and Uses Budget'!C104</f>
        <v>27294141</v>
      </c>
      <c r="C103" s="920">
        <f>SUM(C95+C102)</f>
        <v>0</v>
      </c>
      <c r="D103" s="920">
        <f>SUM(D95+D102)</f>
        <v>0</v>
      </c>
      <c r="E103" s="917">
        <f>'Sources and Uses Budget'!S104</f>
        <v>24271427</v>
      </c>
      <c r="F103" s="920">
        <f>F95+F102</f>
        <v>0</v>
      </c>
      <c r="G103" s="920">
        <f>G95+G102</f>
        <v>0</v>
      </c>
      <c r="H103" s="917">
        <f>'Sources and Uses Budget'!T104</f>
        <v>0</v>
      </c>
      <c r="I103" s="920">
        <f>I95+I102</f>
        <v>0</v>
      </c>
      <c r="J103" s="920">
        <f>J95+J102</f>
        <v>0</v>
      </c>
      <c r="K103" s="912"/>
    </row>
    <row r="104" spans="1:11" s="383" customFormat="1">
      <c r="A104" s="381"/>
      <c r="B104" s="921"/>
      <c r="C104" s="921"/>
      <c r="D104" s="921"/>
      <c r="E104" s="917">
        <f>'Sources and Uses Budget'!S105</f>
        <v>0</v>
      </c>
      <c r="F104" s="918"/>
      <c r="G104" s="918"/>
      <c r="H104" s="917">
        <f>'Sources and Uses Budget'!T105</f>
        <v>0</v>
      </c>
      <c r="I104" s="918"/>
      <c r="J104" s="918"/>
      <c r="K104" s="912"/>
    </row>
    <row r="105" spans="1:11" s="383" customFormat="1">
      <c r="A105" s="890"/>
      <c r="B105" s="922"/>
      <c r="C105" s="921"/>
      <c r="D105" s="921"/>
      <c r="E105" s="917">
        <f>'Sources and Uses Budget'!S106</f>
        <v>24271427</v>
      </c>
      <c r="F105" s="923">
        <f>F103+F104</f>
        <v>0</v>
      </c>
      <c r="G105" s="923">
        <f>G103+G104</f>
        <v>0</v>
      </c>
      <c r="H105" s="917">
        <f>'Sources and Uses Budget'!T106</f>
        <v>0</v>
      </c>
      <c r="I105" s="923">
        <f>I103+I104</f>
        <v>0</v>
      </c>
      <c r="J105" s="923">
        <f>J103+J104</f>
        <v>0</v>
      </c>
      <c r="K105" s="912"/>
    </row>
    <row r="106" spans="1:11" s="383" customFormat="1" hidden="1">
      <c r="A106" s="890"/>
      <c r="B106" s="382"/>
      <c r="C106" s="382"/>
      <c r="D106" s="382"/>
      <c r="J106" s="915"/>
      <c r="K106" s="912"/>
    </row>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zoomScaleNormal="100" zoomScaleSheetLayoutView="100" workbookViewId="0">
      <selection activeCell="Z33" sqref="Z33"/>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295" t="s">
        <v>1973</v>
      </c>
      <c r="B1" s="2296"/>
      <c r="C1" s="2296"/>
      <c r="D1" s="2296"/>
      <c r="E1" s="2296"/>
      <c r="F1" s="2296"/>
      <c r="G1" s="2296"/>
      <c r="H1" s="2296"/>
      <c r="I1" s="2296"/>
      <c r="J1" s="2296"/>
      <c r="K1" s="2296"/>
      <c r="L1" s="2296"/>
      <c r="M1" s="2296"/>
      <c r="N1" s="2296"/>
      <c r="O1" s="2296"/>
      <c r="P1" s="2296"/>
      <c r="Q1" s="2296"/>
      <c r="R1" s="2296"/>
      <c r="S1" s="2296"/>
      <c r="T1" s="2296"/>
      <c r="U1" s="2296"/>
      <c r="V1" s="2296"/>
      <c r="W1" s="2296"/>
      <c r="X1" s="2296"/>
      <c r="Y1" s="2296"/>
      <c r="Z1" s="2296"/>
      <c r="AA1" s="2296"/>
      <c r="AB1" s="2296"/>
      <c r="AC1" s="2296"/>
      <c r="AD1" s="2296"/>
      <c r="AE1" s="2296"/>
      <c r="AF1" s="2296"/>
      <c r="AG1" s="2296"/>
      <c r="AH1" s="2296"/>
      <c r="AI1" s="2296"/>
      <c r="AJ1" s="2296"/>
      <c r="AK1" s="2296"/>
      <c r="AL1" s="2296"/>
      <c r="AM1" s="2296"/>
      <c r="AN1" s="2296"/>
    </row>
    <row r="2" spans="1:40" ht="13.5" thickBot="1">
      <c r="A2" s="2297"/>
      <c r="B2" s="2297"/>
      <c r="C2" s="2297"/>
      <c r="D2" s="2297"/>
      <c r="E2" s="2297"/>
      <c r="F2" s="2297"/>
      <c r="G2" s="2297"/>
      <c r="H2" s="2297"/>
      <c r="I2" s="2297"/>
      <c r="J2" s="2297"/>
      <c r="K2" s="2297"/>
      <c r="L2" s="2297"/>
      <c r="M2" s="2297"/>
      <c r="N2" s="2297"/>
      <c r="O2" s="2297"/>
      <c r="P2" s="2297"/>
      <c r="Q2" s="2297"/>
      <c r="R2" s="2297"/>
      <c r="S2" s="2297"/>
      <c r="T2" s="2297"/>
      <c r="U2" s="2297"/>
      <c r="V2" s="2297"/>
      <c r="W2" s="2297"/>
      <c r="X2" s="2297"/>
      <c r="Y2" s="2297"/>
      <c r="Z2" s="2297"/>
      <c r="AA2" s="2297"/>
      <c r="AB2" s="2297"/>
      <c r="AC2" s="2297"/>
      <c r="AD2" s="2297"/>
      <c r="AE2" s="2297"/>
      <c r="AF2" s="2297"/>
      <c r="AG2" s="2297"/>
      <c r="AH2" s="2297"/>
      <c r="AI2" s="2297"/>
      <c r="AJ2" s="2297"/>
      <c r="AK2" s="2297"/>
      <c r="AL2" s="2297"/>
      <c r="AM2" s="2297"/>
      <c r="AN2" s="2297"/>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5" t="s">
        <v>2071</v>
      </c>
      <c r="AA6" s="2"/>
    </row>
    <row r="7" spans="1:40" ht="13.7" customHeight="1">
      <c r="B7" s="9"/>
      <c r="C7" s="10"/>
      <c r="D7" s="10"/>
      <c r="E7" s="10"/>
      <c r="F7" s="10"/>
      <c r="G7" s="10"/>
      <c r="H7" s="10"/>
      <c r="I7" s="10"/>
      <c r="J7" s="10"/>
      <c r="K7" s="10"/>
      <c r="L7" s="10"/>
      <c r="M7" s="10"/>
      <c r="N7" s="10"/>
      <c r="O7" s="10"/>
      <c r="P7" s="10"/>
      <c r="Q7" s="10"/>
      <c r="R7" s="10"/>
      <c r="S7" s="10"/>
      <c r="T7" s="2275" t="str">
        <f>IF(T25=100%,'Sources and Basis Breakdown'!G2,'Sources and Basis Breakdown'!F2)</f>
        <v>70% PVC for New Const/
Rehabilitation
DDA/QCT
Building(s)</v>
      </c>
      <c r="U7" s="2275"/>
      <c r="V7" s="2275"/>
      <c r="W7" s="2275"/>
      <c r="X7" s="2275"/>
      <c r="Y7" s="2275" t="str">
        <f>IF(T25=100%," ",'Sources and Basis Breakdown'!G2)</f>
        <v>70% PVC for New Const/
Rehabilitation
NON-DDA/
NON-QCT Building(s)</v>
      </c>
      <c r="Z7" s="2275"/>
      <c r="AA7" s="2275"/>
      <c r="AB7" s="2275"/>
      <c r="AC7" s="2275"/>
      <c r="AD7" s="2275" t="str">
        <f>IF(T25=100%,'Sources and Basis Breakdown'!J2,'Sources and Basis Breakdown'!I2)</f>
        <v>30% PVC for Acquisition
DDA/QCT Building(s)</v>
      </c>
      <c r="AE7" s="2275"/>
      <c r="AF7" s="2275"/>
      <c r="AG7" s="2275"/>
      <c r="AH7" s="2275"/>
      <c r="AI7" s="2275" t="str">
        <f>IF(T25=100%," ",'Sources and Basis Breakdown'!J2)</f>
        <v>30% PVC for Acquisition
NON-DDA/
NON-QCT Building(s)</v>
      </c>
      <c r="AJ7" s="2275"/>
      <c r="AK7" s="2275"/>
      <c r="AL7" s="2275"/>
      <c r="AM7" s="2275"/>
    </row>
    <row r="8" spans="1:40" ht="12.75" customHeight="1">
      <c r="B8" s="337"/>
      <c r="C8" s="1"/>
      <c r="D8" s="1"/>
      <c r="E8" s="1"/>
      <c r="F8" s="1"/>
      <c r="G8" s="1"/>
      <c r="H8" s="1"/>
      <c r="I8" s="1"/>
      <c r="J8" s="1"/>
      <c r="K8" s="1"/>
      <c r="L8" s="1"/>
      <c r="M8" s="1"/>
      <c r="N8" s="1"/>
      <c r="O8" s="1"/>
      <c r="P8" s="1"/>
      <c r="Q8" s="1"/>
      <c r="R8" s="1"/>
      <c r="S8" s="1"/>
      <c r="T8" s="2275"/>
      <c r="U8" s="2275"/>
      <c r="V8" s="2275"/>
      <c r="W8" s="2275"/>
      <c r="X8" s="2275"/>
      <c r="Y8" s="2275"/>
      <c r="Z8" s="2275"/>
      <c r="AA8" s="2275"/>
      <c r="AB8" s="2275"/>
      <c r="AC8" s="2275"/>
      <c r="AD8" s="2275"/>
      <c r="AE8" s="2275"/>
      <c r="AF8" s="2275"/>
      <c r="AG8" s="2275"/>
      <c r="AH8" s="2275"/>
      <c r="AI8" s="2275"/>
      <c r="AJ8" s="2275"/>
      <c r="AK8" s="2275"/>
      <c r="AL8" s="2275"/>
      <c r="AM8" s="2275"/>
    </row>
    <row r="9" spans="1:40" ht="12.75">
      <c r="B9" s="337"/>
      <c r="C9" s="1"/>
      <c r="D9" s="1"/>
      <c r="E9" s="1"/>
      <c r="F9" s="1"/>
      <c r="G9" s="1"/>
      <c r="H9" s="1"/>
      <c r="I9" s="1"/>
      <c r="J9" s="1"/>
      <c r="K9" s="1"/>
      <c r="L9" s="1"/>
      <c r="M9" s="1"/>
      <c r="N9" s="1"/>
      <c r="O9" s="1"/>
      <c r="P9" s="1"/>
      <c r="Q9" s="1"/>
      <c r="R9" s="1"/>
      <c r="S9" s="1"/>
      <c r="T9" s="2275"/>
      <c r="U9" s="2275"/>
      <c r="V9" s="2275"/>
      <c r="W9" s="2275"/>
      <c r="X9" s="2275"/>
      <c r="Y9" s="2275"/>
      <c r="Z9" s="2275"/>
      <c r="AA9" s="2275"/>
      <c r="AB9" s="2275"/>
      <c r="AC9" s="2275"/>
      <c r="AD9" s="2275"/>
      <c r="AE9" s="2275"/>
      <c r="AF9" s="2275"/>
      <c r="AG9" s="2275"/>
      <c r="AH9" s="2275"/>
      <c r="AI9" s="2275"/>
      <c r="AJ9" s="2275"/>
      <c r="AK9" s="2275"/>
      <c r="AL9" s="2275"/>
      <c r="AM9" s="2275"/>
    </row>
    <row r="10" spans="1:40" ht="41.45" customHeight="1">
      <c r="B10" s="277"/>
      <c r="C10" s="278"/>
      <c r="D10" s="278"/>
      <c r="E10" s="278"/>
      <c r="F10" s="278"/>
      <c r="G10" s="278"/>
      <c r="H10" s="278"/>
      <c r="I10" s="278"/>
      <c r="J10" s="278"/>
      <c r="K10" s="278"/>
      <c r="L10" s="278"/>
      <c r="M10" s="278"/>
      <c r="N10" s="278"/>
      <c r="O10" s="278"/>
      <c r="P10" s="278"/>
      <c r="Q10" s="278"/>
      <c r="R10" s="278"/>
      <c r="S10" s="278"/>
      <c r="T10" s="2275"/>
      <c r="U10" s="2275"/>
      <c r="V10" s="2275"/>
      <c r="W10" s="2275"/>
      <c r="X10" s="2275"/>
      <c r="Y10" s="2275"/>
      <c r="Z10" s="2275"/>
      <c r="AA10" s="2275"/>
      <c r="AB10" s="2275"/>
      <c r="AC10" s="2275"/>
      <c r="AD10" s="2275"/>
      <c r="AE10" s="2275"/>
      <c r="AF10" s="2275"/>
      <c r="AG10" s="2275"/>
      <c r="AH10" s="2275"/>
      <c r="AI10" s="2275"/>
      <c r="AJ10" s="2275"/>
      <c r="AK10" s="2275"/>
      <c r="AL10" s="2275"/>
      <c r="AM10" s="2275"/>
    </row>
    <row r="11" spans="1:40" ht="12.75">
      <c r="B11" s="2272" t="s">
        <v>566</v>
      </c>
      <c r="C11" s="2273"/>
      <c r="D11" s="2273"/>
      <c r="E11" s="2273"/>
      <c r="F11" s="2273"/>
      <c r="G11" s="2273"/>
      <c r="H11" s="2273"/>
      <c r="I11" s="2273"/>
      <c r="J11" s="2273"/>
      <c r="K11" s="2273"/>
      <c r="L11" s="2273"/>
      <c r="M11" s="2273"/>
      <c r="N11" s="2273"/>
      <c r="O11" s="2273"/>
      <c r="P11" s="2273"/>
      <c r="Q11" s="2273"/>
      <c r="R11" s="2273"/>
      <c r="S11" s="2274"/>
      <c r="T11" s="2312">
        <f>IF('Sources and Basis Breakdown'!F105=0,'Sources and Basis Breakdown'!E105,'Sources and Basis Breakdown'!F105)</f>
        <v>24271427</v>
      </c>
      <c r="U11" s="2300"/>
      <c r="V11" s="2300"/>
      <c r="W11" s="2300"/>
      <c r="X11" s="2300"/>
      <c r="Y11" s="2299">
        <f>IF(Y7=" ",0,IF('Sources and Basis Breakdown'!G105+'Sources and Basis Breakdown'!F105='Sources and Basis Breakdown'!E105,'Sources and Basis Breakdown'!G105,0))</f>
        <v>0</v>
      </c>
      <c r="Z11" s="2300"/>
      <c r="AA11" s="2300"/>
      <c r="AB11" s="2300"/>
      <c r="AC11" s="2300"/>
      <c r="AD11" s="2300">
        <f>IF('Sources and Basis Breakdown'!I105=0,'Sources and Basis Breakdown'!H105,'Sources and Basis Breakdown'!I105)</f>
        <v>0</v>
      </c>
      <c r="AE11" s="2300"/>
      <c r="AF11" s="2300"/>
      <c r="AG11" s="2300"/>
      <c r="AH11" s="2300"/>
      <c r="AI11" s="2300">
        <f>IF(AI7=" ",0,IF('Sources and Basis Breakdown'!I105+'Sources and Basis Breakdown'!J105='Sources and Basis Breakdown'!H105,'Sources and Basis Breakdown'!J105,0))</f>
        <v>0</v>
      </c>
      <c r="AJ11" s="2300"/>
      <c r="AK11" s="2300"/>
      <c r="AL11" s="2300"/>
      <c r="AM11" s="2300"/>
    </row>
    <row r="12" spans="1:40" ht="12.75">
      <c r="B12" s="2305" t="s">
        <v>496</v>
      </c>
      <c r="C12" s="2306"/>
      <c r="D12" s="2306"/>
      <c r="E12" s="2306"/>
      <c r="F12" s="2306"/>
      <c r="G12" s="2306"/>
      <c r="H12" s="2306"/>
      <c r="I12" s="2306"/>
      <c r="J12" s="2306"/>
      <c r="K12" s="2306"/>
      <c r="L12" s="2306"/>
      <c r="M12" s="2306"/>
      <c r="N12" s="2306"/>
      <c r="O12" s="2306"/>
      <c r="P12" s="2306"/>
      <c r="Q12" s="2306"/>
      <c r="R12" s="2306"/>
      <c r="S12" s="2307"/>
      <c r="T12" s="2302"/>
      <c r="U12" s="2303"/>
      <c r="V12" s="2303"/>
      <c r="W12" s="2303"/>
      <c r="X12" s="2304"/>
      <c r="Y12" s="2302"/>
      <c r="Z12" s="2303"/>
      <c r="AA12" s="2303"/>
      <c r="AB12" s="2303"/>
      <c r="AC12" s="2304"/>
      <c r="AD12" s="2302"/>
      <c r="AE12" s="2303"/>
      <c r="AF12" s="2303"/>
      <c r="AG12" s="2303"/>
      <c r="AH12" s="2304"/>
      <c r="AI12" s="2302"/>
      <c r="AJ12" s="2303"/>
      <c r="AK12" s="2303"/>
      <c r="AL12" s="2303"/>
      <c r="AM12" s="2304"/>
    </row>
    <row r="13" spans="1:40" ht="12.75">
      <c r="B13" s="11"/>
      <c r="C13" s="2308" t="s">
        <v>1930</v>
      </c>
      <c r="D13" s="2309"/>
      <c r="E13" s="2309"/>
      <c r="F13" s="2309"/>
      <c r="G13" s="2309"/>
      <c r="H13" s="2309"/>
      <c r="I13" s="2309"/>
      <c r="J13" s="2309"/>
      <c r="K13" s="2309"/>
      <c r="L13" s="2309"/>
      <c r="M13" s="2309"/>
      <c r="N13" s="2309"/>
      <c r="O13" s="2309"/>
      <c r="P13" s="2309"/>
      <c r="Q13" s="2309"/>
      <c r="R13" s="2309"/>
      <c r="S13" s="2310"/>
      <c r="T13" s="2301"/>
      <c r="U13" s="2298"/>
      <c r="V13" s="2298"/>
      <c r="W13" s="2298"/>
      <c r="X13" s="2298"/>
      <c r="Y13" s="2301"/>
      <c r="Z13" s="2298"/>
      <c r="AA13" s="2298"/>
      <c r="AB13" s="2298"/>
      <c r="AC13" s="2298"/>
      <c r="AD13" s="2298"/>
      <c r="AE13" s="2298"/>
      <c r="AF13" s="2298"/>
      <c r="AG13" s="2298"/>
      <c r="AH13" s="2298"/>
      <c r="AI13" s="2298"/>
      <c r="AJ13" s="2298"/>
      <c r="AK13" s="2298"/>
      <c r="AL13" s="2298"/>
      <c r="AM13" s="2298"/>
    </row>
    <row r="14" spans="1:40" ht="12.75">
      <c r="B14" s="11"/>
      <c r="C14" s="2309" t="s">
        <v>841</v>
      </c>
      <c r="D14" s="2309"/>
      <c r="E14" s="2309"/>
      <c r="F14" s="2309"/>
      <c r="G14" s="2309"/>
      <c r="H14" s="2309"/>
      <c r="I14" s="2309"/>
      <c r="J14" s="2309"/>
      <c r="K14" s="2309"/>
      <c r="L14" s="2309"/>
      <c r="M14" s="2309"/>
      <c r="N14" s="2309"/>
      <c r="O14" s="2309"/>
      <c r="P14" s="2309"/>
      <c r="Q14" s="2309"/>
      <c r="R14" s="2309"/>
      <c r="S14" s="2310"/>
      <c r="T14" s="1783"/>
      <c r="U14" s="1799"/>
      <c r="V14" s="1799"/>
      <c r="W14" s="1799"/>
      <c r="X14" s="1799"/>
      <c r="Y14" s="1783"/>
      <c r="Z14" s="1799"/>
      <c r="AA14" s="1799"/>
      <c r="AB14" s="1799"/>
      <c r="AC14" s="1799"/>
      <c r="AD14" s="1799"/>
      <c r="AE14" s="1799"/>
      <c r="AF14" s="1799"/>
      <c r="AG14" s="1799"/>
      <c r="AH14" s="1799"/>
      <c r="AI14" s="1799"/>
      <c r="AJ14" s="1799"/>
      <c r="AK14" s="1799"/>
      <c r="AL14" s="1799"/>
      <c r="AM14" s="1799"/>
    </row>
    <row r="15" spans="1:40" ht="12.75">
      <c r="B15" s="11"/>
      <c r="C15" s="2309" t="s">
        <v>842</v>
      </c>
      <c r="D15" s="2309"/>
      <c r="E15" s="2309"/>
      <c r="F15" s="2309"/>
      <c r="G15" s="2309"/>
      <c r="H15" s="2309"/>
      <c r="I15" s="2309"/>
      <c r="J15" s="2309"/>
      <c r="K15" s="2309"/>
      <c r="L15" s="2309"/>
      <c r="M15" s="2309"/>
      <c r="N15" s="2309"/>
      <c r="O15" s="2309"/>
      <c r="P15" s="2309"/>
      <c r="Q15" s="2309"/>
      <c r="R15" s="2309"/>
      <c r="S15" s="2310"/>
      <c r="T15" s="1783"/>
      <c r="U15" s="1799"/>
      <c r="V15" s="1799"/>
      <c r="W15" s="1799"/>
      <c r="X15" s="1799"/>
      <c r="Y15" s="1783"/>
      <c r="Z15" s="1799"/>
      <c r="AA15" s="1799"/>
      <c r="AB15" s="1799"/>
      <c r="AC15" s="1799"/>
      <c r="AD15" s="1799"/>
      <c r="AE15" s="1799"/>
      <c r="AF15" s="1799"/>
      <c r="AG15" s="1799"/>
      <c r="AH15" s="1799"/>
      <c r="AI15" s="1799"/>
      <c r="AJ15" s="1799"/>
      <c r="AK15" s="1799"/>
      <c r="AL15" s="1799"/>
      <c r="AM15" s="1799"/>
    </row>
    <row r="16" spans="1:40" ht="12.75">
      <c r="B16" s="11"/>
      <c r="C16" s="2308" t="s">
        <v>1117</v>
      </c>
      <c r="D16" s="2308"/>
      <c r="E16" s="2308"/>
      <c r="F16" s="2308"/>
      <c r="G16" s="2308"/>
      <c r="H16" s="2308"/>
      <c r="I16" s="2308"/>
      <c r="J16" s="2308"/>
      <c r="K16" s="2308"/>
      <c r="L16" s="2308"/>
      <c r="M16" s="2308"/>
      <c r="N16" s="2308"/>
      <c r="O16" s="2308"/>
      <c r="P16" s="2308"/>
      <c r="Q16" s="2308"/>
      <c r="R16" s="2308"/>
      <c r="S16" s="2311"/>
      <c r="T16" s="1783"/>
      <c r="U16" s="1799"/>
      <c r="V16" s="1799"/>
      <c r="W16" s="1799"/>
      <c r="X16" s="1799"/>
      <c r="Y16" s="1783"/>
      <c r="Z16" s="1799"/>
      <c r="AA16" s="1799"/>
      <c r="AB16" s="1799"/>
      <c r="AC16" s="1799"/>
      <c r="AD16" s="1799"/>
      <c r="AE16" s="1799"/>
      <c r="AF16" s="1799"/>
      <c r="AG16" s="1799"/>
      <c r="AH16" s="1799"/>
      <c r="AI16" s="1799"/>
      <c r="AJ16" s="1799"/>
      <c r="AK16" s="1799"/>
      <c r="AL16" s="1799"/>
      <c r="AM16" s="1799"/>
    </row>
    <row r="17" spans="1:39" ht="12.75">
      <c r="B17" s="11"/>
      <c r="C17" s="2309" t="s">
        <v>843</v>
      </c>
      <c r="D17" s="2309"/>
      <c r="E17" s="2309"/>
      <c r="F17" s="2309"/>
      <c r="G17" s="2309"/>
      <c r="H17" s="2309"/>
      <c r="I17" s="2309"/>
      <c r="J17" s="2309"/>
      <c r="K17" s="2309"/>
      <c r="L17" s="2309"/>
      <c r="M17" s="2309"/>
      <c r="N17" s="2309"/>
      <c r="O17" s="2309"/>
      <c r="P17" s="2309"/>
      <c r="Q17" s="2309"/>
      <c r="R17" s="2309"/>
      <c r="S17" s="2310"/>
      <c r="T17" s="1783"/>
      <c r="U17" s="1799"/>
      <c r="V17" s="1799"/>
      <c r="W17" s="1799"/>
      <c r="X17" s="1799"/>
      <c r="Y17" s="1783"/>
      <c r="Z17" s="1799"/>
      <c r="AA17" s="1799"/>
      <c r="AB17" s="1799"/>
      <c r="AC17" s="1799"/>
      <c r="AD17" s="1799"/>
      <c r="AE17" s="1799"/>
      <c r="AF17" s="1799"/>
      <c r="AG17" s="1799"/>
      <c r="AH17" s="1799"/>
      <c r="AI17" s="1799"/>
      <c r="AJ17" s="1799"/>
      <c r="AK17" s="1799"/>
      <c r="AL17" s="1799"/>
      <c r="AM17" s="1799"/>
    </row>
    <row r="18" spans="1:39" ht="12.75">
      <c r="B18" s="927"/>
      <c r="C18" s="1982" t="s">
        <v>1348</v>
      </c>
      <c r="D18" s="1982"/>
      <c r="E18" s="1982"/>
      <c r="F18" s="1982"/>
      <c r="G18" s="1982"/>
      <c r="H18" s="1982"/>
      <c r="I18" s="1982"/>
      <c r="J18" s="1982"/>
      <c r="K18" s="1982"/>
      <c r="L18" s="1982"/>
      <c r="M18" s="1982"/>
      <c r="N18" s="1982"/>
      <c r="O18" s="1982"/>
      <c r="P18" s="1982"/>
      <c r="Q18" s="1982"/>
      <c r="R18" s="1982"/>
      <c r="S18" s="1983"/>
      <c r="T18" s="1781"/>
      <c r="U18" s="1782"/>
      <c r="V18" s="1782"/>
      <c r="W18" s="1782"/>
      <c r="X18" s="1783"/>
      <c r="Y18" s="1783"/>
      <c r="Z18" s="1799"/>
      <c r="AA18" s="1799"/>
      <c r="AB18" s="1799"/>
      <c r="AC18" s="1799"/>
      <c r="AD18" s="1799"/>
      <c r="AE18" s="1799"/>
      <c r="AF18" s="1799"/>
      <c r="AG18" s="1799"/>
      <c r="AH18" s="1799"/>
      <c r="AI18" s="1799"/>
      <c r="AJ18" s="1799"/>
      <c r="AK18" s="1799"/>
      <c r="AL18" s="1799"/>
      <c r="AM18" s="1799"/>
    </row>
    <row r="19" spans="1:39" ht="12.75">
      <c r="B19" s="766"/>
      <c r="C19" s="1982" t="s">
        <v>1348</v>
      </c>
      <c r="D19" s="1982"/>
      <c r="E19" s="1982"/>
      <c r="F19" s="1982"/>
      <c r="G19" s="1982"/>
      <c r="H19" s="1982"/>
      <c r="I19" s="1982"/>
      <c r="J19" s="1982"/>
      <c r="K19" s="1982"/>
      <c r="L19" s="1982"/>
      <c r="M19" s="1982"/>
      <c r="N19" s="1982"/>
      <c r="O19" s="1982"/>
      <c r="P19" s="1982"/>
      <c r="Q19" s="1982"/>
      <c r="R19" s="1982"/>
      <c r="S19" s="1983"/>
      <c r="T19" s="1783"/>
      <c r="U19" s="1799"/>
      <c r="V19" s="1799"/>
      <c r="W19" s="1799"/>
      <c r="X19" s="1799"/>
      <c r="Y19" s="1783"/>
      <c r="Z19" s="1799"/>
      <c r="AA19" s="1799"/>
      <c r="AB19" s="1799"/>
      <c r="AC19" s="1799"/>
      <c r="AD19" s="1799"/>
      <c r="AE19" s="1799"/>
      <c r="AF19" s="1799"/>
      <c r="AG19" s="1799"/>
      <c r="AH19" s="1799"/>
      <c r="AI19" s="1799"/>
      <c r="AJ19" s="1799"/>
      <c r="AK19" s="1799"/>
      <c r="AL19" s="1799"/>
      <c r="AM19" s="1799"/>
    </row>
    <row r="20" spans="1:39" ht="12.75">
      <c r="B20" s="2272" t="s">
        <v>844</v>
      </c>
      <c r="C20" s="2273"/>
      <c r="D20" s="2273"/>
      <c r="E20" s="2273"/>
      <c r="F20" s="2273"/>
      <c r="G20" s="2273"/>
      <c r="H20" s="2273"/>
      <c r="I20" s="2273"/>
      <c r="J20" s="2273"/>
      <c r="K20" s="2273"/>
      <c r="L20" s="2273"/>
      <c r="M20" s="2273"/>
      <c r="N20" s="2273"/>
      <c r="O20" s="2273"/>
      <c r="P20" s="2273"/>
      <c r="Q20" s="2273"/>
      <c r="R20" s="2273"/>
      <c r="S20" s="2274"/>
      <c r="T20" s="2267">
        <f>SUM(T13:X19)</f>
        <v>0</v>
      </c>
      <c r="U20" s="2268"/>
      <c r="V20" s="2268"/>
      <c r="W20" s="2268"/>
      <c r="X20" s="2268"/>
      <c r="Y20" s="2267">
        <f>SUM(Y13:AC19)</f>
        <v>0</v>
      </c>
      <c r="Z20" s="2268"/>
      <c r="AA20" s="2268"/>
      <c r="AB20" s="2268"/>
      <c r="AC20" s="2268"/>
      <c r="AD20" s="2268">
        <f>SUM(AD13:AH19)</f>
        <v>0</v>
      </c>
      <c r="AE20" s="2268"/>
      <c r="AF20" s="2268"/>
      <c r="AG20" s="2268"/>
      <c r="AH20" s="2268"/>
      <c r="AI20" s="2268">
        <f>SUM(AI13:AM19)</f>
        <v>0</v>
      </c>
      <c r="AJ20" s="2268"/>
      <c r="AK20" s="2268"/>
      <c r="AL20" s="2268"/>
      <c r="AM20" s="2268"/>
    </row>
    <row r="21" spans="1:39" ht="12.75">
      <c r="B21" s="2272" t="s">
        <v>1929</v>
      </c>
      <c r="C21" s="2273"/>
      <c r="D21" s="2273"/>
      <c r="E21" s="2273"/>
      <c r="F21" s="2273"/>
      <c r="G21" s="2273"/>
      <c r="H21" s="2273"/>
      <c r="I21" s="2273"/>
      <c r="J21" s="2273"/>
      <c r="K21" s="2273"/>
      <c r="L21" s="2273"/>
      <c r="M21" s="2273"/>
      <c r="N21" s="2273"/>
      <c r="O21" s="2273"/>
      <c r="P21" s="2273"/>
      <c r="Q21" s="2273"/>
      <c r="R21" s="2273"/>
      <c r="S21" s="2274"/>
      <c r="T21" s="1783">
        <v>2903906</v>
      </c>
      <c r="U21" s="1799"/>
      <c r="V21" s="1799"/>
      <c r="W21" s="1799"/>
      <c r="X21" s="1799"/>
      <c r="Y21" s="1783"/>
      <c r="Z21" s="1799"/>
      <c r="AA21" s="1799"/>
      <c r="AB21" s="1799"/>
      <c r="AC21" s="1799"/>
      <c r="AD21" s="1799"/>
      <c r="AE21" s="1799"/>
      <c r="AF21" s="1799"/>
      <c r="AG21" s="1799"/>
      <c r="AH21" s="1799"/>
      <c r="AI21" s="1781"/>
      <c r="AJ21" s="1782"/>
      <c r="AK21" s="1782"/>
      <c r="AL21" s="1782"/>
      <c r="AM21" s="1783"/>
    </row>
    <row r="22" spans="1:39" ht="12.75">
      <c r="B22" s="2272" t="s">
        <v>845</v>
      </c>
      <c r="C22" s="2273"/>
      <c r="D22" s="2273"/>
      <c r="E22" s="2273"/>
      <c r="F22" s="2273"/>
      <c r="G22" s="2273"/>
      <c r="H22" s="2273"/>
      <c r="I22" s="2273"/>
      <c r="J22" s="2273"/>
      <c r="K22" s="2273"/>
      <c r="L22" s="2273"/>
      <c r="M22" s="2273"/>
      <c r="N22" s="2273"/>
      <c r="O22" s="2273"/>
      <c r="P22" s="2273"/>
      <c r="Q22" s="2273"/>
      <c r="R22" s="2273"/>
      <c r="S22" s="2274"/>
      <c r="T22" s="2313">
        <f>(T20+T21)*-1</f>
        <v>-2903906</v>
      </c>
      <c r="U22" s="2314"/>
      <c r="V22" s="2314"/>
      <c r="W22" s="2314"/>
      <c r="X22" s="2314"/>
      <c r="Y22" s="2313">
        <f>(Y20+Y21)*-1</f>
        <v>0</v>
      </c>
      <c r="Z22" s="2314"/>
      <c r="AA22" s="2314"/>
      <c r="AB22" s="2314"/>
      <c r="AC22" s="2314"/>
      <c r="AD22" s="2313">
        <f>(AD20+AD21)*-1</f>
        <v>0</v>
      </c>
      <c r="AE22" s="2314"/>
      <c r="AF22" s="2314"/>
      <c r="AG22" s="2314"/>
      <c r="AH22" s="2314"/>
      <c r="AI22" s="2322">
        <f>(AI20+AI21)*-1</f>
        <v>0</v>
      </c>
      <c r="AJ22" s="2323"/>
      <c r="AK22" s="2323"/>
      <c r="AL22" s="2323"/>
      <c r="AM22" s="2313"/>
    </row>
    <row r="23" spans="1:39" ht="12.75">
      <c r="A23" s="2"/>
      <c r="B23" s="2330" t="s">
        <v>2174</v>
      </c>
      <c r="C23" s="2331"/>
      <c r="D23" s="2331"/>
      <c r="E23" s="2331"/>
      <c r="F23" s="2331"/>
      <c r="G23" s="2331"/>
      <c r="H23" s="2331"/>
      <c r="I23" s="2331"/>
      <c r="J23" s="2331"/>
      <c r="K23" s="2331"/>
      <c r="L23" s="2331"/>
      <c r="M23" s="2331"/>
      <c r="N23" s="2331"/>
      <c r="O23" s="2331"/>
      <c r="P23" s="2331"/>
      <c r="Q23" s="2331"/>
      <c r="R23" s="2331"/>
      <c r="S23" s="2332"/>
      <c r="T23" s="2267">
        <f>T11+T22</f>
        <v>21367521</v>
      </c>
      <c r="U23" s="2268"/>
      <c r="V23" s="2268"/>
      <c r="W23" s="2268"/>
      <c r="X23" s="2268"/>
      <c r="Y23" s="2267">
        <f>Y11+Y22</f>
        <v>0</v>
      </c>
      <c r="Z23" s="2268"/>
      <c r="AA23" s="2268"/>
      <c r="AB23" s="2268"/>
      <c r="AC23" s="2268"/>
      <c r="AD23" s="2267">
        <f>IF(AD11=AD21,0,AD11)</f>
        <v>0</v>
      </c>
      <c r="AE23" s="2268"/>
      <c r="AF23" s="2268"/>
      <c r="AG23" s="2268"/>
      <c r="AH23" s="2268"/>
      <c r="AI23" s="2267">
        <f>IF(AI11=AI21,0,AI11)</f>
        <v>0</v>
      </c>
      <c r="AJ23" s="2268"/>
      <c r="AK23" s="2268"/>
      <c r="AL23" s="2268"/>
      <c r="AM23" s="2268"/>
    </row>
    <row r="24" spans="1:39" ht="12.75">
      <c r="B24" s="2272" t="s">
        <v>1349</v>
      </c>
      <c r="C24" s="2273"/>
      <c r="D24" s="2273"/>
      <c r="E24" s="2273"/>
      <c r="F24" s="2273"/>
      <c r="G24" s="2273"/>
      <c r="H24" s="2273"/>
      <c r="I24" s="2273"/>
      <c r="J24" s="2273"/>
      <c r="K24" s="2273"/>
      <c r="L24" s="2273"/>
      <c r="M24" s="2273"/>
      <c r="N24" s="2273"/>
      <c r="O24" s="2273"/>
      <c r="P24" s="2273"/>
      <c r="Q24" s="2273"/>
      <c r="R24" s="2273"/>
      <c r="S24" s="2274"/>
      <c r="T24" s="2333">
        <f>Application!AJ1002</f>
        <v>28934530</v>
      </c>
      <c r="U24" s="2334"/>
      <c r="V24" s="2334"/>
      <c r="W24" s="2334"/>
      <c r="X24" s="2334"/>
      <c r="Y24" s="2334"/>
      <c r="Z24" s="2334"/>
      <c r="AA24" s="2334"/>
      <c r="AB24" s="2334"/>
      <c r="AC24" s="2334"/>
      <c r="AD24" s="2334"/>
      <c r="AE24" s="2334"/>
      <c r="AF24" s="2334"/>
      <c r="AG24" s="2334"/>
      <c r="AH24" s="2334"/>
      <c r="AI24" s="2334"/>
      <c r="AJ24" s="2334"/>
      <c r="AK24" s="2334"/>
      <c r="AL24" s="2334"/>
      <c r="AM24" s="2267"/>
    </row>
    <row r="25" spans="1:39" ht="12.75">
      <c r="B25" s="2324" t="s">
        <v>2176</v>
      </c>
      <c r="C25" s="2325"/>
      <c r="D25" s="2325"/>
      <c r="E25" s="2325"/>
      <c r="F25" s="2325"/>
      <c r="G25" s="2325"/>
      <c r="H25" s="2325"/>
      <c r="I25" s="2325"/>
      <c r="J25" s="2325"/>
      <c r="K25" s="2325"/>
      <c r="L25" s="2325"/>
      <c r="M25" s="2325"/>
      <c r="N25" s="2325"/>
      <c r="O25" s="2325"/>
      <c r="P25" s="2325"/>
      <c r="Q25" s="2325"/>
      <c r="R25" s="2325"/>
      <c r="S25" s="2326"/>
      <c r="T25" s="2315">
        <f>IF(OR(AND(Application!T193="no",Application!T194="no",Application!T196="no",Application!Y211="no"),Application!T195="yes"),1,1.3)</f>
        <v>1.3</v>
      </c>
      <c r="U25" s="2316"/>
      <c r="V25" s="2316"/>
      <c r="W25" s="2316"/>
      <c r="X25" s="2316"/>
      <c r="Y25" s="2315">
        <v>1</v>
      </c>
      <c r="Z25" s="2316"/>
      <c r="AA25" s="2316"/>
      <c r="AB25" s="2316"/>
      <c r="AC25" s="2319"/>
      <c r="AD25" s="2315">
        <v>1</v>
      </c>
      <c r="AE25" s="2316"/>
      <c r="AF25" s="2316"/>
      <c r="AG25" s="2316"/>
      <c r="AH25" s="2319"/>
      <c r="AI25" s="2315">
        <v>1</v>
      </c>
      <c r="AJ25" s="2316"/>
      <c r="AK25" s="2316"/>
      <c r="AL25" s="2316"/>
      <c r="AM25" s="2319"/>
    </row>
    <row r="26" spans="1:39" ht="12.75">
      <c r="B26" s="2272" t="s">
        <v>847</v>
      </c>
      <c r="C26" s="2273"/>
      <c r="D26" s="2273"/>
      <c r="E26" s="2273"/>
      <c r="F26" s="2273"/>
      <c r="G26" s="2273"/>
      <c r="H26" s="2273"/>
      <c r="I26" s="2273"/>
      <c r="J26" s="2273"/>
      <c r="K26" s="2273"/>
      <c r="L26" s="2273"/>
      <c r="M26" s="2273"/>
      <c r="N26" s="2273"/>
      <c r="O26" s="2273"/>
      <c r="P26" s="2273"/>
      <c r="Q26" s="2273"/>
      <c r="R26" s="2273"/>
      <c r="S26" s="2274"/>
      <c r="T26" s="2320">
        <f>T23*T25</f>
        <v>27777777.300000001</v>
      </c>
      <c r="U26" s="2321"/>
      <c r="V26" s="2321"/>
      <c r="W26" s="2321"/>
      <c r="X26" s="2321"/>
      <c r="Y26" s="2320">
        <f>Y23*Y25</f>
        <v>0</v>
      </c>
      <c r="Z26" s="2321"/>
      <c r="AA26" s="2321"/>
      <c r="AB26" s="2321"/>
      <c r="AC26" s="2321"/>
      <c r="AD26" s="2320">
        <f>AD23*AD25</f>
        <v>0</v>
      </c>
      <c r="AE26" s="2321"/>
      <c r="AF26" s="2321"/>
      <c r="AG26" s="2321"/>
      <c r="AH26" s="2321"/>
      <c r="AI26" s="2320">
        <f>AI23*AI25</f>
        <v>0</v>
      </c>
      <c r="AJ26" s="2321"/>
      <c r="AK26" s="2321"/>
      <c r="AL26" s="2321"/>
      <c r="AM26" s="2321"/>
    </row>
    <row r="27" spans="1:39" ht="12.75">
      <c r="A27" s="7"/>
      <c r="B27" s="2327" t="s">
        <v>978</v>
      </c>
      <c r="C27" s="2328"/>
      <c r="D27" s="2328"/>
      <c r="E27" s="2328"/>
      <c r="F27" s="2328"/>
      <c r="G27" s="2328"/>
      <c r="H27" s="2328"/>
      <c r="I27" s="2328"/>
      <c r="J27" s="2328"/>
      <c r="K27" s="2328"/>
      <c r="L27" s="2328"/>
      <c r="M27" s="2328"/>
      <c r="N27" s="2328"/>
      <c r="O27" s="2328"/>
      <c r="P27" s="2328"/>
      <c r="Q27" s="2328"/>
      <c r="R27" s="2328"/>
      <c r="S27" s="2329"/>
      <c r="T27" s="2317">
        <f>Application!AG438</f>
        <v>1</v>
      </c>
      <c r="U27" s="2318"/>
      <c r="V27" s="2318"/>
      <c r="W27" s="2318"/>
      <c r="X27" s="2318"/>
      <c r="Y27" s="2317">
        <f>Application!AG438</f>
        <v>1</v>
      </c>
      <c r="Z27" s="2318"/>
      <c r="AA27" s="2318"/>
      <c r="AB27" s="2318"/>
      <c r="AC27" s="2318"/>
      <c r="AD27" s="2317">
        <f>Application!AG438</f>
        <v>1</v>
      </c>
      <c r="AE27" s="2318"/>
      <c r="AF27" s="2318"/>
      <c r="AG27" s="2318"/>
      <c r="AH27" s="2318"/>
      <c r="AI27" s="2317">
        <f>Application!AG438</f>
        <v>1</v>
      </c>
      <c r="AJ27" s="2318"/>
      <c r="AK27" s="2318"/>
      <c r="AL27" s="2318"/>
      <c r="AM27" s="2318"/>
    </row>
    <row r="28" spans="1:39" ht="12.75" customHeight="1">
      <c r="A28" s="6"/>
      <c r="B28" s="2272" t="s">
        <v>925</v>
      </c>
      <c r="C28" s="2273"/>
      <c r="D28" s="2273"/>
      <c r="E28" s="2273"/>
      <c r="F28" s="2273"/>
      <c r="G28" s="2273"/>
      <c r="H28" s="2273"/>
      <c r="I28" s="2273"/>
      <c r="J28" s="2273"/>
      <c r="K28" s="2273"/>
      <c r="L28" s="2273"/>
      <c r="M28" s="2273"/>
      <c r="N28" s="2273"/>
      <c r="O28" s="2273"/>
      <c r="P28" s="2273"/>
      <c r="Q28" s="2273"/>
      <c r="R28" s="2273"/>
      <c r="S28" s="2274"/>
      <c r="T28" s="1793">
        <f>IF(ISERROR((T26*T27)),0,(T26*T27))</f>
        <v>27777777.300000001</v>
      </c>
      <c r="U28" s="2289"/>
      <c r="V28" s="2289"/>
      <c r="W28" s="2289"/>
      <c r="X28" s="2289"/>
      <c r="Y28" s="1793">
        <f>IF(ISERROR((Y26*Y27)),0,(Y26*Y27))</f>
        <v>0</v>
      </c>
      <c r="Z28" s="2289"/>
      <c r="AA28" s="2289"/>
      <c r="AB28" s="2289"/>
      <c r="AC28" s="2289"/>
      <c r="AD28" s="1793">
        <f>IF(ISERROR((AD26*AD27)),0,(AD26*AD27))</f>
        <v>0</v>
      </c>
      <c r="AE28" s="2289"/>
      <c r="AF28" s="2289"/>
      <c r="AG28" s="2289"/>
      <c r="AH28" s="2289"/>
      <c r="AI28" s="1793">
        <f>IF(ISERROR((AI26*AI27)),0,(AI26*AI27))</f>
        <v>0</v>
      </c>
      <c r="AJ28" s="2289"/>
      <c r="AK28" s="2289"/>
      <c r="AL28" s="2289"/>
      <c r="AM28" s="2289"/>
    </row>
    <row r="29" spans="1:39" ht="12.75">
      <c r="B29" s="2272" t="s">
        <v>689</v>
      </c>
      <c r="C29" s="2273"/>
      <c r="D29" s="2273"/>
      <c r="E29" s="2273"/>
      <c r="F29" s="2273"/>
      <c r="G29" s="2273"/>
      <c r="H29" s="2273"/>
      <c r="I29" s="2273"/>
      <c r="J29" s="2273"/>
      <c r="K29" s="2273"/>
      <c r="L29" s="2273"/>
      <c r="M29" s="2273"/>
      <c r="N29" s="2273"/>
      <c r="O29" s="2273"/>
      <c r="P29" s="2273"/>
      <c r="Q29" s="2273"/>
      <c r="R29" s="2273"/>
      <c r="S29" s="2274"/>
      <c r="T29" s="2333">
        <f>T28+Y28+AD28+AI28</f>
        <v>27777777.300000001</v>
      </c>
      <c r="U29" s="2334"/>
      <c r="V29" s="2334"/>
      <c r="W29" s="2334"/>
      <c r="X29" s="2334"/>
      <c r="Y29" s="2334"/>
      <c r="Z29" s="2334"/>
      <c r="AA29" s="2334"/>
      <c r="AB29" s="2334"/>
      <c r="AC29" s="2334"/>
      <c r="AD29" s="2334"/>
      <c r="AE29" s="2334"/>
      <c r="AF29" s="2334"/>
      <c r="AG29" s="2334"/>
      <c r="AH29" s="2334"/>
      <c r="AI29" s="2334"/>
      <c r="AJ29" s="2334"/>
      <c r="AK29" s="2334"/>
      <c r="AL29" s="2334"/>
      <c r="AM29" s="2267"/>
    </row>
    <row r="30" spans="1:39" ht="12.75" customHeight="1">
      <c r="B30" s="2294" t="s">
        <v>2175</v>
      </c>
      <c r="C30" s="2294"/>
      <c r="D30" s="2294"/>
      <c r="E30" s="2294"/>
      <c r="F30" s="2294"/>
      <c r="G30" s="2294"/>
      <c r="H30" s="2294"/>
      <c r="I30" s="2294"/>
      <c r="J30" s="2294"/>
      <c r="K30" s="2294"/>
      <c r="L30" s="2294"/>
      <c r="M30" s="2294"/>
      <c r="N30" s="2294"/>
      <c r="O30" s="2294"/>
      <c r="P30" s="2294"/>
      <c r="Q30" s="2294"/>
      <c r="R30" s="2294"/>
      <c r="S30" s="2294"/>
      <c r="T30" s="2294"/>
      <c r="U30" s="2294"/>
      <c r="V30" s="2294"/>
      <c r="W30" s="2294"/>
      <c r="X30" s="2294"/>
      <c r="Y30" s="2294"/>
      <c r="Z30" s="2294"/>
      <c r="AA30" s="2294"/>
      <c r="AB30" s="2294"/>
      <c r="AC30" s="2294"/>
      <c r="AD30" s="2294"/>
      <c r="AE30" s="2294"/>
      <c r="AF30" s="2294"/>
      <c r="AG30" s="2294"/>
      <c r="AH30" s="2294"/>
      <c r="AI30" s="2294"/>
      <c r="AJ30" s="2294"/>
      <c r="AK30" s="2294"/>
      <c r="AL30" s="2294"/>
      <c r="AM30" s="2294"/>
    </row>
    <row r="31" spans="1:39" ht="12.75">
      <c r="B31" s="2256" t="s">
        <v>2179</v>
      </c>
      <c r="C31" s="2256"/>
      <c r="D31" s="2256"/>
      <c r="E31" s="2256"/>
      <c r="F31" s="2256"/>
      <c r="G31" s="2256"/>
      <c r="H31" s="2256"/>
      <c r="I31" s="2256"/>
      <c r="J31" s="2256"/>
      <c r="K31" s="2256"/>
      <c r="L31" s="2256"/>
      <c r="M31" s="2256"/>
      <c r="N31" s="2256"/>
      <c r="O31" s="2256"/>
      <c r="P31" s="2256"/>
      <c r="Q31" s="2256"/>
      <c r="R31" s="2256"/>
      <c r="S31" s="2256"/>
      <c r="T31" s="2256"/>
      <c r="U31" s="2256"/>
      <c r="V31" s="2256"/>
      <c r="W31" s="2256"/>
      <c r="X31" s="2256"/>
      <c r="Y31" s="2256"/>
      <c r="Z31" s="2256"/>
      <c r="AA31" s="2256"/>
      <c r="AB31" s="2256"/>
      <c r="AC31" s="2256"/>
      <c r="AD31" s="2256"/>
      <c r="AE31" s="2256"/>
      <c r="AF31" s="2256"/>
      <c r="AG31" s="2256"/>
      <c r="AH31" s="2256"/>
      <c r="AI31" s="2256"/>
      <c r="AJ31" s="2256"/>
      <c r="AK31" s="2256"/>
      <c r="AL31" s="2256"/>
      <c r="AM31" s="2256"/>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230</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75" t="s">
        <v>1811</v>
      </c>
      <c r="Z35" s="2275"/>
      <c r="AA35" s="2275"/>
      <c r="AB35" s="2275"/>
      <c r="AC35" s="2275"/>
      <c r="AD35" s="2257" t="s">
        <v>46</v>
      </c>
      <c r="AE35" s="2257"/>
      <c r="AF35" s="2257"/>
      <c r="AG35" s="2257"/>
      <c r="AH35" s="2257"/>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75"/>
      <c r="Z36" s="2275"/>
      <c r="AA36" s="2275"/>
      <c r="AB36" s="2275"/>
      <c r="AC36" s="2275"/>
      <c r="AD36" s="2257"/>
      <c r="AE36" s="2257"/>
      <c r="AF36" s="2257"/>
      <c r="AG36" s="2257"/>
      <c r="AH36" s="2257"/>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5"/>
      <c r="Z37" s="2275"/>
      <c r="AA37" s="2275"/>
      <c r="AB37" s="2275"/>
      <c r="AC37" s="2275"/>
      <c r="AD37" s="2257"/>
      <c r="AE37" s="2257"/>
      <c r="AF37" s="2257"/>
      <c r="AG37" s="2257"/>
      <c r="AH37" s="2257"/>
    </row>
    <row r="38" spans="1:44" ht="12.75" customHeight="1">
      <c r="A38" s="6"/>
      <c r="B38" s="2272" t="s">
        <v>925</v>
      </c>
      <c r="C38" s="2273"/>
      <c r="D38" s="2273"/>
      <c r="E38" s="2273"/>
      <c r="F38" s="2273"/>
      <c r="G38" s="2273"/>
      <c r="H38" s="2273"/>
      <c r="I38" s="2273"/>
      <c r="J38" s="2273"/>
      <c r="K38" s="2273"/>
      <c r="L38" s="2273"/>
      <c r="M38" s="2273"/>
      <c r="N38" s="2273"/>
      <c r="O38" s="2273"/>
      <c r="P38" s="2273"/>
      <c r="Q38" s="2273"/>
      <c r="R38" s="2273"/>
      <c r="S38" s="2273"/>
      <c r="T38" s="2273"/>
      <c r="U38" s="2273"/>
      <c r="V38" s="2273"/>
      <c r="W38" s="2273"/>
      <c r="X38" s="2274"/>
      <c r="Y38" s="2268">
        <f>IF(T24&gt;=(T23+Y23+AD23+AI23),T28+Y28,0)</f>
        <v>27777777.300000001</v>
      </c>
      <c r="Z38" s="2268"/>
      <c r="AA38" s="2268"/>
      <c r="AB38" s="2268"/>
      <c r="AC38" s="2268"/>
      <c r="AD38" s="2268">
        <f>IF(T24&gt;=(T23+Y23+AD23+AI23),AD28+AI28,0)</f>
        <v>0</v>
      </c>
      <c r="AE38" s="2268"/>
      <c r="AF38" s="2268"/>
      <c r="AG38" s="2268"/>
      <c r="AH38" s="2268"/>
    </row>
    <row r="39" spans="1:44" ht="12.75">
      <c r="B39" s="2272" t="s">
        <v>2052</v>
      </c>
      <c r="C39" s="2273"/>
      <c r="D39" s="2273"/>
      <c r="E39" s="2273"/>
      <c r="F39" s="2273"/>
      <c r="G39" s="2273"/>
      <c r="H39" s="2273"/>
      <c r="I39" s="2273"/>
      <c r="J39" s="2273"/>
      <c r="K39" s="2273"/>
      <c r="L39" s="2273"/>
      <c r="M39" s="2273"/>
      <c r="N39" s="2273"/>
      <c r="O39" s="2273"/>
      <c r="P39" s="2273"/>
      <c r="Q39" s="2273"/>
      <c r="R39" s="2273"/>
      <c r="S39" s="2273"/>
      <c r="T39" s="2273"/>
      <c r="U39" s="2273"/>
      <c r="V39" s="2273"/>
      <c r="W39" s="2273"/>
      <c r="X39" s="2274"/>
      <c r="Y39" s="2266">
        <v>0.09</v>
      </c>
      <c r="Z39" s="2266"/>
      <c r="AA39" s="2266"/>
      <c r="AB39" s="2266"/>
      <c r="AC39" s="2266"/>
      <c r="AD39" s="2266">
        <v>0.04</v>
      </c>
      <c r="AE39" s="2266"/>
      <c r="AF39" s="2266"/>
      <c r="AG39" s="2266"/>
      <c r="AH39" s="2266"/>
    </row>
    <row r="40" spans="1:44" ht="12.75" customHeight="1">
      <c r="A40" s="6"/>
      <c r="B40" s="2272" t="s">
        <v>26</v>
      </c>
      <c r="C40" s="2273"/>
      <c r="D40" s="2273"/>
      <c r="E40" s="2273"/>
      <c r="F40" s="2273"/>
      <c r="G40" s="2273"/>
      <c r="H40" s="2273"/>
      <c r="I40" s="2273"/>
      <c r="J40" s="2273"/>
      <c r="K40" s="2273"/>
      <c r="L40" s="2273"/>
      <c r="M40" s="2273"/>
      <c r="N40" s="2273"/>
      <c r="O40" s="2273"/>
      <c r="P40" s="2273"/>
      <c r="Q40" s="2273"/>
      <c r="R40" s="2273"/>
      <c r="S40" s="2273"/>
      <c r="T40" s="2273"/>
      <c r="U40" s="2273"/>
      <c r="V40" s="2273"/>
      <c r="W40" s="2273"/>
      <c r="X40" s="2274"/>
      <c r="Y40" s="2268">
        <f>ROUND(Y38*Y39,0)</f>
        <v>2500000</v>
      </c>
      <c r="Z40" s="2268"/>
      <c r="AA40" s="2268"/>
      <c r="AB40" s="2268"/>
      <c r="AC40" s="2268"/>
      <c r="AD40" s="2267">
        <f>ROUND(AD38*AD39,0)</f>
        <v>0</v>
      </c>
      <c r="AE40" s="2268"/>
      <c r="AF40" s="2268"/>
      <c r="AG40" s="2268"/>
      <c r="AH40" s="2268"/>
    </row>
    <row r="41" spans="1:44" ht="12.75">
      <c r="B41" s="2272" t="s">
        <v>683</v>
      </c>
      <c r="C41" s="2273"/>
      <c r="D41" s="2273"/>
      <c r="E41" s="2273"/>
      <c r="F41" s="2273"/>
      <c r="G41" s="2273"/>
      <c r="H41" s="2273"/>
      <c r="I41" s="2273"/>
      <c r="J41" s="2273"/>
      <c r="K41" s="2273"/>
      <c r="L41" s="2273"/>
      <c r="M41" s="2273"/>
      <c r="N41" s="2273"/>
      <c r="O41" s="2273"/>
      <c r="P41" s="2273"/>
      <c r="Q41" s="2273"/>
      <c r="R41" s="2273"/>
      <c r="S41" s="2273"/>
      <c r="T41" s="2273"/>
      <c r="U41" s="2273"/>
      <c r="V41" s="2273"/>
      <c r="W41" s="2273"/>
      <c r="X41" s="2274"/>
      <c r="Y41" s="2269">
        <f>IF(Application!Y211="No",'Basis &amp; Credits'!AR42,AR43)</f>
        <v>2500000</v>
      </c>
      <c r="Z41" s="2270"/>
      <c r="AA41" s="2270"/>
      <c r="AB41" s="2270"/>
      <c r="AC41" s="2270"/>
      <c r="AD41" s="2270"/>
      <c r="AE41" s="2270"/>
      <c r="AF41" s="2270"/>
      <c r="AG41" s="2270"/>
      <c r="AH41" s="2271"/>
    </row>
    <row r="42" spans="1:44" ht="12.75" customHeight="1">
      <c r="A42" s="6"/>
      <c r="B42" s="2288" t="s">
        <v>2053</v>
      </c>
      <c r="C42" s="2288"/>
      <c r="D42" s="2288"/>
      <c r="E42" s="2288"/>
      <c r="F42" s="2288"/>
      <c r="G42" s="2288"/>
      <c r="H42" s="2288"/>
      <c r="I42" s="2288"/>
      <c r="J42" s="2288"/>
      <c r="K42" s="2288"/>
      <c r="L42" s="2288"/>
      <c r="M42" s="2288"/>
      <c r="N42" s="2288"/>
      <c r="O42" s="2288"/>
      <c r="P42" s="2288"/>
      <c r="Q42" s="2288"/>
      <c r="R42" s="2288"/>
      <c r="S42" s="2288"/>
      <c r="T42" s="2288"/>
      <c r="U42" s="2288"/>
      <c r="V42" s="2288"/>
      <c r="W42" s="2288"/>
      <c r="X42" s="2288"/>
      <c r="Y42" s="2288"/>
      <c r="Z42" s="2288"/>
      <c r="AA42" s="2288"/>
      <c r="AB42" s="2288"/>
      <c r="AC42" s="2288"/>
      <c r="AD42" s="2288"/>
      <c r="AE42" s="2288"/>
      <c r="AF42" s="2288"/>
      <c r="AG42" s="2288"/>
      <c r="AH42" s="2288"/>
      <c r="AI42" s="947"/>
      <c r="AJ42" s="947"/>
      <c r="AK42" s="947"/>
      <c r="AL42" s="947"/>
      <c r="AM42" s="947"/>
      <c r="AN42" s="947"/>
      <c r="AR42" s="2">
        <f>IF((Y40+AD40)&gt;2500000,2500000,Y40+AD40)</f>
        <v>2500000</v>
      </c>
    </row>
    <row r="43" spans="1:44" ht="12.75">
      <c r="B43" s="931"/>
      <c r="C43" s="931"/>
      <c r="D43" s="931"/>
      <c r="E43" s="931"/>
      <c r="F43" s="931"/>
      <c r="G43" s="931"/>
      <c r="H43" s="931"/>
      <c r="I43" s="931"/>
      <c r="J43" s="931"/>
      <c r="K43" s="931"/>
      <c r="L43" s="931"/>
      <c r="M43" s="931"/>
      <c r="N43" s="931"/>
      <c r="O43" s="931"/>
      <c r="P43" s="931"/>
      <c r="Q43" s="931"/>
      <c r="R43" s="931"/>
      <c r="S43" s="931"/>
      <c r="T43" s="931"/>
      <c r="U43" s="931"/>
      <c r="V43" s="931"/>
      <c r="W43" s="931"/>
      <c r="X43" s="931"/>
      <c r="Y43" s="931"/>
      <c r="Z43" s="931"/>
      <c r="AA43" s="931"/>
      <c r="AB43" s="931"/>
      <c r="AC43" s="931"/>
      <c r="AD43" s="931"/>
      <c r="AE43" s="931"/>
      <c r="AF43" s="931"/>
      <c r="AG43" s="931"/>
      <c r="AH43" s="931"/>
      <c r="AR43" s="2">
        <f>IF((Y40+AD40)&gt;4000000,4000000,Y40+AD40)</f>
        <v>2500000</v>
      </c>
    </row>
    <row r="44" spans="1:44" ht="12.75">
      <c r="A44" s="6"/>
      <c r="B44" s="931"/>
      <c r="C44" s="931"/>
      <c r="D44" s="931"/>
      <c r="E44" s="931"/>
      <c r="F44" s="931"/>
      <c r="G44" s="931"/>
      <c r="H44" s="931"/>
      <c r="I44" s="931"/>
      <c r="J44" s="931"/>
      <c r="K44" s="931"/>
      <c r="L44" s="931"/>
      <c r="M44" s="931"/>
      <c r="N44" s="931"/>
      <c r="O44" s="931"/>
      <c r="P44" s="931"/>
      <c r="Q44" s="931"/>
      <c r="R44" s="931"/>
      <c r="S44" s="931"/>
      <c r="T44" s="931"/>
      <c r="U44" s="931"/>
      <c r="V44" s="931"/>
      <c r="W44" s="931"/>
      <c r="X44" s="931"/>
      <c r="Y44" s="931"/>
      <c r="Z44" s="931"/>
      <c r="AA44" s="931"/>
      <c r="AB44" s="931"/>
      <c r="AC44" s="931"/>
      <c r="AD44" s="931"/>
      <c r="AE44" s="931"/>
      <c r="AF44" s="931"/>
      <c r="AG44" s="931"/>
      <c r="AH44" s="931"/>
    </row>
    <row r="45" spans="1:44" ht="12.75">
      <c r="A45" s="6" t="s">
        <v>131</v>
      </c>
      <c r="C45" s="6" t="s">
        <v>281</v>
      </c>
    </row>
    <row r="46" spans="1:44" ht="12.75">
      <c r="D46" s="6" t="s">
        <v>282</v>
      </c>
      <c r="AB46" s="2263">
        <f>'Sources and Uses Budget'!B104-'Sources and Uses Budget'!$B$15</f>
        <v>27294141</v>
      </c>
      <c r="AC46" s="2264"/>
      <c r="AD46" s="2264"/>
      <c r="AE46" s="2264"/>
      <c r="AF46" s="2265"/>
    </row>
    <row r="47" spans="1:44" ht="12.75" customHeight="1">
      <c r="D47" s="6" t="s">
        <v>919</v>
      </c>
      <c r="AB47" s="2263">
        <f>Application!AO644-MIN('Sources and Uses Budget'!B15,Application!AG388)</f>
        <v>5938780</v>
      </c>
      <c r="AC47" s="2264"/>
      <c r="AD47" s="2264"/>
      <c r="AE47" s="2264"/>
      <c r="AF47" s="2265"/>
    </row>
    <row r="48" spans="1:44" ht="12.75">
      <c r="D48" s="6" t="s">
        <v>422</v>
      </c>
      <c r="AB48" s="2263">
        <f>AB46-AB47</f>
        <v>21355361</v>
      </c>
      <c r="AC48" s="2264"/>
      <c r="AD48" s="2264"/>
      <c r="AE48" s="2264"/>
      <c r="AF48" s="2265"/>
    </row>
    <row r="49" spans="1:40" ht="12.75">
      <c r="D49" s="6" t="s">
        <v>958</v>
      </c>
      <c r="X49" s="2"/>
      <c r="Y49" s="2"/>
      <c r="Z49" s="2"/>
      <c r="AA49" s="409"/>
      <c r="AB49" s="2282">
        <f>+AB48/(Y41*10)</f>
        <v>0.85421444000000002</v>
      </c>
      <c r="AC49" s="2283"/>
      <c r="AD49" s="2283"/>
      <c r="AE49" s="2283"/>
      <c r="AF49" s="2284"/>
    </row>
    <row r="50" spans="1:40" s="514" customFormat="1" ht="15" customHeight="1">
      <c r="A50" s="2"/>
      <c r="B50" s="2"/>
      <c r="C50" s="2"/>
      <c r="D50" s="272"/>
      <c r="E50" s="2293" t="s">
        <v>2239</v>
      </c>
      <c r="F50" s="2293"/>
      <c r="G50" s="2293"/>
      <c r="H50" s="2293"/>
      <c r="I50" s="2293"/>
      <c r="J50" s="2293"/>
      <c r="K50" s="2293"/>
      <c r="L50" s="2293"/>
      <c r="M50" s="2293"/>
      <c r="N50" s="2293"/>
      <c r="O50" s="2293"/>
      <c r="P50" s="2293"/>
      <c r="Q50" s="2293"/>
      <c r="R50" s="2293"/>
      <c r="S50" s="2293"/>
      <c r="T50" s="2293"/>
      <c r="U50" s="2293"/>
      <c r="V50" s="2293"/>
      <c r="W50" s="2293"/>
      <c r="X50" s="2293"/>
      <c r="Y50" s="2293"/>
      <c r="Z50" s="2293"/>
      <c r="AA50" s="776"/>
      <c r="AB50" s="776"/>
      <c r="AC50" s="776"/>
      <c r="AD50" s="776"/>
      <c r="AE50" s="776"/>
      <c r="AF50" s="776"/>
      <c r="AG50" s="2"/>
      <c r="AH50" s="2"/>
      <c r="AI50" s="2"/>
      <c r="AJ50" s="2"/>
      <c r="AK50" s="2"/>
      <c r="AL50" s="2"/>
      <c r="AM50" s="2"/>
      <c r="AN50" s="2"/>
    </row>
    <row r="51" spans="1:40" s="514" customFormat="1" ht="12" customHeight="1">
      <c r="A51" s="2"/>
      <c r="B51" s="2"/>
      <c r="C51" s="2"/>
      <c r="D51" s="272"/>
      <c r="E51" s="2293"/>
      <c r="F51" s="2293"/>
      <c r="G51" s="2293"/>
      <c r="H51" s="2293"/>
      <c r="I51" s="2293"/>
      <c r="J51" s="2293"/>
      <c r="K51" s="2293"/>
      <c r="L51" s="2293"/>
      <c r="M51" s="2293"/>
      <c r="N51" s="2293"/>
      <c r="O51" s="2293"/>
      <c r="P51" s="2293"/>
      <c r="Q51" s="2293"/>
      <c r="R51" s="2293"/>
      <c r="S51" s="2293"/>
      <c r="T51" s="2293"/>
      <c r="U51" s="2293"/>
      <c r="V51" s="2293"/>
      <c r="W51" s="2293"/>
      <c r="X51" s="2293"/>
      <c r="Y51" s="2293"/>
      <c r="Z51" s="2293"/>
      <c r="AA51" s="777"/>
      <c r="AB51" s="777"/>
      <c r="AC51" s="777"/>
      <c r="AD51" s="777"/>
      <c r="AE51" s="777"/>
      <c r="AF51" s="777"/>
      <c r="AG51" s="515"/>
      <c r="AH51" s="2"/>
      <c r="AI51" s="2"/>
      <c r="AJ51" s="2"/>
      <c r="AK51" s="2"/>
      <c r="AL51" s="2"/>
      <c r="AM51" s="2"/>
      <c r="AN51" s="2"/>
    </row>
    <row r="52" spans="1:40" ht="12" customHeight="1">
      <c r="A52" s="2"/>
      <c r="B52" s="2"/>
      <c r="C52" s="2"/>
      <c r="D52" s="272"/>
      <c r="E52" s="509"/>
      <c r="F52" s="509"/>
      <c r="G52" s="509"/>
      <c r="H52" s="509"/>
      <c r="I52" s="509"/>
      <c r="J52" s="509"/>
      <c r="K52" s="509"/>
      <c r="L52" s="509"/>
      <c r="M52" s="509"/>
      <c r="N52" s="509"/>
      <c r="O52" s="509"/>
      <c r="P52" s="509"/>
      <c r="Q52" s="509"/>
      <c r="R52" s="509"/>
      <c r="S52" s="509"/>
      <c r="T52" s="509"/>
      <c r="U52" s="509"/>
      <c r="V52" s="509"/>
      <c r="W52" s="509"/>
      <c r="X52" s="509"/>
      <c r="Y52" s="509"/>
      <c r="Z52" s="509"/>
      <c r="AA52" s="2"/>
      <c r="AB52" s="2"/>
      <c r="AC52" s="2"/>
      <c r="AD52" s="2"/>
      <c r="AE52" s="2"/>
      <c r="AF52" s="2"/>
      <c r="AG52" s="2"/>
      <c r="AH52" s="2"/>
      <c r="AI52" s="2"/>
      <c r="AJ52" s="2"/>
      <c r="AK52" s="2"/>
      <c r="AL52" s="2"/>
      <c r="AM52" s="2"/>
      <c r="AN52" s="2"/>
    </row>
    <row r="53" spans="1:40" ht="15" customHeight="1">
      <c r="D53" s="6" t="s">
        <v>27</v>
      </c>
      <c r="AB53" s="2263">
        <f>ROUND(IF(ISERROR((AB48/AB49)),0,(AB48/AB49)),0)</f>
        <v>25000000</v>
      </c>
      <c r="AC53" s="2264"/>
      <c r="AD53" s="2264"/>
      <c r="AE53" s="2264"/>
      <c r="AF53" s="2265"/>
    </row>
    <row r="54" spans="1:40" ht="12.75" customHeight="1">
      <c r="D54" s="6" t="s">
        <v>621</v>
      </c>
      <c r="AB54" s="2263">
        <f>(AB53/10)</f>
        <v>2500000</v>
      </c>
      <c r="AC54" s="2264"/>
      <c r="AD54" s="2264"/>
      <c r="AE54" s="2264"/>
      <c r="AF54" s="2265"/>
    </row>
    <row r="55" spans="1:40" ht="12.75">
      <c r="D55" s="6" t="s">
        <v>379</v>
      </c>
      <c r="AB55" s="2290">
        <f>(IF((Y41&lt;AB54),Y41,AB54))</f>
        <v>2500000</v>
      </c>
      <c r="AC55" s="2291"/>
      <c r="AD55" s="2291"/>
      <c r="AE55" s="2291"/>
      <c r="AF55" s="2292"/>
    </row>
    <row r="56" spans="1:40" ht="12.75">
      <c r="D56" s="6" t="s">
        <v>118</v>
      </c>
      <c r="AB56" s="2263">
        <f>ROUND((10*AB55*AB49),0)</f>
        <v>21355361</v>
      </c>
      <c r="AC56" s="2264"/>
      <c r="AD56" s="2264"/>
      <c r="AE56" s="2264"/>
      <c r="AF56" s="226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61">
        <f>AB48-AB56</f>
        <v>0</v>
      </c>
      <c r="AC58" s="2261"/>
      <c r="AD58" s="2261"/>
      <c r="AE58" s="2261"/>
      <c r="AF58" s="2261"/>
    </row>
    <row r="59" spans="1:40" ht="12.75" customHeight="1">
      <c r="D59" s="6"/>
      <c r="F59" s="23" t="str">
        <f>IF(AB58&gt;0,"FUNDING GAP MUST NOT EXCEED ZERO UNLESS REQUESTING STATE CREDITS","")</f>
        <v/>
      </c>
      <c r="G59" s="23"/>
      <c r="I59" s="1105"/>
      <c r="N59" s="23"/>
      <c r="AB59" s="425"/>
      <c r="AC59" s="425"/>
      <c r="AD59" s="425"/>
      <c r="AE59" s="425"/>
      <c r="AF59" s="425"/>
    </row>
    <row r="60" spans="1:40" ht="12.75" customHeight="1" thickBot="1">
      <c r="A60" s="2258" t="s">
        <v>1977</v>
      </c>
      <c r="B60" s="2258"/>
      <c r="C60" s="2258"/>
      <c r="D60" s="2258"/>
      <c r="E60" s="2258"/>
      <c r="F60" s="2258"/>
      <c r="G60" s="2258"/>
      <c r="H60" s="2258"/>
      <c r="I60" s="2258"/>
      <c r="J60" s="2258"/>
      <c r="K60" s="2258"/>
      <c r="L60" s="2258"/>
      <c r="M60" s="2258"/>
      <c r="N60" s="2258"/>
      <c r="O60" s="2258"/>
      <c r="P60" s="2258"/>
      <c r="Q60" s="2258"/>
      <c r="R60" s="2258"/>
      <c r="S60" s="2258"/>
      <c r="T60" s="2258"/>
      <c r="U60" s="2258"/>
      <c r="V60" s="2258"/>
      <c r="W60" s="2258"/>
      <c r="X60" s="2258"/>
      <c r="Y60" s="2258"/>
      <c r="Z60" s="2258"/>
      <c r="AA60" s="2258"/>
      <c r="AB60" s="2258"/>
      <c r="AC60" s="2258"/>
      <c r="AD60" s="2258"/>
      <c r="AE60" s="2258"/>
      <c r="AF60" s="2258"/>
      <c r="AG60" s="2258"/>
      <c r="AH60" s="2258"/>
      <c r="AI60" s="2258"/>
      <c r="AJ60" s="2258"/>
      <c r="AK60" s="2258"/>
      <c r="AL60" s="2258"/>
      <c r="AM60" s="2258"/>
      <c r="AN60" s="2258"/>
    </row>
    <row r="61" spans="1:40" ht="13.7" customHeight="1" thickTop="1">
      <c r="A61" s="2260"/>
      <c r="B61" s="2260"/>
      <c r="C61" s="2260"/>
      <c r="D61" s="2260"/>
      <c r="E61" s="2260"/>
      <c r="F61" s="2260"/>
      <c r="G61" s="2260"/>
      <c r="H61" s="2260"/>
      <c r="I61" s="2260"/>
      <c r="J61" s="2260"/>
      <c r="K61" s="2260"/>
      <c r="L61" s="2260"/>
      <c r="M61" s="2260"/>
      <c r="N61" s="2260"/>
      <c r="O61" s="2260"/>
      <c r="P61" s="2260"/>
      <c r="Q61" s="2260"/>
      <c r="R61" s="2260"/>
      <c r="S61" s="2260"/>
      <c r="T61" s="2260"/>
      <c r="U61" s="2260"/>
      <c r="V61" s="2260"/>
      <c r="W61" s="2260"/>
      <c r="X61" s="2260"/>
      <c r="Y61" s="2260"/>
      <c r="Z61" s="2260"/>
      <c r="AA61" s="2260"/>
      <c r="AB61" s="2260"/>
      <c r="AC61" s="2260"/>
      <c r="AD61" s="2260"/>
      <c r="AE61" s="2260"/>
      <c r="AF61" s="2260"/>
      <c r="AG61" s="2260"/>
      <c r="AH61" s="2260"/>
      <c r="AI61" s="2260"/>
      <c r="AJ61" s="2260"/>
      <c r="AK61" s="2260"/>
      <c r="AL61" s="2260"/>
      <c r="AM61" s="2260"/>
      <c r="AN61" s="2260"/>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62" t="s">
        <v>331</v>
      </c>
      <c r="Z62" s="2262"/>
      <c r="AA62" s="2262"/>
      <c r="AB62" s="2262"/>
      <c r="AC62" s="2262"/>
      <c r="AD62" s="2262" t="s">
        <v>46</v>
      </c>
      <c r="AE62" s="2262"/>
      <c r="AF62" s="2262"/>
      <c r="AG62" s="2262"/>
      <c r="AH62" s="2262"/>
      <c r="AI62" s="1"/>
      <c r="AJ62" s="1"/>
      <c r="AK62" s="1"/>
      <c r="AL62" s="1"/>
      <c r="AM62" s="1"/>
      <c r="AN62" s="1"/>
    </row>
    <row r="63" spans="1:40" ht="12.75">
      <c r="C63" s="330"/>
      <c r="D63" s="799" t="s">
        <v>1375</v>
      </c>
      <c r="E63" s="800"/>
      <c r="F63" s="800"/>
      <c r="G63" s="800"/>
      <c r="H63" s="800"/>
      <c r="I63" s="800"/>
      <c r="J63" s="800"/>
      <c r="K63" s="800"/>
      <c r="L63" s="22"/>
      <c r="M63" s="22"/>
      <c r="N63" s="22"/>
      <c r="O63" s="22"/>
      <c r="P63" s="22"/>
      <c r="Q63" s="22"/>
      <c r="R63" s="22"/>
      <c r="S63" s="22"/>
      <c r="T63" s="22"/>
      <c r="U63" s="22"/>
      <c r="V63" s="22"/>
      <c r="W63" s="22"/>
      <c r="X63" s="22"/>
      <c r="Y63" s="2289">
        <f>IF(AND(Application!T193="No",Application!T194="No"),T28,IF(OR(AND(T25=1.3,Application!T196="Yes",Application!D214="Special Needs"),T25=1),(T23*T27)+Y28,Y28))</f>
        <v>0</v>
      </c>
      <c r="Z63" s="2285"/>
      <c r="AA63" s="2285"/>
      <c r="AB63" s="2285"/>
      <c r="AC63" s="2285"/>
      <c r="AD63" s="1798">
        <f>IF(AND(T25=1.3,Application!D214="At-Risk"),AI28,IF(Application!D214&lt;&gt;"At-Risk",0,AD28))</f>
        <v>0</v>
      </c>
      <c r="AE63" s="2285"/>
      <c r="AF63" s="2285"/>
      <c r="AG63" s="2285"/>
      <c r="AH63" s="2285"/>
    </row>
    <row r="64" spans="1:40" ht="15" customHeight="1">
      <c r="C64" s="6"/>
      <c r="E64" s="2259" t="s">
        <v>1426</v>
      </c>
      <c r="F64" s="2259"/>
      <c r="G64" s="2259"/>
      <c r="H64" s="2259"/>
      <c r="I64" s="2259"/>
      <c r="J64" s="2259"/>
      <c r="K64" s="2259"/>
      <c r="L64" s="2259"/>
      <c r="M64" s="2259"/>
      <c r="N64" s="2259"/>
      <c r="O64" s="2259"/>
      <c r="P64" s="2259"/>
      <c r="Q64" s="2259"/>
      <c r="R64" s="2259"/>
      <c r="S64" s="2259"/>
      <c r="T64" s="2259"/>
      <c r="U64" s="2259"/>
      <c r="V64" s="2259"/>
      <c r="W64" s="2259"/>
      <c r="X64" s="2259"/>
      <c r="Y64" s="2259"/>
      <c r="Z64" s="2259"/>
      <c r="AA64" s="2259"/>
      <c r="AB64" s="2259"/>
      <c r="AC64" s="2259"/>
      <c r="AD64" s="2259"/>
      <c r="AE64" s="2259"/>
      <c r="AF64" s="2259"/>
      <c r="AG64" s="2259"/>
      <c r="AH64" s="2259"/>
    </row>
    <row r="65" spans="1:40" ht="24.6" customHeight="1">
      <c r="C65" s="6"/>
      <c r="E65" s="2259"/>
      <c r="F65" s="2259"/>
      <c r="G65" s="2259"/>
      <c r="H65" s="2259"/>
      <c r="I65" s="2259"/>
      <c r="J65" s="2259"/>
      <c r="K65" s="2259"/>
      <c r="L65" s="2259"/>
      <c r="M65" s="2259"/>
      <c r="N65" s="2259"/>
      <c r="O65" s="2259"/>
      <c r="P65" s="2259"/>
      <c r="Q65" s="2259"/>
      <c r="R65" s="2259"/>
      <c r="S65" s="2259"/>
      <c r="T65" s="2259"/>
      <c r="U65" s="2259"/>
      <c r="V65" s="2259"/>
      <c r="W65" s="2259"/>
      <c r="X65" s="2259"/>
      <c r="Y65" s="2259"/>
      <c r="Z65" s="2259"/>
      <c r="AA65" s="2259"/>
      <c r="AB65" s="2259"/>
      <c r="AC65" s="2259"/>
      <c r="AD65" s="2259"/>
      <c r="AE65" s="2259"/>
      <c r="AF65" s="2259"/>
      <c r="AG65" s="2259"/>
      <c r="AH65" s="2259"/>
    </row>
    <row r="66" spans="1:40" ht="12.75">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81">
        <f>IF(Application!W198="Yes",95%, 30%)</f>
        <v>0.3</v>
      </c>
      <c r="Z66" s="2281"/>
      <c r="AA66" s="2281"/>
      <c r="AB66" s="2281"/>
      <c r="AC66" s="2281"/>
      <c r="AD66" s="2281">
        <f>IF(Application!W198="Yes",95%, 13%)</f>
        <v>0.13</v>
      </c>
      <c r="AE66" s="2281"/>
      <c r="AF66" s="2281"/>
      <c r="AG66" s="2281"/>
      <c r="AH66" s="2281"/>
    </row>
    <row r="67" spans="1:40" ht="12.75">
      <c r="C67" s="6"/>
      <c r="D67" s="6" t="s">
        <v>1045</v>
      </c>
      <c r="Y67" s="1798">
        <f>ROUND(Y63*Y66,0)</f>
        <v>0</v>
      </c>
      <c r="Z67" s="2285"/>
      <c r="AA67" s="2285"/>
      <c r="AB67" s="2285"/>
      <c r="AC67" s="2285"/>
      <c r="AD67" s="1798" t="str">
        <f>IF(OR(Application!D211="At-Risk",Application!D211="At-Risk/Located in Rural Census Tract",Application!D214="At-Risk"),ROUND(AD63*AD66,0),"$0")</f>
        <v>$0</v>
      </c>
      <c r="AE67" s="2286"/>
      <c r="AF67" s="2286"/>
      <c r="AG67" s="2286"/>
      <c r="AH67" s="2286"/>
    </row>
    <row r="68" spans="1:40" ht="12.75" customHeight="1">
      <c r="C68" s="6"/>
      <c r="E68" s="1357" t="s">
        <v>2180</v>
      </c>
      <c r="F68" s="1359"/>
      <c r="G68" s="1356"/>
      <c r="H68" s="1356"/>
      <c r="I68" s="1356"/>
      <c r="J68" s="1356"/>
      <c r="K68" s="1356"/>
      <c r="L68" s="1356"/>
      <c r="M68" s="1356"/>
      <c r="N68" s="1356"/>
      <c r="O68" s="1356"/>
      <c r="P68" s="1356"/>
      <c r="Q68" s="1356"/>
      <c r="R68" s="1356"/>
      <c r="S68" s="1356"/>
      <c r="T68" s="1356"/>
      <c r="U68" s="1356"/>
      <c r="V68" s="1356"/>
      <c r="W68" s="1356"/>
      <c r="X68" s="1356"/>
      <c r="Y68" s="1356"/>
      <c r="Z68" s="1356"/>
      <c r="AA68" s="1356"/>
      <c r="AB68" s="1356"/>
      <c r="AC68" s="1356"/>
      <c r="AD68" s="1356"/>
      <c r="AE68" s="1356"/>
      <c r="AF68" s="1356"/>
      <c r="AG68" s="1356"/>
      <c r="AH68" s="1356"/>
    </row>
    <row r="69" spans="1:40" ht="12.75">
      <c r="A69" s="6" t="s">
        <v>135</v>
      </c>
      <c r="C69" s="6" t="s">
        <v>283</v>
      </c>
      <c r="E69" s="1356"/>
      <c r="F69" s="1356"/>
      <c r="G69" s="1356"/>
      <c r="H69" s="1356"/>
      <c r="I69" s="1356"/>
      <c r="J69" s="1356"/>
      <c r="K69" s="1356"/>
      <c r="L69" s="1356"/>
      <c r="M69" s="1356"/>
      <c r="N69" s="1356"/>
      <c r="O69" s="1356"/>
      <c r="P69" s="1356"/>
      <c r="Q69" s="1356"/>
      <c r="R69" s="1356"/>
      <c r="S69" s="1356"/>
      <c r="T69" s="1356"/>
      <c r="U69" s="1356"/>
      <c r="V69" s="1356"/>
      <c r="W69" s="1356"/>
      <c r="X69" s="1356"/>
      <c r="Y69" s="1356"/>
      <c r="Z69" s="1356"/>
      <c r="AA69" s="1356"/>
      <c r="AB69" s="1356"/>
      <c r="AC69" s="1356"/>
      <c r="AD69" s="1356"/>
      <c r="AE69" s="1356"/>
      <c r="AF69" s="1356"/>
      <c r="AG69" s="1356"/>
      <c r="AH69" s="1356"/>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82"/>
      <c r="AC70" s="2283"/>
      <c r="AD70" s="2283"/>
      <c r="AE70" s="2283"/>
      <c r="AF70" s="2284"/>
      <c r="AG70" s="2"/>
      <c r="AH70" s="2"/>
      <c r="AI70" s="2"/>
      <c r="AJ70" s="2"/>
      <c r="AK70" s="2"/>
      <c r="AL70" s="2"/>
      <c r="AM70" s="2"/>
      <c r="AN70" s="2"/>
    </row>
    <row r="71" spans="1:40" ht="12.75" customHeight="1">
      <c r="A71" s="330"/>
      <c r="B71" s="2"/>
      <c r="C71" s="330"/>
      <c r="D71" s="330"/>
      <c r="E71" s="2287" t="s">
        <v>1972</v>
      </c>
      <c r="F71" s="2287"/>
      <c r="G71" s="2287"/>
      <c r="H71" s="2287"/>
      <c r="I71" s="2287"/>
      <c r="J71" s="2287"/>
      <c r="K71" s="2287"/>
      <c r="L71" s="2287"/>
      <c r="M71" s="2287"/>
      <c r="N71" s="2287"/>
      <c r="O71" s="2287"/>
      <c r="P71" s="2287"/>
      <c r="Q71" s="2287"/>
      <c r="R71" s="2287"/>
      <c r="S71" s="2287"/>
      <c r="T71" s="2287"/>
      <c r="U71" s="2287"/>
      <c r="V71" s="2287"/>
      <c r="W71" s="2287"/>
      <c r="X71" s="2287"/>
      <c r="Y71" s="2287"/>
      <c r="Z71" s="2287"/>
      <c r="AA71" s="801"/>
      <c r="AB71" s="801"/>
      <c r="AC71" s="801"/>
      <c r="AG71" s="2"/>
      <c r="AH71" s="2"/>
      <c r="AI71" s="2"/>
      <c r="AJ71" s="2"/>
      <c r="AK71" s="2"/>
      <c r="AL71" s="2"/>
      <c r="AM71" s="2"/>
      <c r="AN71" s="2"/>
    </row>
    <row r="72" spans="1:40" ht="12.75" customHeight="1">
      <c r="A72" s="330"/>
      <c r="B72" s="2"/>
      <c r="C72" s="330"/>
      <c r="D72" s="330"/>
      <c r="E72" s="2287"/>
      <c r="F72" s="2287"/>
      <c r="G72" s="2287"/>
      <c r="H72" s="2287"/>
      <c r="I72" s="2287"/>
      <c r="J72" s="2287"/>
      <c r="K72" s="2287"/>
      <c r="L72" s="2287"/>
      <c r="M72" s="2287"/>
      <c r="N72" s="2287"/>
      <c r="O72" s="2287"/>
      <c r="P72" s="2287"/>
      <c r="Q72" s="2287"/>
      <c r="R72" s="2287"/>
      <c r="S72" s="2287"/>
      <c r="T72" s="2287"/>
      <c r="U72" s="2287"/>
      <c r="V72" s="2287"/>
      <c r="W72" s="2287"/>
      <c r="X72" s="2287"/>
      <c r="Y72" s="2287"/>
      <c r="Z72" s="2287"/>
      <c r="AA72" s="801"/>
      <c r="AB72" s="801"/>
      <c r="AC72" s="801"/>
      <c r="AD72" s="1086"/>
      <c r="AE72" s="1086"/>
      <c r="AF72" s="1086"/>
      <c r="AG72" s="2"/>
      <c r="AH72" s="2"/>
      <c r="AI72" s="2"/>
      <c r="AJ72" s="2"/>
      <c r="AK72" s="2"/>
      <c r="AL72" s="2"/>
      <c r="AM72" s="2"/>
      <c r="AN72" s="2"/>
    </row>
    <row r="73" spans="1:40" ht="12" customHeight="1">
      <c r="A73" s="330"/>
      <c r="B73" s="2"/>
      <c r="C73" s="330"/>
      <c r="D73" s="330"/>
      <c r="E73" s="2287"/>
      <c r="F73" s="2287"/>
      <c r="G73" s="2287"/>
      <c r="H73" s="2287"/>
      <c r="I73" s="2287"/>
      <c r="J73" s="2287"/>
      <c r="K73" s="2287"/>
      <c r="L73" s="2287"/>
      <c r="M73" s="2287"/>
      <c r="N73" s="2287"/>
      <c r="O73" s="2287"/>
      <c r="P73" s="2287"/>
      <c r="Q73" s="2287"/>
      <c r="R73" s="2287"/>
      <c r="S73" s="2287"/>
      <c r="T73" s="2287"/>
      <c r="U73" s="2287"/>
      <c r="V73" s="2287"/>
      <c r="W73" s="2287"/>
      <c r="X73" s="2287"/>
      <c r="Y73" s="2287"/>
      <c r="Z73" s="2287"/>
      <c r="AA73" s="801"/>
      <c r="AB73" s="801"/>
      <c r="AC73" s="801"/>
      <c r="AD73" s="426"/>
      <c r="AE73" s="426"/>
      <c r="AF73" s="426"/>
      <c r="AG73" s="2"/>
      <c r="AH73" s="2"/>
      <c r="AI73" s="2"/>
      <c r="AJ73" s="2"/>
      <c r="AK73" s="2"/>
      <c r="AL73" s="2"/>
      <c r="AM73" s="2"/>
      <c r="AN73" s="2"/>
    </row>
    <row r="74" spans="1:40" ht="12" customHeight="1">
      <c r="A74" s="330"/>
      <c r="B74" s="2"/>
      <c r="C74" s="330"/>
      <c r="D74" s="330"/>
      <c r="E74" s="516"/>
      <c r="F74" s="516"/>
      <c r="G74" s="516"/>
      <c r="H74" s="516"/>
      <c r="I74" s="516"/>
      <c r="J74" s="516"/>
      <c r="K74" s="516"/>
      <c r="L74" s="516"/>
      <c r="M74" s="516"/>
      <c r="N74" s="516"/>
      <c r="O74" s="516"/>
      <c r="P74" s="516"/>
      <c r="Q74" s="516"/>
      <c r="R74" s="516"/>
      <c r="S74" s="516"/>
      <c r="T74" s="516"/>
      <c r="U74" s="516"/>
      <c r="V74" s="516"/>
      <c r="W74" s="516"/>
      <c r="X74" s="516"/>
      <c r="Y74" s="516"/>
      <c r="Z74" s="516"/>
      <c r="AA74" s="13"/>
      <c r="AG74" s="2"/>
      <c r="AH74" s="2"/>
      <c r="AI74" s="2"/>
      <c r="AJ74" s="2"/>
      <c r="AK74" s="2"/>
      <c r="AL74" s="2"/>
      <c r="AM74" s="2"/>
      <c r="AN74" s="2"/>
    </row>
    <row r="75" spans="1:40" ht="12" customHeight="1">
      <c r="C75" s="6"/>
      <c r="D75" s="6" t="s">
        <v>115</v>
      </c>
      <c r="AB75" s="2280">
        <f>ROUND(IF(ISERROR((AB58/AB70)),0,(AB58/AB70)),0)</f>
        <v>0</v>
      </c>
      <c r="AC75" s="2280"/>
      <c r="AD75" s="2280"/>
      <c r="AE75" s="2280"/>
      <c r="AF75" s="2280"/>
    </row>
    <row r="76" spans="1:40" ht="12.75" customHeight="1">
      <c r="C76" s="6"/>
      <c r="D76" s="6" t="s">
        <v>116</v>
      </c>
      <c r="AB76" s="2277">
        <f>IF((Y67+AD67&lt;AB75),Y67+AD67,AB75)</f>
        <v>0</v>
      </c>
      <c r="AC76" s="2278"/>
      <c r="AD76" s="2278"/>
      <c r="AE76" s="2278"/>
      <c r="AF76" s="2279"/>
    </row>
    <row r="77" spans="1:40" ht="12.75" customHeight="1">
      <c r="C77" s="6"/>
      <c r="D77" s="6" t="s">
        <v>1046</v>
      </c>
      <c r="AB77" s="2276">
        <f>AB76*AB70</f>
        <v>0</v>
      </c>
      <c r="AC77" s="2276"/>
      <c r="AD77" s="2276"/>
      <c r="AE77" s="2276"/>
      <c r="AF77" s="2276"/>
    </row>
    <row r="78" spans="1:40" ht="12.75" customHeight="1">
      <c r="C78" s="6"/>
      <c r="D78" s="6"/>
      <c r="AB78" s="932"/>
      <c r="AC78" s="932"/>
      <c r="AD78" s="932"/>
      <c r="AE78" s="932"/>
      <c r="AF78" s="932"/>
    </row>
    <row r="79" spans="1:40" ht="12.75" customHeight="1">
      <c r="A79" s="1"/>
      <c r="B79" s="1"/>
      <c r="C79" s="1"/>
      <c r="D79" s="6" t="s">
        <v>117</v>
      </c>
      <c r="AB79" s="2261">
        <f>AB48-(AB56+AB77)</f>
        <v>0</v>
      </c>
      <c r="AC79" s="2261"/>
      <c r="AD79" s="2261"/>
      <c r="AE79" s="2261"/>
      <c r="AF79" s="2261"/>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OBm+yyjvHoNayRiy1qUWIRQ8V6Gka8EuFtyKWkpWstakBxJ6Kz4wVhNos0/X/4GP+776Og5Kn4VHinWa8ZWQQ==" saltValue="yWImRaJyw+9SE8wtidBy2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81"/>
  <sheetViews>
    <sheetView showGridLines="0" zoomScale="120" zoomScaleNormal="120" zoomScaleSheetLayoutView="100" workbookViewId="0">
      <selection activeCell="C368" sqref="C368:AJ370"/>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42578125" style="65" customWidth="1"/>
    <col min="19" max="32" width="2.42578125" style="65" customWidth="1"/>
    <col min="33" max="33" width="3.42578125" style="65" customWidth="1"/>
    <col min="34" max="36" width="2.42578125" style="65" customWidth="1"/>
    <col min="37" max="37" width="5.42578125" style="65" customWidth="1"/>
    <col min="38" max="38" width="2.42578125" style="65" customWidth="1"/>
    <col min="39" max="39" width="3.42578125" style="65" customWidth="1"/>
    <col min="40" max="40" width="5.42578125" style="1133" customWidth="1"/>
    <col min="41" max="41" width="5.42578125" style="132" hidden="1" customWidth="1"/>
    <col min="42" max="55" width="5.42578125" style="65" hidden="1" customWidth="1"/>
    <col min="56" max="60" width="5.42578125" style="68" hidden="1" customWidth="1"/>
    <col min="61" max="109" width="5.42578125" style="65" hidden="1" customWidth="1"/>
    <col min="110" max="16384" width="0" style="65" hidden="1"/>
  </cols>
  <sheetData>
    <row r="1" spans="1:42" ht="15.75" customHeight="1">
      <c r="A1" s="1686" t="s">
        <v>928</v>
      </c>
      <c r="B1" s="1686"/>
      <c r="C1" s="1686"/>
      <c r="D1" s="1686"/>
      <c r="E1" s="1686"/>
      <c r="F1" s="1686"/>
      <c r="G1" s="1686"/>
      <c r="H1" s="1686"/>
      <c r="I1" s="1686"/>
      <c r="J1" s="1686"/>
      <c r="K1" s="1686"/>
      <c r="L1" s="1686"/>
      <c r="M1" s="1686"/>
      <c r="N1" s="1686"/>
      <c r="O1" s="1686"/>
      <c r="P1" s="1686"/>
      <c r="Q1" s="1686"/>
      <c r="R1" s="1686"/>
      <c r="S1" s="1686"/>
      <c r="T1" s="1686"/>
      <c r="U1" s="1686"/>
      <c r="V1" s="1686"/>
      <c r="W1" s="1686"/>
      <c r="X1" s="1686"/>
      <c r="Y1" s="1686"/>
      <c r="Z1" s="1686"/>
      <c r="AA1" s="1686"/>
      <c r="AB1" s="1686"/>
      <c r="AC1" s="1686"/>
      <c r="AD1" s="1686"/>
      <c r="AE1" s="1686"/>
      <c r="AF1" s="1686"/>
      <c r="AG1" s="1686"/>
      <c r="AH1" s="1686"/>
      <c r="AI1" s="1686"/>
      <c r="AJ1" s="1686"/>
      <c r="AK1" s="1686"/>
      <c r="AL1" s="1686"/>
      <c r="AM1" s="1686"/>
    </row>
    <row r="2" spans="1:42" s="8" customFormat="1" ht="12.75" customHeight="1" thickBot="1">
      <c r="A2" s="1687"/>
      <c r="B2" s="1687"/>
      <c r="C2" s="1687"/>
      <c r="D2" s="1687"/>
      <c r="E2" s="1687"/>
      <c r="F2" s="1687"/>
      <c r="G2" s="1687"/>
      <c r="H2" s="1687"/>
      <c r="I2" s="1687"/>
      <c r="J2" s="1687"/>
      <c r="K2" s="1687"/>
      <c r="L2" s="1687"/>
      <c r="M2" s="1687"/>
      <c r="N2" s="1687"/>
      <c r="O2" s="1687"/>
      <c r="P2" s="1687"/>
      <c r="Q2" s="1687"/>
      <c r="R2" s="1687"/>
      <c r="S2" s="1687"/>
      <c r="T2" s="1687"/>
      <c r="U2" s="1687"/>
      <c r="V2" s="1687"/>
      <c r="W2" s="1687"/>
      <c r="X2" s="1687"/>
      <c r="Y2" s="1687"/>
      <c r="Z2" s="1687"/>
      <c r="AA2" s="1687"/>
      <c r="AB2" s="1687"/>
      <c r="AC2" s="1687"/>
      <c r="AD2" s="1687"/>
      <c r="AE2" s="1687"/>
      <c r="AF2" s="1687"/>
      <c r="AG2" s="1687"/>
      <c r="AH2" s="1687"/>
      <c r="AI2" s="1687"/>
      <c r="AJ2" s="1687"/>
      <c r="AK2" s="1687"/>
      <c r="AL2" s="1687"/>
      <c r="AM2" s="1687"/>
      <c r="AN2" s="1134"/>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5"/>
    </row>
    <row r="4" spans="1:42" s="63" customFormat="1" ht="12.75" customHeight="1">
      <c r="A4" s="142" t="s">
        <v>1632</v>
      </c>
      <c r="AE4" s="2513" t="s">
        <v>408</v>
      </c>
      <c r="AF4" s="2513"/>
      <c r="AG4" s="2513"/>
      <c r="AH4" s="2513"/>
      <c r="AI4" s="2513"/>
      <c r="AJ4" s="2513"/>
      <c r="AK4" s="2513"/>
      <c r="AL4" s="1303"/>
      <c r="AM4" s="48"/>
      <c r="AN4" s="1135"/>
    </row>
    <row r="5" spans="1:42" s="63" customFormat="1" ht="12.95" customHeight="1">
      <c r="A5" s="142"/>
      <c r="AE5" s="33"/>
      <c r="AF5" s="33"/>
      <c r="AG5" s="33"/>
      <c r="AH5" s="33"/>
      <c r="AI5" s="33"/>
      <c r="AJ5" s="33"/>
      <c r="AK5" s="33"/>
      <c r="AL5" s="1303"/>
      <c r="AM5" s="48"/>
      <c r="AN5" s="1135"/>
    </row>
    <row r="6" spans="1:42" s="8" customFormat="1" ht="12.75" customHeight="1">
      <c r="A6" s="142"/>
      <c r="B6" s="142" t="s">
        <v>1633</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63" t="s">
        <v>937</v>
      </c>
      <c r="AG6" s="2363"/>
      <c r="AH6" s="2363"/>
      <c r="AI6" s="2363"/>
      <c r="AJ6" s="2363"/>
      <c r="AK6" s="2363"/>
      <c r="AL6" s="2363"/>
      <c r="AM6" s="48"/>
      <c r="AN6" s="1134"/>
    </row>
    <row r="7" spans="1:42" s="8" customFormat="1" ht="12.75" customHeight="1">
      <c r="A7" s="142"/>
      <c r="B7" s="106" t="s">
        <v>698</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2"/>
      <c r="AM7" s="48"/>
      <c r="AN7" s="1134"/>
    </row>
    <row r="8" spans="1:42" s="8" customFormat="1" ht="15" customHeight="1">
      <c r="A8" s="142"/>
      <c r="B8" s="2341" t="s">
        <v>2387</v>
      </c>
      <c r="C8" s="2341"/>
      <c r="D8" s="2341"/>
      <c r="E8" s="2341"/>
      <c r="F8" s="2341"/>
      <c r="G8" s="2341"/>
      <c r="H8" s="2341"/>
      <c r="I8" s="2341"/>
      <c r="J8" s="2341"/>
      <c r="K8" s="2341"/>
      <c r="L8" s="2341"/>
      <c r="M8" s="2341"/>
      <c r="N8" s="2341"/>
      <c r="O8" s="2341"/>
      <c r="P8" s="2341"/>
      <c r="Q8" s="2341"/>
      <c r="R8" s="2341"/>
      <c r="S8" s="2341"/>
      <c r="T8" s="2341"/>
      <c r="U8" s="2341"/>
      <c r="V8" s="2341"/>
      <c r="W8" s="2341"/>
      <c r="X8" s="2341"/>
      <c r="Y8" s="2341"/>
      <c r="Z8" s="2341"/>
      <c r="AA8" s="2341"/>
      <c r="AB8" s="2341"/>
      <c r="AC8" s="2341"/>
      <c r="AD8" s="63"/>
      <c r="AE8" s="179"/>
      <c r="AF8" s="179"/>
      <c r="AG8" s="179"/>
      <c r="AH8" s="179"/>
      <c r="AI8" s="179"/>
      <c r="AJ8" s="179"/>
      <c r="AK8" s="179"/>
      <c r="AL8" s="1302"/>
      <c r="AM8" s="48"/>
      <c r="AN8" s="1134"/>
      <c r="AO8" s="71"/>
      <c r="AP8" s="535"/>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2"/>
      <c r="AM9" s="48"/>
      <c r="AN9" s="1136"/>
      <c r="AO9" s="665" t="s">
        <v>86</v>
      </c>
      <c r="AP9" s="742"/>
    </row>
    <row r="10" spans="1:42" s="8" customFormat="1" ht="12.75" customHeight="1">
      <c r="A10" s="142"/>
      <c r="B10" s="205" t="s">
        <v>1241</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4"/>
      <c r="AO10" s="741" t="s">
        <v>1376</v>
      </c>
      <c r="AP10" s="743">
        <v>5</v>
      </c>
    </row>
    <row r="11" spans="1:42" s="8" customFormat="1" ht="12.75" customHeight="1">
      <c r="A11" s="142"/>
      <c r="B11" s="2341" t="s">
        <v>1377</v>
      </c>
      <c r="C11" s="2341"/>
      <c r="D11" s="2341"/>
      <c r="E11" s="2341"/>
      <c r="F11" s="2341"/>
      <c r="G11" s="2341"/>
      <c r="H11" s="2341"/>
      <c r="I11" s="2341"/>
      <c r="J11" s="2341"/>
      <c r="K11" s="2341"/>
      <c r="L11" s="2341"/>
      <c r="M11" s="2341"/>
      <c r="N11" s="2341"/>
      <c r="O11" s="2341"/>
      <c r="P11" s="2341"/>
      <c r="Q11" s="2341"/>
      <c r="R11" s="2341"/>
      <c r="S11" s="2341"/>
      <c r="T11" s="2341"/>
      <c r="U11" s="2341"/>
      <c r="V11" s="2341"/>
      <c r="W11" s="2341"/>
      <c r="X11" s="2341"/>
      <c r="Y11" s="2341"/>
      <c r="Z11" s="2341"/>
      <c r="AA11" s="2341"/>
      <c r="AB11" s="2341"/>
      <c r="AC11" s="2341"/>
      <c r="AD11" s="2341"/>
      <c r="AE11" s="2341"/>
      <c r="AF11" s="2341"/>
      <c r="AG11" s="2341"/>
      <c r="AH11" s="2341"/>
      <c r="AI11" s="2341"/>
      <c r="AM11" s="48"/>
      <c r="AN11" s="1134"/>
      <c r="AO11" s="741" t="s">
        <v>1377</v>
      </c>
      <c r="AP11" s="743">
        <v>7</v>
      </c>
    </row>
    <row r="12" spans="1:42" s="8" customFormat="1" ht="12.75" customHeight="1">
      <c r="A12" s="536"/>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4"/>
      <c r="AO12" s="741"/>
      <c r="AP12" s="743"/>
    </row>
    <row r="13" spans="1:42" s="8" customFormat="1" ht="12.75" customHeight="1">
      <c r="A13" s="536"/>
      <c r="B13" s="205" t="s">
        <v>1378</v>
      </c>
      <c r="AB13" s="2516" t="s">
        <v>136</v>
      </c>
      <c r="AC13" s="2516"/>
      <c r="AD13" s="410"/>
      <c r="AE13" s="136"/>
      <c r="AF13" s="136"/>
      <c r="AG13" s="136"/>
      <c r="AH13" s="136"/>
      <c r="AI13" s="136"/>
      <c r="AJ13" s="136"/>
      <c r="AK13" s="136"/>
      <c r="AL13" s="136"/>
      <c r="AM13" s="48"/>
      <c r="AN13" s="1134"/>
      <c r="AO13" s="595"/>
      <c r="AP13" s="595"/>
    </row>
    <row r="14" spans="1:42" s="8" customFormat="1" ht="12.75" customHeight="1">
      <c r="A14" s="536"/>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4"/>
      <c r="AO14" s="665" t="s">
        <v>1240</v>
      </c>
      <c r="AP14" s="743"/>
    </row>
    <row r="15" spans="1:42" s="8" customFormat="1" ht="12.75" customHeight="1">
      <c r="A15" s="142"/>
      <c r="B15" s="101" t="s">
        <v>1133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4"/>
      <c r="AO15" s="741" t="s">
        <v>1379</v>
      </c>
      <c r="AP15" s="743">
        <v>5</v>
      </c>
    </row>
    <row r="16" spans="1:42" s="8" customFormat="1" ht="12.75" customHeight="1">
      <c r="A16" s="142"/>
      <c r="B16" s="2341" t="s">
        <v>1240</v>
      </c>
      <c r="C16" s="2341"/>
      <c r="D16" s="2341"/>
      <c r="E16" s="2341"/>
      <c r="F16" s="2341"/>
      <c r="G16" s="2341"/>
      <c r="H16" s="2341"/>
      <c r="I16" s="2341"/>
      <c r="J16" s="2341"/>
      <c r="K16" s="2341"/>
      <c r="L16" s="2341"/>
      <c r="M16" s="2341"/>
      <c r="N16" s="2341"/>
      <c r="O16" s="2341"/>
      <c r="P16" s="2341"/>
      <c r="Q16" s="2341"/>
      <c r="R16" s="2341"/>
      <c r="S16" s="2341"/>
      <c r="T16" s="2341"/>
      <c r="U16" s="2341"/>
      <c r="V16" s="2341"/>
      <c r="W16" s="2341"/>
      <c r="X16" s="2341"/>
      <c r="Y16" s="2341"/>
      <c r="Z16" s="2341"/>
      <c r="AA16" s="2341"/>
      <c r="AB16" s="2341"/>
      <c r="AC16" s="2341"/>
      <c r="AD16" s="2341"/>
      <c r="AE16" s="2341"/>
      <c r="AF16" s="2341"/>
      <c r="AG16" s="2341"/>
      <c r="AH16" s="2341"/>
      <c r="AI16" s="2341"/>
      <c r="AJ16" s="2341"/>
      <c r="AK16" s="778"/>
      <c r="AL16" s="778"/>
      <c r="AM16" s="778"/>
      <c r="AN16" s="1134"/>
      <c r="AO16" s="741" t="s">
        <v>1380</v>
      </c>
      <c r="AP16" s="743">
        <v>7</v>
      </c>
    </row>
    <row r="17" spans="1:42" s="8" customFormat="1" ht="12.75" customHeight="1">
      <c r="B17" s="101" t="s">
        <v>2079</v>
      </c>
      <c r="C17" s="59"/>
      <c r="D17" s="59"/>
      <c r="E17" s="59"/>
      <c r="F17" s="59"/>
      <c r="G17" s="59"/>
      <c r="H17" s="59"/>
      <c r="I17" s="59"/>
      <c r="J17" s="59"/>
      <c r="K17" s="59"/>
      <c r="L17" s="59"/>
      <c r="M17" s="59"/>
      <c r="N17" s="59"/>
      <c r="O17" s="59"/>
      <c r="P17" s="59"/>
      <c r="Q17" s="59"/>
      <c r="R17" s="59"/>
      <c r="S17" s="59"/>
      <c r="T17" s="59"/>
      <c r="U17" s="59"/>
      <c r="AM17" s="48"/>
      <c r="AN17" s="1134"/>
      <c r="AO17" s="741"/>
      <c r="AP17" s="743"/>
    </row>
    <row r="18" spans="1:42" s="8" customFormat="1" ht="12.75" customHeight="1">
      <c r="B18" s="205" t="s">
        <v>2078</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4"/>
      <c r="AO18" s="71"/>
      <c r="AP18" s="535"/>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4"/>
    </row>
    <row r="20" spans="1:42" s="8" customFormat="1" ht="12.75" customHeight="1">
      <c r="B20" s="2381" t="s">
        <v>1841</v>
      </c>
      <c r="C20" s="2381"/>
      <c r="D20" s="2381"/>
      <c r="E20" s="2381"/>
      <c r="F20" s="2381"/>
      <c r="G20" s="2381"/>
      <c r="H20" s="2381"/>
      <c r="I20" s="2381"/>
      <c r="J20" s="2381"/>
      <c r="K20" s="2381"/>
      <c r="L20" s="2381"/>
      <c r="M20" s="2381"/>
      <c r="N20" s="2381"/>
      <c r="O20" s="2381"/>
      <c r="P20" s="2381"/>
      <c r="Q20" s="2381"/>
      <c r="R20" s="2381"/>
      <c r="S20" s="2381"/>
      <c r="T20" s="2381"/>
      <c r="U20" s="2381"/>
      <c r="V20" s="2381"/>
      <c r="W20" s="2381"/>
      <c r="X20" s="2381"/>
      <c r="Y20" s="2381"/>
      <c r="Z20" s="2381"/>
      <c r="AA20" s="2381"/>
      <c r="AB20" s="2381"/>
      <c r="AC20" s="2381"/>
      <c r="AD20" s="2381"/>
      <c r="AE20" s="2381"/>
      <c r="AF20" s="2381"/>
      <c r="AG20" s="2381"/>
      <c r="AH20" s="2381"/>
      <c r="AI20" s="2381"/>
      <c r="AJ20" s="2381"/>
      <c r="AK20" s="2381"/>
      <c r="AL20" s="1304"/>
      <c r="AM20" s="38"/>
      <c r="AN20" s="1134"/>
    </row>
    <row r="21" spans="1:42" s="8" customFormat="1" ht="12.75" customHeight="1">
      <c r="A21" s="38"/>
      <c r="B21" s="2381"/>
      <c r="C21" s="2381"/>
      <c r="D21" s="2381"/>
      <c r="E21" s="2381"/>
      <c r="F21" s="2381"/>
      <c r="G21" s="2381"/>
      <c r="H21" s="2381"/>
      <c r="I21" s="2381"/>
      <c r="J21" s="2381"/>
      <c r="K21" s="2381"/>
      <c r="L21" s="2381"/>
      <c r="M21" s="2381"/>
      <c r="N21" s="2381"/>
      <c r="O21" s="2381"/>
      <c r="P21" s="2381"/>
      <c r="Q21" s="2381"/>
      <c r="R21" s="2381"/>
      <c r="S21" s="2381"/>
      <c r="T21" s="2381"/>
      <c r="U21" s="2381"/>
      <c r="V21" s="2381"/>
      <c r="W21" s="2381"/>
      <c r="X21" s="2381"/>
      <c r="Y21" s="2381"/>
      <c r="Z21" s="2381"/>
      <c r="AA21" s="2381"/>
      <c r="AB21" s="2381"/>
      <c r="AC21" s="2381"/>
      <c r="AD21" s="2381"/>
      <c r="AE21" s="2381"/>
      <c r="AF21" s="2381"/>
      <c r="AG21" s="2381"/>
      <c r="AH21" s="2381"/>
      <c r="AI21" s="2381"/>
      <c r="AJ21" s="2381"/>
      <c r="AK21" s="2381"/>
      <c r="AL21" s="1304"/>
      <c r="AM21" s="38"/>
      <c r="AN21" s="1134"/>
      <c r="AP21" s="534"/>
    </row>
    <row r="22" spans="1:42" s="8" customFormat="1" ht="12.75" customHeight="1">
      <c r="A22" s="38"/>
      <c r="B22" s="2381"/>
      <c r="C22" s="2381"/>
      <c r="D22" s="2381"/>
      <c r="E22" s="2381"/>
      <c r="F22" s="2381"/>
      <c r="G22" s="2381"/>
      <c r="H22" s="2381"/>
      <c r="I22" s="2381"/>
      <c r="J22" s="2381"/>
      <c r="K22" s="2381"/>
      <c r="L22" s="2381"/>
      <c r="M22" s="2381"/>
      <c r="N22" s="2381"/>
      <c r="O22" s="2381"/>
      <c r="P22" s="2381"/>
      <c r="Q22" s="2381"/>
      <c r="R22" s="2381"/>
      <c r="S22" s="2381"/>
      <c r="T22" s="2381"/>
      <c r="U22" s="2381"/>
      <c r="V22" s="2381"/>
      <c r="W22" s="2381"/>
      <c r="X22" s="2381"/>
      <c r="Y22" s="2381"/>
      <c r="Z22" s="2381"/>
      <c r="AA22" s="2381"/>
      <c r="AB22" s="2381"/>
      <c r="AC22" s="2381"/>
      <c r="AD22" s="2381"/>
      <c r="AE22" s="2381"/>
      <c r="AF22" s="2381"/>
      <c r="AG22" s="2381"/>
      <c r="AH22" s="2381"/>
      <c r="AI22" s="2381"/>
      <c r="AJ22" s="2381"/>
      <c r="AK22" s="2381"/>
      <c r="AL22" s="1304"/>
      <c r="AM22" s="38"/>
      <c r="AN22" s="1134"/>
    </row>
    <row r="23" spans="1:42" s="46" customFormat="1" ht="12.75" customHeight="1">
      <c r="A23" s="38"/>
      <c r="B23" s="2381"/>
      <c r="C23" s="2381"/>
      <c r="D23" s="2381"/>
      <c r="E23" s="2381"/>
      <c r="F23" s="2381"/>
      <c r="G23" s="2381"/>
      <c r="H23" s="2381"/>
      <c r="I23" s="2381"/>
      <c r="J23" s="2381"/>
      <c r="K23" s="2381"/>
      <c r="L23" s="2381"/>
      <c r="M23" s="2381"/>
      <c r="N23" s="2381"/>
      <c r="O23" s="2381"/>
      <c r="P23" s="2381"/>
      <c r="Q23" s="2381"/>
      <c r="R23" s="2381"/>
      <c r="S23" s="2381"/>
      <c r="T23" s="2381"/>
      <c r="U23" s="2381"/>
      <c r="V23" s="2381"/>
      <c r="W23" s="2381"/>
      <c r="X23" s="2381"/>
      <c r="Y23" s="2381"/>
      <c r="Z23" s="2381"/>
      <c r="AA23" s="2381"/>
      <c r="AB23" s="2381"/>
      <c r="AC23" s="2381"/>
      <c r="AD23" s="2381"/>
      <c r="AE23" s="2381"/>
      <c r="AF23" s="2381"/>
      <c r="AG23" s="2381"/>
      <c r="AH23" s="2381"/>
      <c r="AI23" s="2381"/>
      <c r="AJ23" s="2381"/>
      <c r="AK23" s="2381"/>
      <c r="AL23" s="1304"/>
      <c r="AM23" s="38"/>
      <c r="AN23" s="439"/>
    </row>
    <row r="24" spans="1:42" s="46" customFormat="1" ht="12.75" customHeight="1">
      <c r="A24" s="38"/>
      <c r="B24" s="2381"/>
      <c r="C24" s="2381"/>
      <c r="D24" s="2381"/>
      <c r="E24" s="2381"/>
      <c r="F24" s="2381"/>
      <c r="G24" s="2381"/>
      <c r="H24" s="2381"/>
      <c r="I24" s="2381"/>
      <c r="J24" s="2381"/>
      <c r="K24" s="2381"/>
      <c r="L24" s="2381"/>
      <c r="M24" s="2381"/>
      <c r="N24" s="2381"/>
      <c r="O24" s="2381"/>
      <c r="P24" s="2381"/>
      <c r="Q24" s="2381"/>
      <c r="R24" s="2381"/>
      <c r="S24" s="2381"/>
      <c r="T24" s="2381"/>
      <c r="U24" s="2381"/>
      <c r="V24" s="2381"/>
      <c r="W24" s="2381"/>
      <c r="X24" s="2381"/>
      <c r="Y24" s="2381"/>
      <c r="Z24" s="2381"/>
      <c r="AA24" s="2381"/>
      <c r="AB24" s="2381"/>
      <c r="AC24" s="2381"/>
      <c r="AD24" s="2381"/>
      <c r="AE24" s="2381"/>
      <c r="AF24" s="2381"/>
      <c r="AG24" s="2381"/>
      <c r="AH24" s="2381"/>
      <c r="AI24" s="2381"/>
      <c r="AJ24" s="2381"/>
      <c r="AK24" s="2381"/>
      <c r="AL24" s="1304"/>
      <c r="AM24" s="38"/>
      <c r="AN24" s="1137"/>
      <c r="AO24" s="155"/>
    </row>
    <row r="25" spans="1:42" s="46" customFormat="1" ht="12.75" customHeight="1">
      <c r="A25" s="38"/>
      <c r="B25" s="2381"/>
      <c r="C25" s="2381"/>
      <c r="D25" s="2381"/>
      <c r="E25" s="2381"/>
      <c r="F25" s="2381"/>
      <c r="G25" s="2381"/>
      <c r="H25" s="2381"/>
      <c r="I25" s="2381"/>
      <c r="J25" s="2381"/>
      <c r="K25" s="2381"/>
      <c r="L25" s="2381"/>
      <c r="M25" s="2381"/>
      <c r="N25" s="2381"/>
      <c r="O25" s="2381"/>
      <c r="P25" s="2381"/>
      <c r="Q25" s="2381"/>
      <c r="R25" s="2381"/>
      <c r="S25" s="2381"/>
      <c r="T25" s="2381"/>
      <c r="U25" s="2381"/>
      <c r="V25" s="2381"/>
      <c r="W25" s="2381"/>
      <c r="X25" s="2381"/>
      <c r="Y25" s="2381"/>
      <c r="Z25" s="2381"/>
      <c r="AA25" s="2381"/>
      <c r="AB25" s="2381"/>
      <c r="AC25" s="2381"/>
      <c r="AD25" s="2381"/>
      <c r="AE25" s="2381"/>
      <c r="AF25" s="2381"/>
      <c r="AG25" s="2381"/>
      <c r="AH25" s="2381"/>
      <c r="AI25" s="2381"/>
      <c r="AJ25" s="2381"/>
      <c r="AK25" s="2381"/>
      <c r="AL25" s="1304"/>
      <c r="AM25" s="38"/>
      <c r="AN25" s="1137"/>
    </row>
    <row r="26" spans="1:42" s="137" customFormat="1" ht="12.75" customHeight="1">
      <c r="A26" s="38"/>
      <c r="B26" s="2381"/>
      <c r="C26" s="2381"/>
      <c r="D26" s="2381"/>
      <c r="E26" s="2381"/>
      <c r="F26" s="2381"/>
      <c r="G26" s="2381"/>
      <c r="H26" s="2381"/>
      <c r="I26" s="2381"/>
      <c r="J26" s="2381"/>
      <c r="K26" s="2381"/>
      <c r="L26" s="2381"/>
      <c r="M26" s="2381"/>
      <c r="N26" s="2381"/>
      <c r="O26" s="2381"/>
      <c r="P26" s="2381"/>
      <c r="Q26" s="2381"/>
      <c r="R26" s="2381"/>
      <c r="S26" s="2381"/>
      <c r="T26" s="2381"/>
      <c r="U26" s="2381"/>
      <c r="V26" s="2381"/>
      <c r="W26" s="2381"/>
      <c r="X26" s="2381"/>
      <c r="Y26" s="2381"/>
      <c r="Z26" s="2381"/>
      <c r="AA26" s="2381"/>
      <c r="AB26" s="2381"/>
      <c r="AC26" s="2381"/>
      <c r="AD26" s="2381"/>
      <c r="AE26" s="2381"/>
      <c r="AF26" s="2381"/>
      <c r="AG26" s="2381"/>
      <c r="AH26" s="2381"/>
      <c r="AI26" s="2381"/>
      <c r="AJ26" s="2381"/>
      <c r="AK26" s="2381"/>
      <c r="AL26" s="1304"/>
      <c r="AM26" s="38"/>
      <c r="AN26" s="1138"/>
    </row>
    <row r="27" spans="1:42" s="46" customFormat="1" ht="12.75" customHeight="1">
      <c r="A27" s="38"/>
      <c r="B27" s="2381"/>
      <c r="C27" s="2381"/>
      <c r="D27" s="2381"/>
      <c r="E27" s="2381"/>
      <c r="F27" s="2381"/>
      <c r="G27" s="2381"/>
      <c r="H27" s="2381"/>
      <c r="I27" s="2381"/>
      <c r="J27" s="2381"/>
      <c r="K27" s="2381"/>
      <c r="L27" s="2381"/>
      <c r="M27" s="2381"/>
      <c r="N27" s="2381"/>
      <c r="O27" s="2381"/>
      <c r="P27" s="2381"/>
      <c r="Q27" s="2381"/>
      <c r="R27" s="2381"/>
      <c r="S27" s="2381"/>
      <c r="T27" s="2381"/>
      <c r="U27" s="2381"/>
      <c r="V27" s="2381"/>
      <c r="W27" s="2381"/>
      <c r="X27" s="2381"/>
      <c r="Y27" s="2381"/>
      <c r="Z27" s="2381"/>
      <c r="AA27" s="2381"/>
      <c r="AB27" s="2381"/>
      <c r="AC27" s="2381"/>
      <c r="AD27" s="2381"/>
      <c r="AE27" s="2381"/>
      <c r="AF27" s="2381"/>
      <c r="AG27" s="2381"/>
      <c r="AH27" s="2381"/>
      <c r="AI27" s="2381"/>
      <c r="AJ27" s="2381"/>
      <c r="AK27" s="2381"/>
      <c r="AL27" s="1304"/>
      <c r="AM27" s="38"/>
      <c r="AN27" s="1139"/>
    </row>
    <row r="28" spans="1:42" s="46" customFormat="1" ht="12.75" customHeight="1">
      <c r="A28" s="38"/>
      <c r="B28" s="2381"/>
      <c r="C28" s="2381"/>
      <c r="D28" s="2381"/>
      <c r="E28" s="2381"/>
      <c r="F28" s="2381"/>
      <c r="G28" s="2381"/>
      <c r="H28" s="2381"/>
      <c r="I28" s="2381"/>
      <c r="J28" s="2381"/>
      <c r="K28" s="2381"/>
      <c r="L28" s="2381"/>
      <c r="M28" s="2381"/>
      <c r="N28" s="2381"/>
      <c r="O28" s="2381"/>
      <c r="P28" s="2381"/>
      <c r="Q28" s="2381"/>
      <c r="R28" s="2381"/>
      <c r="S28" s="2381"/>
      <c r="T28" s="2381"/>
      <c r="U28" s="2381"/>
      <c r="V28" s="2381"/>
      <c r="W28" s="2381"/>
      <c r="X28" s="2381"/>
      <c r="Y28" s="2381"/>
      <c r="Z28" s="2381"/>
      <c r="AA28" s="2381"/>
      <c r="AB28" s="2381"/>
      <c r="AC28" s="2381"/>
      <c r="AD28" s="2381"/>
      <c r="AE28" s="2381"/>
      <c r="AF28" s="2381"/>
      <c r="AG28" s="2381"/>
      <c r="AH28" s="2381"/>
      <c r="AI28" s="2381"/>
      <c r="AJ28" s="2381"/>
      <c r="AK28" s="2381"/>
      <c r="AL28" s="1304"/>
      <c r="AM28" s="38"/>
      <c r="AN28" s="1139"/>
    </row>
    <row r="29" spans="1:42" s="46" customFormat="1" ht="31.7" customHeight="1">
      <c r="A29" s="38"/>
      <c r="B29" s="2381"/>
      <c r="C29" s="2381"/>
      <c r="D29" s="2381"/>
      <c r="E29" s="2381"/>
      <c r="F29" s="2381"/>
      <c r="G29" s="2381"/>
      <c r="H29" s="2381"/>
      <c r="I29" s="2381"/>
      <c r="J29" s="2381"/>
      <c r="K29" s="2381"/>
      <c r="L29" s="2381"/>
      <c r="M29" s="2381"/>
      <c r="N29" s="2381"/>
      <c r="O29" s="2381"/>
      <c r="P29" s="2381"/>
      <c r="Q29" s="2381"/>
      <c r="R29" s="2381"/>
      <c r="S29" s="2381"/>
      <c r="T29" s="2381"/>
      <c r="U29" s="2381"/>
      <c r="V29" s="2381"/>
      <c r="W29" s="2381"/>
      <c r="X29" s="2381"/>
      <c r="Y29" s="2381"/>
      <c r="Z29" s="2381"/>
      <c r="AA29" s="2381"/>
      <c r="AB29" s="2381"/>
      <c r="AC29" s="2381"/>
      <c r="AD29" s="2381"/>
      <c r="AE29" s="2381"/>
      <c r="AF29" s="2381"/>
      <c r="AG29" s="2381"/>
      <c r="AH29" s="2381"/>
      <c r="AI29" s="2381"/>
      <c r="AJ29" s="2381"/>
      <c r="AK29" s="2381"/>
      <c r="AL29" s="1304"/>
      <c r="AM29" s="38"/>
      <c r="AN29" s="1139"/>
      <c r="AO29" s="745" t="s">
        <v>86</v>
      </c>
      <c r="AP29" s="595"/>
    </row>
    <row r="30" spans="1:42" s="46" customFormat="1" ht="12.75" customHeight="1">
      <c r="A30" s="8"/>
      <c r="B30" s="2382"/>
      <c r="C30" s="2382"/>
      <c r="D30" s="2382"/>
      <c r="E30" s="2382"/>
      <c r="F30" s="2382"/>
      <c r="G30" s="2382"/>
      <c r="H30" s="2382"/>
      <c r="I30" s="2382"/>
      <c r="J30" s="2382"/>
      <c r="K30" s="2382"/>
      <c r="L30" s="2382"/>
      <c r="M30" s="2382"/>
      <c r="N30" s="2382"/>
      <c r="O30" s="2382"/>
      <c r="P30" s="2382"/>
      <c r="Q30" s="2382"/>
      <c r="R30" s="2382"/>
      <c r="S30" s="2382"/>
      <c r="T30" s="2382"/>
      <c r="U30" s="2382"/>
      <c r="V30" s="2382"/>
      <c r="W30" s="2382"/>
      <c r="X30" s="2382"/>
      <c r="Y30" s="2382"/>
      <c r="Z30" s="2382"/>
      <c r="AA30" s="2382"/>
      <c r="AB30" s="2382"/>
      <c r="AC30" s="2382"/>
      <c r="AD30" s="2382"/>
      <c r="AE30" s="2382"/>
      <c r="AF30" s="2382"/>
      <c r="AG30" s="2382"/>
      <c r="AH30" s="2382"/>
      <c r="AI30" s="2382"/>
      <c r="AJ30" s="2382"/>
      <c r="AK30" s="2382"/>
      <c r="AL30" s="25"/>
      <c r="AM30" s="74"/>
      <c r="AN30" s="1139"/>
      <c r="AO30" s="595" t="s">
        <v>1382</v>
      </c>
      <c r="AP30" s="746">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709</v>
      </c>
      <c r="AJ31" s="2514">
        <f>IF((AND(AND(OR(Application!D211="Nonprofit (qualified nonprofit organization)",Application!D211="Nonprofit (homeless assistance)",Application!D211="Special Needs/SRO"),Application!D214="Special Needs"),$AB$13="N/A")),VLOOKUP($B$16,$AO$14:$AP$16,2,FALSE),VLOOKUP($B$11,$AO$9:$AP$11,2,FALSE))</f>
        <v>7</v>
      </c>
      <c r="AK31" s="2514"/>
      <c r="AL31" s="1307"/>
      <c r="AM31" s="136"/>
      <c r="AN31" s="1139"/>
      <c r="AO31" s="595" t="s">
        <v>1381</v>
      </c>
      <c r="AP31" s="746">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39"/>
      <c r="AO32" s="595"/>
      <c r="AP32" s="595"/>
    </row>
    <row r="33" spans="1:43" s="46" customFormat="1" ht="12.75" customHeight="1">
      <c r="A33" s="8"/>
      <c r="B33" s="106" t="s">
        <v>1634</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63" t="s">
        <v>66</v>
      </c>
      <c r="AG33" s="2363"/>
      <c r="AH33" s="2363"/>
      <c r="AI33" s="2363"/>
      <c r="AJ33" s="2363"/>
      <c r="AK33" s="2363"/>
      <c r="AL33" s="2363"/>
      <c r="AM33" s="151"/>
      <c r="AN33" s="1139"/>
      <c r="AO33" s="744"/>
      <c r="AP33" s="744"/>
    </row>
    <row r="34" spans="1:43" s="46" customFormat="1" ht="12.75" customHeight="1">
      <c r="A34" s="8"/>
      <c r="B34" s="205" t="s">
        <v>1241</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39"/>
      <c r="AO34" s="744"/>
      <c r="AP34" s="744"/>
    </row>
    <row r="35" spans="1:43" s="46" customFormat="1" ht="12.75" customHeight="1">
      <c r="A35" s="8"/>
      <c r="C35" s="2341" t="s">
        <v>1381</v>
      </c>
      <c r="D35" s="2341"/>
      <c r="E35" s="2341"/>
      <c r="F35" s="2341"/>
      <c r="G35" s="2341"/>
      <c r="H35" s="2341"/>
      <c r="I35" s="2341"/>
      <c r="J35" s="2341"/>
      <c r="K35" s="2341"/>
      <c r="L35" s="2341"/>
      <c r="M35" s="2341"/>
      <c r="N35" s="2341"/>
      <c r="O35" s="2341"/>
      <c r="P35" s="2341"/>
      <c r="Q35" s="2341"/>
      <c r="R35" s="2341"/>
      <c r="S35" s="2341"/>
      <c r="T35" s="2341"/>
      <c r="U35" s="2341"/>
      <c r="V35" s="2341"/>
      <c r="W35" s="2341"/>
      <c r="X35" s="2341"/>
      <c r="Y35" s="2341"/>
      <c r="Z35" s="2341"/>
      <c r="AA35" s="2341"/>
      <c r="AB35" s="2341"/>
      <c r="AC35" s="2341"/>
      <c r="AD35" s="2341"/>
      <c r="AE35" s="28"/>
      <c r="AF35" s="28"/>
      <c r="AG35" s="28"/>
      <c r="AH35" s="28"/>
      <c r="AI35" s="28"/>
      <c r="AJ35" s="137"/>
      <c r="AK35" s="137"/>
      <c r="AL35" s="137"/>
      <c r="AM35" s="151"/>
      <c r="AN35" s="439"/>
      <c r="AO35" s="745" t="s">
        <v>1240</v>
      </c>
      <c r="AP35" s="595"/>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2"/>
      <c r="AN36" s="439"/>
      <c r="AO36" s="595" t="s">
        <v>1413</v>
      </c>
      <c r="AP36" s="746">
        <v>2</v>
      </c>
    </row>
    <row r="37" spans="1:43" s="46" customFormat="1" ht="12.75" customHeight="1">
      <c r="A37" s="136"/>
      <c r="B37" s="137"/>
      <c r="C37" s="205" t="s">
        <v>1221</v>
      </c>
      <c r="D37" s="8"/>
      <c r="E37" s="8"/>
      <c r="F37" s="8"/>
      <c r="G37" s="8"/>
      <c r="H37" s="8"/>
      <c r="I37" s="8"/>
      <c r="J37" s="8"/>
      <c r="K37" s="8"/>
      <c r="L37" s="8"/>
      <c r="M37" s="8"/>
      <c r="N37" s="8"/>
      <c r="O37" s="8"/>
      <c r="P37" s="8"/>
      <c r="Q37" s="8"/>
      <c r="R37" s="8"/>
      <c r="S37" s="8"/>
      <c r="T37" s="8"/>
      <c r="U37" s="8"/>
      <c r="V37" s="8"/>
      <c r="W37" s="8"/>
      <c r="X37" s="8"/>
      <c r="Y37" s="8"/>
      <c r="Z37" s="8"/>
      <c r="AA37" s="8"/>
      <c r="AB37" s="8"/>
      <c r="AC37" s="2516" t="s">
        <v>136</v>
      </c>
      <c r="AD37" s="2516"/>
      <c r="AE37" s="137"/>
      <c r="AF37" s="137"/>
      <c r="AG37" s="137"/>
      <c r="AH37" s="137"/>
      <c r="AI37" s="137"/>
      <c r="AJ37" s="137"/>
      <c r="AK37" s="137"/>
      <c r="AL37" s="137"/>
      <c r="AM37" s="642"/>
      <c r="AN37" s="439"/>
      <c r="AO37" s="595" t="s">
        <v>1414</v>
      </c>
      <c r="AP37" s="746">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2"/>
      <c r="AN38" s="439"/>
      <c r="AO38" s="595"/>
      <c r="AP38" s="747"/>
    </row>
    <row r="39" spans="1:43" s="46" customFormat="1" ht="12.75" customHeight="1">
      <c r="A39" s="136"/>
      <c r="B39" s="137"/>
      <c r="C39" s="101" t="s">
        <v>1133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4"/>
    </row>
    <row r="40" spans="1:43" s="46" customFormat="1" ht="12.75" customHeight="1">
      <c r="A40" s="136"/>
      <c r="B40" s="137"/>
      <c r="C40" s="2341" t="s">
        <v>1240</v>
      </c>
      <c r="D40" s="2341"/>
      <c r="E40" s="2341"/>
      <c r="F40" s="2341"/>
      <c r="G40" s="2341"/>
      <c r="H40" s="2341"/>
      <c r="I40" s="2341"/>
      <c r="J40" s="2341"/>
      <c r="K40" s="2341"/>
      <c r="L40" s="2341"/>
      <c r="M40" s="2341"/>
      <c r="N40" s="2341"/>
      <c r="O40" s="2341"/>
      <c r="P40" s="2341"/>
      <c r="Q40" s="2341"/>
      <c r="R40" s="2341"/>
      <c r="S40" s="2341"/>
      <c r="T40" s="2341"/>
      <c r="U40" s="2341"/>
      <c r="V40" s="2341"/>
      <c r="W40" s="2341"/>
      <c r="X40" s="2341"/>
      <c r="Y40" s="2341"/>
      <c r="Z40" s="2341"/>
      <c r="AA40" s="2341"/>
      <c r="AB40" s="2341"/>
      <c r="AC40" s="2341"/>
      <c r="AD40" s="2341"/>
      <c r="AE40" s="137"/>
      <c r="AF40" s="137"/>
      <c r="AG40" s="137"/>
      <c r="AH40" s="137"/>
      <c r="AI40" s="137"/>
      <c r="AJ40" s="137"/>
      <c r="AK40" s="137"/>
      <c r="AL40" s="137"/>
      <c r="AM40" s="151"/>
      <c r="AN40" s="439"/>
    </row>
    <row r="41" spans="1:43" s="46" customFormat="1" ht="12.75" customHeight="1">
      <c r="A41" s="136"/>
      <c r="B41" s="8"/>
      <c r="C41" s="29" t="s">
        <v>2092</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2"/>
      <c r="AN41" s="439"/>
    </row>
    <row r="42" spans="1:43" s="46" customFormat="1" ht="12.75" customHeight="1">
      <c r="A42" s="136"/>
      <c r="B42" s="8"/>
      <c r="C42" s="29" t="s">
        <v>2093</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2"/>
      <c r="AN42" s="439"/>
    </row>
    <row r="43" spans="1:43" s="46" customFormat="1" ht="12.75" customHeight="1">
      <c r="A43" s="136"/>
      <c r="B43" s="8"/>
      <c r="AE43" s="137"/>
      <c r="AF43" s="137"/>
      <c r="AG43" s="137"/>
      <c r="AH43" s="137"/>
      <c r="AI43" s="137"/>
      <c r="AJ43" s="137"/>
      <c r="AK43" s="137"/>
      <c r="AL43" s="137"/>
      <c r="AM43" s="642"/>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341" t="s">
        <v>2543</v>
      </c>
      <c r="D45" s="2341"/>
      <c r="E45" s="2341"/>
      <c r="F45" s="2341"/>
      <c r="G45" s="2341"/>
      <c r="H45" s="2341"/>
      <c r="I45" s="2341"/>
      <c r="J45" s="2341"/>
      <c r="K45" s="2341"/>
      <c r="L45" s="2341"/>
      <c r="M45" s="2341"/>
      <c r="N45" s="2341"/>
      <c r="O45" s="2341"/>
      <c r="P45" s="2341"/>
      <c r="Q45" s="2341"/>
      <c r="R45" s="2341"/>
      <c r="S45" s="2341"/>
      <c r="T45" s="2341"/>
      <c r="U45" s="2341"/>
      <c r="V45" s="2341"/>
      <c r="W45" s="2341"/>
      <c r="X45" s="2341"/>
      <c r="Y45" s="2341"/>
      <c r="Z45" s="2341"/>
      <c r="AA45" s="2341"/>
      <c r="AB45" s="2341"/>
      <c r="AC45" s="2341"/>
      <c r="AD45" s="2341"/>
      <c r="AM45" s="151"/>
      <c r="AN45" s="1138"/>
      <c r="AP45" s="137" t="s">
        <v>732</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729</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710</v>
      </c>
      <c r="AJ47" s="2424">
        <f>IF((AND(AND(OR(Application!D211="Nonprofit (qualified nonprofit organization)",Application!D211="Nonprofit (homeless assistance)",Application!D211="Special Needs/SRO"),Application!D214="Special Needs"),$AC$37="N/A")),VLOOKUP($C$40,$AO$35:$AP$37,2,FALSE),VLOOKUP($C$35,$AO$29:$AP$32,2,FALSE))</f>
        <v>3</v>
      </c>
      <c r="AK47" s="2424"/>
      <c r="AL47" s="782"/>
      <c r="AM47" s="154"/>
      <c r="AN47" s="439"/>
      <c r="AP47" s="46" t="s">
        <v>731</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730</v>
      </c>
      <c r="AQ48" s="46">
        <v>10</v>
      </c>
    </row>
    <row r="49" spans="1:43" s="46" customFormat="1" ht="12.75" customHeight="1">
      <c r="B49" s="2373" t="s">
        <v>1646</v>
      </c>
      <c r="C49" s="2373"/>
      <c r="D49" s="2373"/>
      <c r="E49" s="2373"/>
      <c r="F49" s="2373"/>
      <c r="G49" s="2373"/>
      <c r="H49" s="2373"/>
      <c r="I49" s="2373"/>
      <c r="J49" s="2373"/>
      <c r="K49" s="2373"/>
      <c r="L49" s="2373"/>
      <c r="M49" s="2373"/>
      <c r="N49" s="2373"/>
      <c r="O49" s="2373"/>
      <c r="P49" s="2373"/>
      <c r="Q49" s="2373"/>
      <c r="R49" s="2373"/>
      <c r="S49" s="2373"/>
      <c r="T49" s="2373"/>
      <c r="U49" s="2373"/>
      <c r="V49" s="2373"/>
      <c r="W49" s="2373"/>
      <c r="X49" s="2373"/>
      <c r="Y49" s="2373"/>
      <c r="Z49" s="2373"/>
      <c r="AA49" s="2373"/>
      <c r="AB49" s="2373"/>
      <c r="AC49" s="2373"/>
      <c r="AD49" s="2373"/>
      <c r="AE49" s="2373"/>
      <c r="AF49" s="2373"/>
      <c r="AG49" s="2373"/>
      <c r="AH49" s="2373"/>
      <c r="AI49" s="2373"/>
      <c r="AJ49" s="2373"/>
      <c r="AK49" s="2373"/>
      <c r="AL49" s="1301"/>
      <c r="AM49" s="163"/>
      <c r="AN49" s="439"/>
      <c r="AP49" s="46" t="s">
        <v>624</v>
      </c>
      <c r="AQ49" s="46">
        <v>10</v>
      </c>
    </row>
    <row r="50" spans="1:43" s="46" customFormat="1" ht="12.75" customHeight="1">
      <c r="A50" s="164"/>
      <c r="B50" s="2373"/>
      <c r="C50" s="2373"/>
      <c r="D50" s="2373"/>
      <c r="E50" s="2373"/>
      <c r="F50" s="2373"/>
      <c r="G50" s="2373"/>
      <c r="H50" s="2373"/>
      <c r="I50" s="2373"/>
      <c r="J50" s="2373"/>
      <c r="K50" s="2373"/>
      <c r="L50" s="2373"/>
      <c r="M50" s="2373"/>
      <c r="N50" s="2373"/>
      <c r="O50" s="2373"/>
      <c r="P50" s="2373"/>
      <c r="Q50" s="2373"/>
      <c r="R50" s="2373"/>
      <c r="S50" s="2373"/>
      <c r="T50" s="2373"/>
      <c r="U50" s="2373"/>
      <c r="V50" s="2373"/>
      <c r="W50" s="2373"/>
      <c r="X50" s="2373"/>
      <c r="Y50" s="2373"/>
      <c r="Z50" s="2373"/>
      <c r="AA50" s="2373"/>
      <c r="AB50" s="2373"/>
      <c r="AC50" s="2373"/>
      <c r="AD50" s="2373"/>
      <c r="AE50" s="2373"/>
      <c r="AF50" s="2373"/>
      <c r="AG50" s="2373"/>
      <c r="AH50" s="2373"/>
      <c r="AI50" s="2373"/>
      <c r="AJ50" s="2373"/>
      <c r="AK50" s="2373"/>
      <c r="AL50" s="1301"/>
      <c r="AM50" s="163"/>
      <c r="AN50" s="439"/>
      <c r="AP50" s="46" t="s">
        <v>681</v>
      </c>
      <c r="AQ50" s="46">
        <v>10</v>
      </c>
    </row>
    <row r="51" spans="1:43" s="46" customFormat="1" ht="12.75" customHeight="1">
      <c r="A51" s="164"/>
      <c r="B51" s="2373"/>
      <c r="C51" s="2373"/>
      <c r="D51" s="2373"/>
      <c r="E51" s="2373"/>
      <c r="F51" s="2373"/>
      <c r="G51" s="2373"/>
      <c r="H51" s="2373"/>
      <c r="I51" s="2373"/>
      <c r="J51" s="2373"/>
      <c r="K51" s="2373"/>
      <c r="L51" s="2373"/>
      <c r="M51" s="2373"/>
      <c r="N51" s="2373"/>
      <c r="O51" s="2373"/>
      <c r="P51" s="2373"/>
      <c r="Q51" s="2373"/>
      <c r="R51" s="2373"/>
      <c r="S51" s="2373"/>
      <c r="T51" s="2373"/>
      <c r="U51" s="2373"/>
      <c r="V51" s="2373"/>
      <c r="W51" s="2373"/>
      <c r="X51" s="2373"/>
      <c r="Y51" s="2373"/>
      <c r="Z51" s="2373"/>
      <c r="AA51" s="2373"/>
      <c r="AB51" s="2373"/>
      <c r="AC51" s="2373"/>
      <c r="AD51" s="2373"/>
      <c r="AE51" s="2373"/>
      <c r="AF51" s="2373"/>
      <c r="AG51" s="2373"/>
      <c r="AH51" s="2373"/>
      <c r="AI51" s="2373"/>
      <c r="AJ51" s="2373"/>
      <c r="AK51" s="2373"/>
      <c r="AL51" s="1301"/>
      <c r="AM51" s="163"/>
      <c r="AN51" s="439"/>
    </row>
    <row r="52" spans="1:43" s="137" customFormat="1" ht="12.75" customHeight="1">
      <c r="A52" s="164"/>
      <c r="B52" s="2373"/>
      <c r="C52" s="2373"/>
      <c r="D52" s="2373"/>
      <c r="E52" s="2373"/>
      <c r="F52" s="2373"/>
      <c r="G52" s="2373"/>
      <c r="H52" s="2373"/>
      <c r="I52" s="2373"/>
      <c r="J52" s="2373"/>
      <c r="K52" s="2373"/>
      <c r="L52" s="2373"/>
      <c r="M52" s="2373"/>
      <c r="N52" s="2373"/>
      <c r="O52" s="2373"/>
      <c r="P52" s="2373"/>
      <c r="Q52" s="2373"/>
      <c r="R52" s="2373"/>
      <c r="S52" s="2373"/>
      <c r="T52" s="2373"/>
      <c r="U52" s="2373"/>
      <c r="V52" s="2373"/>
      <c r="W52" s="2373"/>
      <c r="X52" s="2373"/>
      <c r="Y52" s="2373"/>
      <c r="Z52" s="2373"/>
      <c r="AA52" s="2373"/>
      <c r="AB52" s="2373"/>
      <c r="AC52" s="2373"/>
      <c r="AD52" s="2373"/>
      <c r="AE52" s="2373"/>
      <c r="AF52" s="2373"/>
      <c r="AG52" s="2373"/>
      <c r="AH52" s="2373"/>
      <c r="AI52" s="2373"/>
      <c r="AJ52" s="2373"/>
      <c r="AK52" s="2373"/>
      <c r="AL52" s="1301"/>
      <c r="AM52" s="163"/>
      <c r="AN52" s="1138"/>
    </row>
    <row r="53" spans="1:43" s="46" customFormat="1" ht="12.75" customHeight="1">
      <c r="A53" s="164"/>
      <c r="B53" s="2373"/>
      <c r="C53" s="2373"/>
      <c r="D53" s="2373"/>
      <c r="E53" s="2373"/>
      <c r="F53" s="2373"/>
      <c r="G53" s="2373"/>
      <c r="H53" s="2373"/>
      <c r="I53" s="2373"/>
      <c r="J53" s="2373"/>
      <c r="K53" s="2373"/>
      <c r="L53" s="2373"/>
      <c r="M53" s="2373"/>
      <c r="N53" s="2373"/>
      <c r="O53" s="2373"/>
      <c r="P53" s="2373"/>
      <c r="Q53" s="2373"/>
      <c r="R53" s="2373"/>
      <c r="S53" s="2373"/>
      <c r="T53" s="2373"/>
      <c r="U53" s="2373"/>
      <c r="V53" s="2373"/>
      <c r="W53" s="2373"/>
      <c r="X53" s="2373"/>
      <c r="Y53" s="2373"/>
      <c r="Z53" s="2373"/>
      <c r="AA53" s="2373"/>
      <c r="AB53" s="2373"/>
      <c r="AC53" s="2373"/>
      <c r="AD53" s="2373"/>
      <c r="AE53" s="2373"/>
      <c r="AF53" s="2373"/>
      <c r="AG53" s="2373"/>
      <c r="AH53" s="2373"/>
      <c r="AI53" s="2373"/>
      <c r="AJ53" s="2373"/>
      <c r="AK53" s="2373"/>
      <c r="AL53" s="1301"/>
      <c r="AM53" s="163"/>
      <c r="AN53" s="439"/>
    </row>
    <row r="54" spans="1:43" s="46" customFormat="1" ht="12.75" customHeight="1">
      <c r="A54" s="164"/>
      <c r="B54" s="2373"/>
      <c r="C54" s="2373"/>
      <c r="D54" s="2373"/>
      <c r="E54" s="2373"/>
      <c r="F54" s="2373"/>
      <c r="G54" s="2373"/>
      <c r="H54" s="2373"/>
      <c r="I54" s="2373"/>
      <c r="J54" s="2373"/>
      <c r="K54" s="2373"/>
      <c r="L54" s="2373"/>
      <c r="M54" s="2373"/>
      <c r="N54" s="2373"/>
      <c r="O54" s="2373"/>
      <c r="P54" s="2373"/>
      <c r="Q54" s="2373"/>
      <c r="R54" s="2373"/>
      <c r="S54" s="2373"/>
      <c r="T54" s="2373"/>
      <c r="U54" s="2373"/>
      <c r="V54" s="2373"/>
      <c r="W54" s="2373"/>
      <c r="X54" s="2373"/>
      <c r="Y54" s="2373"/>
      <c r="Z54" s="2373"/>
      <c r="AA54" s="2373"/>
      <c r="AB54" s="2373"/>
      <c r="AC54" s="2373"/>
      <c r="AD54" s="2373"/>
      <c r="AE54" s="2373"/>
      <c r="AF54" s="2373"/>
      <c r="AG54" s="2373"/>
      <c r="AH54" s="2373"/>
      <c r="AI54" s="2373"/>
      <c r="AJ54" s="2373"/>
      <c r="AK54" s="2373"/>
      <c r="AL54" s="1301"/>
      <c r="AM54" s="163"/>
      <c r="AN54" s="439"/>
    </row>
    <row r="55" spans="1:43" s="46" customFormat="1" ht="33.6" customHeight="1">
      <c r="A55" s="164"/>
      <c r="B55" s="2373"/>
      <c r="C55" s="2373"/>
      <c r="D55" s="2373"/>
      <c r="E55" s="2373"/>
      <c r="F55" s="2373"/>
      <c r="G55" s="2373"/>
      <c r="H55" s="2373"/>
      <c r="I55" s="2373"/>
      <c r="J55" s="2373"/>
      <c r="K55" s="2373"/>
      <c r="L55" s="2373"/>
      <c r="M55" s="2373"/>
      <c r="N55" s="2373"/>
      <c r="O55" s="2373"/>
      <c r="P55" s="2373"/>
      <c r="Q55" s="2373"/>
      <c r="R55" s="2373"/>
      <c r="S55" s="2373"/>
      <c r="T55" s="2373"/>
      <c r="U55" s="2373"/>
      <c r="V55" s="2373"/>
      <c r="W55" s="2373"/>
      <c r="X55" s="2373"/>
      <c r="Y55" s="2373"/>
      <c r="Z55" s="2373"/>
      <c r="AA55" s="2373"/>
      <c r="AB55" s="2373"/>
      <c r="AC55" s="2373"/>
      <c r="AD55" s="2373"/>
      <c r="AE55" s="2373"/>
      <c r="AF55" s="2373"/>
      <c r="AG55" s="2373"/>
      <c r="AH55" s="2373"/>
      <c r="AI55" s="2373"/>
      <c r="AJ55" s="2373"/>
      <c r="AK55" s="2373"/>
      <c r="AL55" s="1301"/>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73" t="s">
        <v>1647</v>
      </c>
      <c r="C57" s="2373"/>
      <c r="D57" s="2373"/>
      <c r="E57" s="2373"/>
      <c r="F57" s="2373"/>
      <c r="G57" s="2373"/>
      <c r="H57" s="2373"/>
      <c r="I57" s="2373"/>
      <c r="J57" s="2373"/>
      <c r="K57" s="2373"/>
      <c r="L57" s="2373"/>
      <c r="M57" s="2373"/>
      <c r="N57" s="2373"/>
      <c r="O57" s="2373"/>
      <c r="P57" s="2373"/>
      <c r="Q57" s="2373"/>
      <c r="R57" s="2373"/>
      <c r="S57" s="2373"/>
      <c r="T57" s="2373"/>
      <c r="U57" s="2373"/>
      <c r="V57" s="2373"/>
      <c r="W57" s="2373"/>
      <c r="X57" s="2373"/>
      <c r="Y57" s="2373"/>
      <c r="Z57" s="2373"/>
      <c r="AA57" s="2373"/>
      <c r="AB57" s="2373"/>
      <c r="AC57" s="2373"/>
      <c r="AD57" s="2373"/>
      <c r="AE57" s="2373"/>
      <c r="AF57" s="2373"/>
      <c r="AG57" s="2373"/>
      <c r="AH57" s="2373"/>
      <c r="AI57" s="2373"/>
      <c r="AJ57" s="2373"/>
      <c r="AK57" s="2373"/>
      <c r="AL57" s="1301"/>
      <c r="AM57" s="163"/>
      <c r="AN57" s="439"/>
    </row>
    <row r="58" spans="1:43" s="46" customFormat="1" ht="12.75" customHeight="1">
      <c r="A58" s="164"/>
      <c r="B58" s="2373"/>
      <c r="C58" s="2373"/>
      <c r="D58" s="2373"/>
      <c r="E58" s="2373"/>
      <c r="F58" s="2373"/>
      <c r="G58" s="2373"/>
      <c r="H58" s="2373"/>
      <c r="I58" s="2373"/>
      <c r="J58" s="2373"/>
      <c r="K58" s="2373"/>
      <c r="L58" s="2373"/>
      <c r="M58" s="2373"/>
      <c r="N58" s="2373"/>
      <c r="O58" s="2373"/>
      <c r="P58" s="2373"/>
      <c r="Q58" s="2373"/>
      <c r="R58" s="2373"/>
      <c r="S58" s="2373"/>
      <c r="T58" s="2373"/>
      <c r="U58" s="2373"/>
      <c r="V58" s="2373"/>
      <c r="W58" s="2373"/>
      <c r="X58" s="2373"/>
      <c r="Y58" s="2373"/>
      <c r="Z58" s="2373"/>
      <c r="AA58" s="2373"/>
      <c r="AB58" s="2373"/>
      <c r="AC58" s="2373"/>
      <c r="AD58" s="2373"/>
      <c r="AE58" s="2373"/>
      <c r="AF58" s="2373"/>
      <c r="AG58" s="2373"/>
      <c r="AH58" s="2373"/>
      <c r="AI58" s="2373"/>
      <c r="AJ58" s="2373"/>
      <c r="AK58" s="2373"/>
      <c r="AL58" s="1301"/>
      <c r="AM58" s="163"/>
      <c r="AN58" s="439"/>
    </row>
    <row r="59" spans="1:43" s="46" customFormat="1" ht="12.75" customHeight="1">
      <c r="A59" s="164"/>
      <c r="B59" s="2373"/>
      <c r="C59" s="2373"/>
      <c r="D59" s="2373"/>
      <c r="E59" s="2373"/>
      <c r="F59" s="2373"/>
      <c r="G59" s="2373"/>
      <c r="H59" s="2373"/>
      <c r="I59" s="2373"/>
      <c r="J59" s="2373"/>
      <c r="K59" s="2373"/>
      <c r="L59" s="2373"/>
      <c r="M59" s="2373"/>
      <c r="N59" s="2373"/>
      <c r="O59" s="2373"/>
      <c r="P59" s="2373"/>
      <c r="Q59" s="2373"/>
      <c r="R59" s="2373"/>
      <c r="S59" s="2373"/>
      <c r="T59" s="2373"/>
      <c r="U59" s="2373"/>
      <c r="V59" s="2373"/>
      <c r="W59" s="2373"/>
      <c r="X59" s="2373"/>
      <c r="Y59" s="2373"/>
      <c r="Z59" s="2373"/>
      <c r="AA59" s="2373"/>
      <c r="AB59" s="2373"/>
      <c r="AC59" s="2373"/>
      <c r="AD59" s="2373"/>
      <c r="AE59" s="2373"/>
      <c r="AF59" s="2373"/>
      <c r="AG59" s="2373"/>
      <c r="AH59" s="2373"/>
      <c r="AI59" s="2373"/>
      <c r="AJ59" s="2373"/>
      <c r="AK59" s="2373"/>
      <c r="AL59" s="1301"/>
      <c r="AM59" s="163"/>
      <c r="AN59" s="439"/>
    </row>
    <row r="60" spans="1:43" s="46" customFormat="1" ht="17.850000000000001" customHeight="1">
      <c r="A60" s="164"/>
      <c r="B60" s="2373"/>
      <c r="C60" s="2373"/>
      <c r="D60" s="2373"/>
      <c r="E60" s="2373"/>
      <c r="F60" s="2373"/>
      <c r="G60" s="2373"/>
      <c r="H60" s="2373"/>
      <c r="I60" s="2373"/>
      <c r="J60" s="2373"/>
      <c r="K60" s="2373"/>
      <c r="L60" s="2373"/>
      <c r="M60" s="2373"/>
      <c r="N60" s="2373"/>
      <c r="O60" s="2373"/>
      <c r="P60" s="2373"/>
      <c r="Q60" s="2373"/>
      <c r="R60" s="2373"/>
      <c r="S60" s="2373"/>
      <c r="T60" s="2373"/>
      <c r="U60" s="2373"/>
      <c r="V60" s="2373"/>
      <c r="W60" s="2373"/>
      <c r="X60" s="2373"/>
      <c r="Y60" s="2373"/>
      <c r="Z60" s="2373"/>
      <c r="AA60" s="2373"/>
      <c r="AB60" s="2373"/>
      <c r="AC60" s="2373"/>
      <c r="AD60" s="2373"/>
      <c r="AE60" s="2373"/>
      <c r="AF60" s="2373"/>
      <c r="AG60" s="2373"/>
      <c r="AH60" s="2373"/>
      <c r="AI60" s="2373"/>
      <c r="AJ60" s="2373"/>
      <c r="AK60" s="2373"/>
      <c r="AL60" s="1301"/>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4"/>
      <c r="B62" s="2373" t="s">
        <v>1648</v>
      </c>
      <c r="C62" s="2373"/>
      <c r="D62" s="2373"/>
      <c r="E62" s="2373"/>
      <c r="F62" s="2373"/>
      <c r="G62" s="2373"/>
      <c r="H62" s="2373"/>
      <c r="I62" s="2373"/>
      <c r="J62" s="2373"/>
      <c r="K62" s="2373"/>
      <c r="L62" s="2373"/>
      <c r="M62" s="2373"/>
      <c r="N62" s="2373"/>
      <c r="O62" s="2373"/>
      <c r="P62" s="2373"/>
      <c r="Q62" s="2373"/>
      <c r="R62" s="2373"/>
      <c r="S62" s="2373"/>
      <c r="T62" s="2373"/>
      <c r="U62" s="2373"/>
      <c r="V62" s="2373"/>
      <c r="W62" s="2373"/>
      <c r="X62" s="2373"/>
      <c r="Y62" s="2373"/>
      <c r="Z62" s="2373"/>
      <c r="AA62" s="2373"/>
      <c r="AB62" s="2373"/>
      <c r="AC62" s="2373"/>
      <c r="AD62" s="2373"/>
      <c r="AE62" s="2373"/>
      <c r="AF62" s="2373"/>
      <c r="AG62" s="2373"/>
      <c r="AH62" s="2373"/>
      <c r="AI62" s="2373"/>
      <c r="AJ62" s="2373"/>
      <c r="AK62" s="2373"/>
      <c r="AL62" s="1301"/>
      <c r="AM62" s="163"/>
      <c r="AN62" s="439"/>
    </row>
    <row r="63" spans="1:43" s="46" customFormat="1" ht="12.75" customHeight="1">
      <c r="B63" s="2373"/>
      <c r="C63" s="2373"/>
      <c r="D63" s="2373"/>
      <c r="E63" s="2373"/>
      <c r="F63" s="2373"/>
      <c r="G63" s="2373"/>
      <c r="H63" s="2373"/>
      <c r="I63" s="2373"/>
      <c r="J63" s="2373"/>
      <c r="K63" s="2373"/>
      <c r="L63" s="2373"/>
      <c r="M63" s="2373"/>
      <c r="N63" s="2373"/>
      <c r="O63" s="2373"/>
      <c r="P63" s="2373"/>
      <c r="Q63" s="2373"/>
      <c r="R63" s="2373"/>
      <c r="S63" s="2373"/>
      <c r="T63" s="2373"/>
      <c r="U63" s="2373"/>
      <c r="V63" s="2373"/>
      <c r="W63" s="2373"/>
      <c r="X63" s="2373"/>
      <c r="Y63" s="2373"/>
      <c r="Z63" s="2373"/>
      <c r="AA63" s="2373"/>
      <c r="AB63" s="2373"/>
      <c r="AC63" s="2373"/>
      <c r="AD63" s="2373"/>
      <c r="AE63" s="2373"/>
      <c r="AF63" s="2373"/>
      <c r="AG63" s="2373"/>
      <c r="AH63" s="2373"/>
      <c r="AI63" s="2373"/>
      <c r="AJ63" s="2373"/>
      <c r="AK63" s="2373"/>
      <c r="AL63" s="1301"/>
      <c r="AM63" s="163"/>
      <c r="AN63" s="439"/>
    </row>
    <row r="64" spans="1:43" s="46" customFormat="1" ht="23.1" customHeight="1">
      <c r="A64" s="674"/>
      <c r="B64" s="2373"/>
      <c r="C64" s="2373"/>
      <c r="D64" s="2373"/>
      <c r="E64" s="2373"/>
      <c r="F64" s="2373"/>
      <c r="G64" s="2373"/>
      <c r="H64" s="2373"/>
      <c r="I64" s="2373"/>
      <c r="J64" s="2373"/>
      <c r="K64" s="2373"/>
      <c r="L64" s="2373"/>
      <c r="M64" s="2373"/>
      <c r="N64" s="2373"/>
      <c r="O64" s="2373"/>
      <c r="P64" s="2373"/>
      <c r="Q64" s="2373"/>
      <c r="R64" s="2373"/>
      <c r="S64" s="2373"/>
      <c r="T64" s="2373"/>
      <c r="U64" s="2373"/>
      <c r="V64" s="2373"/>
      <c r="W64" s="2373"/>
      <c r="X64" s="2373"/>
      <c r="Y64" s="2373"/>
      <c r="Z64" s="2373"/>
      <c r="AA64" s="2373"/>
      <c r="AB64" s="2373"/>
      <c r="AC64" s="2373"/>
      <c r="AD64" s="2373"/>
      <c r="AE64" s="2373"/>
      <c r="AF64" s="2373"/>
      <c r="AG64" s="2373"/>
      <c r="AH64" s="2373"/>
      <c r="AI64" s="2373"/>
      <c r="AJ64" s="2373"/>
      <c r="AK64" s="2373"/>
      <c r="AL64" s="1301"/>
      <c r="AM64" s="163"/>
      <c r="AN64" s="439"/>
    </row>
    <row r="65" spans="1:16384"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16384"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7" t="s">
        <v>1242</v>
      </c>
      <c r="AK66" s="2383">
        <f>$AJ$31+$AJ$47</f>
        <v>10</v>
      </c>
      <c r="AL66" s="2384"/>
      <c r="AM66" s="2385"/>
      <c r="AN66" s="439"/>
    </row>
    <row r="67" spans="1:16384" s="46" customFormat="1" ht="12.75" customHeight="1" thickBot="1">
      <c r="A67" s="168"/>
      <c r="B67" s="169"/>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c r="AA67" s="170"/>
      <c r="AB67" s="170"/>
      <c r="AC67" s="170"/>
      <c r="AD67" s="170"/>
      <c r="AE67" s="170"/>
      <c r="AF67" s="170"/>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170"/>
      <c r="CJ67" s="170"/>
      <c r="CK67" s="170"/>
      <c r="CL67" s="170"/>
      <c r="CM67" s="170"/>
      <c r="CN67" s="170"/>
      <c r="CO67" s="170"/>
      <c r="CP67" s="170"/>
      <c r="CQ67" s="170"/>
      <c r="CR67" s="170"/>
      <c r="CS67" s="170"/>
      <c r="CT67" s="170"/>
      <c r="CU67" s="170"/>
      <c r="CV67" s="170"/>
      <c r="CW67" s="170"/>
      <c r="CX67" s="170"/>
      <c r="CY67" s="170"/>
      <c r="CZ67" s="170"/>
      <c r="DA67" s="170"/>
      <c r="DB67" s="170"/>
      <c r="DC67" s="170"/>
      <c r="DD67" s="170"/>
      <c r="DE67" s="170"/>
      <c r="DF67" s="170"/>
      <c r="DG67" s="170"/>
      <c r="DH67" s="170"/>
      <c r="DI67" s="170"/>
      <c r="DJ67" s="170"/>
      <c r="DK67" s="170"/>
      <c r="DL67" s="170"/>
      <c r="DM67" s="170"/>
      <c r="DN67" s="170"/>
      <c r="DO67" s="170"/>
      <c r="DP67" s="170"/>
      <c r="DQ67" s="170"/>
      <c r="DR67" s="170"/>
      <c r="DS67" s="170"/>
      <c r="DT67" s="170"/>
      <c r="DU67" s="170"/>
      <c r="DV67" s="170"/>
      <c r="DW67" s="170"/>
      <c r="DX67" s="170"/>
      <c r="DY67" s="170"/>
      <c r="DZ67" s="170"/>
      <c r="EA67" s="170"/>
      <c r="EB67" s="170"/>
      <c r="EC67" s="170"/>
      <c r="ED67" s="170"/>
      <c r="EE67" s="170"/>
      <c r="EF67" s="170"/>
      <c r="EG67" s="170"/>
      <c r="EH67" s="170"/>
      <c r="EI67" s="170"/>
      <c r="EJ67" s="170"/>
      <c r="EK67" s="170"/>
      <c r="EL67" s="170"/>
      <c r="EM67" s="170"/>
      <c r="EN67" s="170"/>
      <c r="EO67" s="170"/>
      <c r="EP67" s="170"/>
      <c r="EQ67" s="170"/>
      <c r="ER67" s="170"/>
      <c r="ES67" s="170"/>
      <c r="ET67" s="170"/>
      <c r="EU67" s="170"/>
      <c r="EV67" s="170"/>
      <c r="EW67" s="170"/>
      <c r="EX67" s="170"/>
      <c r="EY67" s="170"/>
      <c r="EZ67" s="170"/>
      <c r="FA67" s="170"/>
      <c r="FB67" s="170"/>
      <c r="FC67" s="170"/>
      <c r="FD67" s="170"/>
      <c r="FE67" s="170"/>
      <c r="FF67" s="170"/>
      <c r="FG67" s="170"/>
      <c r="FH67" s="170"/>
      <c r="FI67" s="170"/>
      <c r="FJ67" s="170"/>
      <c r="FK67" s="170"/>
      <c r="FL67" s="170"/>
      <c r="FM67" s="170"/>
      <c r="FN67" s="170"/>
      <c r="FO67" s="170"/>
      <c r="FP67" s="170"/>
      <c r="FQ67" s="170"/>
      <c r="FR67" s="170"/>
      <c r="FS67" s="170"/>
      <c r="FT67" s="170"/>
      <c r="FU67" s="170"/>
      <c r="FV67" s="170"/>
      <c r="FW67" s="170"/>
      <c r="FX67" s="170"/>
      <c r="FY67" s="170"/>
      <c r="FZ67" s="170"/>
      <c r="GA67" s="170"/>
      <c r="GB67" s="170"/>
      <c r="GC67" s="170"/>
      <c r="GD67" s="170"/>
      <c r="GE67" s="170"/>
      <c r="GF67" s="170"/>
      <c r="GG67" s="170"/>
      <c r="GH67" s="170"/>
      <c r="GI67" s="170"/>
      <c r="GJ67" s="170"/>
      <c r="GK67" s="170"/>
      <c r="GL67" s="170"/>
      <c r="GM67" s="170"/>
      <c r="GN67" s="170"/>
      <c r="GO67" s="170"/>
      <c r="GP67" s="170"/>
      <c r="GQ67" s="170"/>
      <c r="GR67" s="170"/>
      <c r="GS67" s="170"/>
      <c r="GT67" s="170"/>
      <c r="GU67" s="170"/>
      <c r="GV67" s="170"/>
      <c r="GW67" s="170"/>
      <c r="GX67" s="170"/>
      <c r="GY67" s="170"/>
      <c r="GZ67" s="170"/>
      <c r="HA67" s="170"/>
      <c r="HB67" s="170"/>
      <c r="HC67" s="170"/>
      <c r="HD67" s="170"/>
      <c r="HE67" s="170"/>
      <c r="HF67" s="170"/>
      <c r="HG67" s="170"/>
      <c r="HH67" s="170"/>
      <c r="HI67" s="170"/>
      <c r="HJ67" s="170"/>
      <c r="HK67" s="170"/>
      <c r="HL67" s="170"/>
      <c r="HM67" s="170"/>
      <c r="HN67" s="170"/>
      <c r="HO67" s="170"/>
      <c r="HP67" s="170"/>
      <c r="HQ67" s="170"/>
      <c r="HR67" s="170"/>
      <c r="HS67" s="170"/>
      <c r="HT67" s="170"/>
      <c r="HU67" s="170"/>
      <c r="HV67" s="170"/>
      <c r="HW67" s="170"/>
      <c r="HX67" s="170"/>
      <c r="HY67" s="170"/>
      <c r="HZ67" s="170"/>
      <c r="IA67" s="170"/>
      <c r="IB67" s="170"/>
      <c r="IC67" s="170"/>
      <c r="ID67" s="170"/>
      <c r="IE67" s="170"/>
      <c r="IF67" s="170"/>
      <c r="IG67" s="170"/>
      <c r="IH67" s="170"/>
      <c r="II67" s="170"/>
      <c r="IJ67" s="170"/>
      <c r="IK67" s="170"/>
      <c r="IL67" s="170"/>
      <c r="IM67" s="170"/>
      <c r="IN67" s="170"/>
      <c r="IO67" s="170"/>
      <c r="IP67" s="170"/>
      <c r="IQ67" s="170"/>
      <c r="IR67" s="170"/>
      <c r="IS67" s="170"/>
      <c r="IT67" s="170"/>
      <c r="IU67" s="170"/>
      <c r="IV67" s="170"/>
      <c r="IW67" s="170"/>
      <c r="IX67" s="170"/>
      <c r="IY67" s="170"/>
      <c r="IZ67" s="170"/>
      <c r="JA67" s="170"/>
      <c r="JB67" s="170"/>
      <c r="JC67" s="170"/>
      <c r="JD67" s="170"/>
      <c r="JE67" s="170"/>
      <c r="JF67" s="170"/>
      <c r="JG67" s="170"/>
      <c r="JH67" s="170"/>
      <c r="JI67" s="170"/>
      <c r="JJ67" s="170"/>
      <c r="JK67" s="170"/>
      <c r="JL67" s="170"/>
      <c r="JM67" s="170"/>
      <c r="JN67" s="170"/>
      <c r="JO67" s="170"/>
      <c r="JP67" s="170"/>
      <c r="JQ67" s="170"/>
      <c r="JR67" s="170"/>
      <c r="JS67" s="170"/>
      <c r="JT67" s="170"/>
      <c r="JU67" s="170"/>
      <c r="JV67" s="170"/>
      <c r="JW67" s="170"/>
      <c r="JX67" s="170"/>
      <c r="JY67" s="170"/>
      <c r="JZ67" s="170"/>
      <c r="KA67" s="170"/>
      <c r="KB67" s="170"/>
      <c r="KC67" s="170"/>
      <c r="KD67" s="170"/>
      <c r="KE67" s="170"/>
      <c r="KF67" s="170"/>
      <c r="KG67" s="170"/>
      <c r="KH67" s="170"/>
      <c r="KI67" s="170"/>
      <c r="KJ67" s="170"/>
      <c r="KK67" s="170"/>
      <c r="KL67" s="170"/>
      <c r="KM67" s="170"/>
      <c r="KN67" s="170"/>
      <c r="KO67" s="170"/>
      <c r="KP67" s="170"/>
      <c r="KQ67" s="170"/>
      <c r="KR67" s="170"/>
      <c r="KS67" s="170"/>
      <c r="KT67" s="170"/>
      <c r="KU67" s="170"/>
      <c r="KV67" s="170"/>
      <c r="KW67" s="170"/>
      <c r="KX67" s="170"/>
      <c r="KY67" s="170"/>
      <c r="KZ67" s="170"/>
      <c r="LA67" s="170"/>
      <c r="LB67" s="170"/>
      <c r="LC67" s="170"/>
      <c r="LD67" s="170"/>
      <c r="LE67" s="170"/>
      <c r="LF67" s="170"/>
      <c r="LG67" s="170"/>
      <c r="LH67" s="170"/>
      <c r="LI67" s="170"/>
      <c r="LJ67" s="170"/>
      <c r="LK67" s="170"/>
      <c r="LL67" s="170"/>
      <c r="LM67" s="170"/>
      <c r="LN67" s="170"/>
      <c r="LO67" s="170"/>
      <c r="LP67" s="170"/>
      <c r="LQ67" s="170"/>
      <c r="LR67" s="170"/>
      <c r="LS67" s="170"/>
      <c r="LT67" s="170"/>
      <c r="LU67" s="170"/>
      <c r="LV67" s="170"/>
      <c r="LW67" s="170"/>
      <c r="LX67" s="170"/>
      <c r="LY67" s="170"/>
      <c r="LZ67" s="170"/>
      <c r="MA67" s="170"/>
      <c r="MB67" s="170"/>
      <c r="MC67" s="170"/>
      <c r="MD67" s="170"/>
      <c r="ME67" s="170"/>
      <c r="MF67" s="170"/>
      <c r="MG67" s="170"/>
      <c r="MH67" s="170"/>
      <c r="MI67" s="170"/>
      <c r="MJ67" s="170"/>
      <c r="MK67" s="170"/>
      <c r="ML67" s="170"/>
      <c r="MM67" s="170"/>
      <c r="MN67" s="170"/>
      <c r="MO67" s="170"/>
      <c r="MP67" s="170"/>
      <c r="MQ67" s="170"/>
      <c r="MR67" s="170"/>
      <c r="MS67" s="170"/>
      <c r="MT67" s="170"/>
      <c r="MU67" s="170"/>
      <c r="MV67" s="170"/>
      <c r="MW67" s="170"/>
      <c r="MX67" s="170"/>
      <c r="MY67" s="170"/>
      <c r="MZ67" s="170"/>
      <c r="NA67" s="170"/>
      <c r="NB67" s="170"/>
      <c r="NC67" s="170"/>
      <c r="ND67" s="170"/>
      <c r="NE67" s="170"/>
      <c r="NF67" s="170"/>
      <c r="NG67" s="170"/>
      <c r="NH67" s="170"/>
      <c r="NI67" s="170"/>
      <c r="NJ67" s="170"/>
      <c r="NK67" s="170"/>
      <c r="NL67" s="170"/>
      <c r="NM67" s="170"/>
      <c r="NN67" s="170"/>
      <c r="NO67" s="170"/>
      <c r="NP67" s="170"/>
      <c r="NQ67" s="170"/>
      <c r="NR67" s="170"/>
      <c r="NS67" s="170"/>
      <c r="NT67" s="170"/>
      <c r="NU67" s="170"/>
      <c r="NV67" s="170"/>
      <c r="NW67" s="170"/>
      <c r="NX67" s="170"/>
      <c r="NY67" s="170"/>
      <c r="NZ67" s="170"/>
      <c r="OA67" s="170"/>
      <c r="OB67" s="170"/>
      <c r="OC67" s="170"/>
      <c r="OD67" s="170"/>
      <c r="OE67" s="170"/>
      <c r="OF67" s="170"/>
      <c r="OG67" s="170"/>
      <c r="OH67" s="170"/>
      <c r="OI67" s="170"/>
      <c r="OJ67" s="170"/>
      <c r="OK67" s="170"/>
      <c r="OL67" s="170"/>
      <c r="OM67" s="170"/>
      <c r="ON67" s="170"/>
      <c r="OO67" s="170"/>
      <c r="OP67" s="170"/>
      <c r="OQ67" s="170"/>
      <c r="OR67" s="170"/>
      <c r="OS67" s="170"/>
      <c r="OT67" s="170"/>
      <c r="OU67" s="170"/>
      <c r="OV67" s="170"/>
      <c r="OW67" s="170"/>
      <c r="OX67" s="170"/>
      <c r="OY67" s="170"/>
      <c r="OZ67" s="170"/>
      <c r="PA67" s="170"/>
      <c r="PB67" s="170"/>
      <c r="PC67" s="170"/>
      <c r="PD67" s="170"/>
      <c r="PE67" s="170"/>
      <c r="PF67" s="170"/>
      <c r="PG67" s="170"/>
      <c r="PH67" s="170"/>
      <c r="PI67" s="170"/>
      <c r="PJ67" s="170"/>
      <c r="PK67" s="170"/>
      <c r="PL67" s="170"/>
      <c r="PM67" s="170"/>
      <c r="PN67" s="170"/>
      <c r="PO67" s="170"/>
      <c r="PP67" s="170"/>
      <c r="PQ67" s="170"/>
      <c r="PR67" s="170"/>
      <c r="PS67" s="170"/>
      <c r="PT67" s="170"/>
      <c r="PU67" s="170"/>
      <c r="PV67" s="170"/>
      <c r="PW67" s="170"/>
      <c r="PX67" s="170"/>
      <c r="PY67" s="170"/>
      <c r="PZ67" s="170"/>
      <c r="QA67" s="170"/>
      <c r="QB67" s="170"/>
      <c r="QC67" s="170"/>
      <c r="QD67" s="170"/>
      <c r="QE67" s="170"/>
      <c r="QF67" s="170"/>
      <c r="QG67" s="170"/>
      <c r="QH67" s="170"/>
      <c r="QI67" s="170"/>
      <c r="QJ67" s="170"/>
      <c r="QK67" s="170"/>
      <c r="QL67" s="170"/>
      <c r="QM67" s="170"/>
      <c r="QN67" s="170"/>
      <c r="QO67" s="170"/>
      <c r="QP67" s="170"/>
      <c r="QQ67" s="170"/>
      <c r="QR67" s="170"/>
      <c r="QS67" s="170"/>
      <c r="QT67" s="170"/>
      <c r="QU67" s="170"/>
      <c r="QV67" s="170"/>
      <c r="QW67" s="170"/>
      <c r="QX67" s="170"/>
      <c r="QY67" s="170"/>
      <c r="QZ67" s="170"/>
      <c r="RA67" s="170"/>
      <c r="RB67" s="170"/>
      <c r="RC67" s="170"/>
      <c r="RD67" s="170"/>
      <c r="RE67" s="170"/>
      <c r="RF67" s="170"/>
      <c r="RG67" s="170"/>
      <c r="RH67" s="170"/>
      <c r="RI67" s="170"/>
      <c r="RJ67" s="170"/>
      <c r="RK67" s="170"/>
      <c r="RL67" s="170"/>
      <c r="RM67" s="170"/>
      <c r="RN67" s="170"/>
      <c r="RO67" s="170"/>
      <c r="RP67" s="170"/>
      <c r="RQ67" s="170"/>
      <c r="RR67" s="170"/>
      <c r="RS67" s="170"/>
      <c r="RT67" s="170"/>
      <c r="RU67" s="170"/>
      <c r="RV67" s="170"/>
      <c r="RW67" s="170"/>
      <c r="RX67" s="170"/>
      <c r="RY67" s="170"/>
      <c r="RZ67" s="170"/>
      <c r="SA67" s="170"/>
      <c r="SB67" s="170"/>
      <c r="SC67" s="170"/>
      <c r="SD67" s="170"/>
      <c r="SE67" s="170"/>
      <c r="SF67" s="170"/>
      <c r="SG67" s="170"/>
      <c r="SH67" s="170"/>
      <c r="SI67" s="170"/>
      <c r="SJ67" s="170"/>
      <c r="SK67" s="170"/>
      <c r="SL67" s="170"/>
      <c r="SM67" s="170"/>
      <c r="SN67" s="170"/>
      <c r="SO67" s="170"/>
      <c r="SP67" s="170"/>
      <c r="SQ67" s="170"/>
      <c r="SR67" s="170"/>
      <c r="SS67" s="170"/>
      <c r="ST67" s="170"/>
      <c r="SU67" s="170"/>
      <c r="SV67" s="170"/>
      <c r="SW67" s="170"/>
      <c r="SX67" s="170"/>
      <c r="SY67" s="170"/>
      <c r="SZ67" s="170"/>
      <c r="TA67" s="170"/>
      <c r="TB67" s="170"/>
      <c r="TC67" s="170"/>
      <c r="TD67" s="170"/>
      <c r="TE67" s="170"/>
      <c r="TF67" s="170"/>
      <c r="TG67" s="170"/>
      <c r="TH67" s="170"/>
      <c r="TI67" s="170"/>
      <c r="TJ67" s="170"/>
      <c r="TK67" s="170"/>
      <c r="TL67" s="170"/>
      <c r="TM67" s="170"/>
      <c r="TN67" s="170"/>
      <c r="TO67" s="170"/>
      <c r="TP67" s="170"/>
      <c r="TQ67" s="170"/>
      <c r="TR67" s="170"/>
      <c r="TS67" s="170"/>
      <c r="TT67" s="170"/>
      <c r="TU67" s="170"/>
      <c r="TV67" s="170"/>
      <c r="TW67" s="170"/>
      <c r="TX67" s="170"/>
      <c r="TY67" s="170"/>
      <c r="TZ67" s="170"/>
      <c r="UA67" s="170"/>
      <c r="UB67" s="170"/>
      <c r="UC67" s="170"/>
      <c r="UD67" s="170"/>
      <c r="UE67" s="170"/>
      <c r="UF67" s="170"/>
      <c r="UG67" s="170"/>
      <c r="UH67" s="170"/>
      <c r="UI67" s="170"/>
      <c r="UJ67" s="170"/>
      <c r="UK67" s="170"/>
      <c r="UL67" s="170"/>
      <c r="UM67" s="170"/>
      <c r="UN67" s="170"/>
      <c r="UO67" s="170"/>
      <c r="UP67" s="170"/>
      <c r="UQ67" s="170"/>
      <c r="UR67" s="170"/>
      <c r="US67" s="170"/>
      <c r="UT67" s="170"/>
      <c r="UU67" s="170"/>
      <c r="UV67" s="170"/>
      <c r="UW67" s="170"/>
      <c r="UX67" s="170"/>
      <c r="UY67" s="170"/>
      <c r="UZ67" s="170"/>
      <c r="VA67" s="170"/>
      <c r="VB67" s="170"/>
      <c r="VC67" s="170"/>
      <c r="VD67" s="170"/>
      <c r="VE67" s="170"/>
      <c r="VF67" s="170"/>
      <c r="VG67" s="170"/>
      <c r="VH67" s="170"/>
      <c r="VI67" s="170"/>
      <c r="VJ67" s="170"/>
      <c r="VK67" s="170"/>
      <c r="VL67" s="170"/>
      <c r="VM67" s="170"/>
      <c r="VN67" s="170"/>
      <c r="VO67" s="170"/>
      <c r="VP67" s="170"/>
      <c r="VQ67" s="170"/>
      <c r="VR67" s="170"/>
      <c r="VS67" s="170"/>
      <c r="VT67" s="170"/>
      <c r="VU67" s="170"/>
      <c r="VV67" s="170"/>
      <c r="VW67" s="170"/>
      <c r="VX67" s="170"/>
      <c r="VY67" s="170"/>
      <c r="VZ67" s="170"/>
      <c r="WA67" s="170"/>
      <c r="WB67" s="170"/>
      <c r="WC67" s="170"/>
      <c r="WD67" s="170"/>
      <c r="WE67" s="170"/>
      <c r="WF67" s="170"/>
      <c r="WG67" s="170"/>
      <c r="WH67" s="170"/>
      <c r="WI67" s="170"/>
      <c r="WJ67" s="170"/>
      <c r="WK67" s="170"/>
      <c r="WL67" s="170"/>
      <c r="WM67" s="170"/>
      <c r="WN67" s="170"/>
      <c r="WO67" s="170"/>
      <c r="WP67" s="170"/>
      <c r="WQ67" s="170"/>
      <c r="WR67" s="170"/>
      <c r="WS67" s="170"/>
      <c r="WT67" s="170"/>
      <c r="WU67" s="170"/>
      <c r="WV67" s="170"/>
      <c r="WW67" s="170"/>
      <c r="WX67" s="170"/>
      <c r="WY67" s="170"/>
      <c r="WZ67" s="170"/>
      <c r="XA67" s="170"/>
      <c r="XB67" s="170"/>
      <c r="XC67" s="170"/>
      <c r="XD67" s="170"/>
      <c r="XE67" s="170"/>
      <c r="XF67" s="170"/>
      <c r="XG67" s="170"/>
      <c r="XH67" s="170"/>
      <c r="XI67" s="170"/>
      <c r="XJ67" s="170"/>
      <c r="XK67" s="170"/>
      <c r="XL67" s="170"/>
      <c r="XM67" s="170"/>
      <c r="XN67" s="170"/>
      <c r="XO67" s="170"/>
      <c r="XP67" s="170"/>
      <c r="XQ67" s="170"/>
      <c r="XR67" s="170"/>
      <c r="XS67" s="170"/>
      <c r="XT67" s="170"/>
      <c r="XU67" s="170"/>
      <c r="XV67" s="170"/>
      <c r="XW67" s="170"/>
      <c r="XX67" s="170"/>
      <c r="XY67" s="170"/>
      <c r="XZ67" s="170"/>
      <c r="YA67" s="170"/>
      <c r="YB67" s="170"/>
      <c r="YC67" s="170"/>
      <c r="YD67" s="170"/>
      <c r="YE67" s="170"/>
      <c r="YF67" s="170"/>
      <c r="YG67" s="170"/>
      <c r="YH67" s="170"/>
      <c r="YI67" s="170"/>
      <c r="YJ67" s="170"/>
      <c r="YK67" s="170"/>
      <c r="YL67" s="170"/>
      <c r="YM67" s="170"/>
      <c r="YN67" s="170"/>
      <c r="YO67" s="170"/>
      <c r="YP67" s="170"/>
      <c r="YQ67" s="170"/>
      <c r="YR67" s="170"/>
      <c r="YS67" s="170"/>
      <c r="YT67" s="170"/>
      <c r="YU67" s="170"/>
      <c r="YV67" s="170"/>
      <c r="YW67" s="170"/>
      <c r="YX67" s="170"/>
      <c r="YY67" s="170"/>
      <c r="YZ67" s="170"/>
      <c r="ZA67" s="170"/>
      <c r="ZB67" s="170"/>
      <c r="ZC67" s="170"/>
      <c r="ZD67" s="170"/>
      <c r="ZE67" s="170"/>
      <c r="ZF67" s="170"/>
      <c r="ZG67" s="170"/>
      <c r="ZH67" s="170"/>
      <c r="ZI67" s="170"/>
      <c r="ZJ67" s="170"/>
      <c r="ZK67" s="170"/>
      <c r="ZL67" s="170"/>
      <c r="ZM67" s="170"/>
      <c r="ZN67" s="170"/>
      <c r="ZO67" s="170"/>
      <c r="ZP67" s="170"/>
      <c r="ZQ67" s="170"/>
      <c r="ZR67" s="170"/>
      <c r="ZS67" s="170"/>
      <c r="ZT67" s="170"/>
      <c r="ZU67" s="170"/>
      <c r="ZV67" s="170"/>
      <c r="ZW67" s="170"/>
      <c r="ZX67" s="170"/>
      <c r="ZY67" s="170"/>
      <c r="ZZ67" s="170"/>
      <c r="AAA67" s="170"/>
      <c r="AAB67" s="170"/>
      <c r="AAC67" s="170"/>
      <c r="AAD67" s="170"/>
      <c r="AAE67" s="170"/>
      <c r="AAF67" s="170"/>
      <c r="AAG67" s="170"/>
      <c r="AAH67" s="170"/>
      <c r="AAI67" s="170"/>
      <c r="AAJ67" s="170"/>
      <c r="AAK67" s="170"/>
      <c r="AAL67" s="170"/>
      <c r="AAM67" s="170"/>
      <c r="AAN67" s="170"/>
      <c r="AAO67" s="170"/>
      <c r="AAP67" s="170"/>
      <c r="AAQ67" s="170"/>
      <c r="AAR67" s="170"/>
      <c r="AAS67" s="170"/>
      <c r="AAT67" s="170"/>
      <c r="AAU67" s="170"/>
      <c r="AAV67" s="170"/>
      <c r="AAW67" s="170"/>
      <c r="AAX67" s="170"/>
      <c r="AAY67" s="170"/>
      <c r="AAZ67" s="170"/>
      <c r="ABA67" s="170"/>
      <c r="ABB67" s="170"/>
      <c r="ABC67" s="170"/>
      <c r="ABD67" s="170"/>
      <c r="ABE67" s="170"/>
      <c r="ABF67" s="170"/>
      <c r="ABG67" s="170"/>
      <c r="ABH67" s="170"/>
      <c r="ABI67" s="170"/>
      <c r="ABJ67" s="170"/>
      <c r="ABK67" s="170"/>
      <c r="ABL67" s="170"/>
      <c r="ABM67" s="170"/>
      <c r="ABN67" s="170"/>
      <c r="ABO67" s="170"/>
      <c r="ABP67" s="170"/>
      <c r="ABQ67" s="170"/>
      <c r="ABR67" s="170"/>
      <c r="ABS67" s="170"/>
      <c r="ABT67" s="170"/>
      <c r="ABU67" s="170"/>
      <c r="ABV67" s="170"/>
      <c r="ABW67" s="170"/>
      <c r="ABX67" s="170"/>
      <c r="ABY67" s="170"/>
      <c r="ABZ67" s="170"/>
      <c r="ACA67" s="170"/>
      <c r="ACB67" s="170"/>
      <c r="ACC67" s="170"/>
      <c r="ACD67" s="170"/>
      <c r="ACE67" s="170"/>
      <c r="ACF67" s="170"/>
      <c r="ACG67" s="170"/>
      <c r="ACH67" s="170"/>
      <c r="ACI67" s="170"/>
      <c r="ACJ67" s="170"/>
      <c r="ACK67" s="170"/>
      <c r="ACL67" s="170"/>
      <c r="ACM67" s="170"/>
      <c r="ACN67" s="170"/>
      <c r="ACO67" s="170"/>
      <c r="ACP67" s="170"/>
      <c r="ACQ67" s="170"/>
      <c r="ACR67" s="170"/>
      <c r="ACS67" s="170"/>
      <c r="ACT67" s="170"/>
      <c r="ACU67" s="170"/>
      <c r="ACV67" s="170"/>
      <c r="ACW67" s="170"/>
      <c r="ACX67" s="170"/>
      <c r="ACY67" s="170"/>
      <c r="ACZ67" s="170"/>
      <c r="ADA67" s="170"/>
      <c r="ADB67" s="170"/>
      <c r="ADC67" s="170"/>
      <c r="ADD67" s="170"/>
      <c r="ADE67" s="170"/>
      <c r="ADF67" s="170"/>
      <c r="ADG67" s="170"/>
      <c r="ADH67" s="170"/>
      <c r="ADI67" s="170"/>
      <c r="ADJ67" s="170"/>
      <c r="ADK67" s="170"/>
      <c r="ADL67" s="170"/>
      <c r="ADM67" s="170"/>
      <c r="ADN67" s="170"/>
      <c r="ADO67" s="170"/>
      <c r="ADP67" s="170"/>
      <c r="ADQ67" s="170"/>
      <c r="ADR67" s="170"/>
      <c r="ADS67" s="170"/>
      <c r="ADT67" s="170"/>
      <c r="ADU67" s="170"/>
      <c r="ADV67" s="170"/>
      <c r="ADW67" s="170"/>
      <c r="ADX67" s="170"/>
      <c r="ADY67" s="170"/>
      <c r="ADZ67" s="170"/>
      <c r="AEA67" s="170"/>
      <c r="AEB67" s="170"/>
      <c r="AEC67" s="170"/>
      <c r="AED67" s="170"/>
      <c r="AEE67" s="170"/>
      <c r="AEF67" s="170"/>
      <c r="AEG67" s="170"/>
      <c r="AEH67" s="170"/>
      <c r="AEI67" s="170"/>
      <c r="AEJ67" s="170"/>
      <c r="AEK67" s="170"/>
      <c r="AEL67" s="170"/>
      <c r="AEM67" s="170"/>
      <c r="AEN67" s="170"/>
      <c r="AEO67" s="170"/>
      <c r="AEP67" s="170"/>
      <c r="AEQ67" s="170"/>
      <c r="AER67" s="170"/>
      <c r="AES67" s="170"/>
      <c r="AET67" s="170"/>
      <c r="AEU67" s="170"/>
      <c r="AEV67" s="170"/>
      <c r="AEW67" s="170"/>
      <c r="AEX67" s="170"/>
      <c r="AEY67" s="170"/>
      <c r="AEZ67" s="170"/>
      <c r="AFA67" s="170"/>
      <c r="AFB67" s="170"/>
      <c r="AFC67" s="170"/>
      <c r="AFD67" s="170"/>
      <c r="AFE67" s="170"/>
      <c r="AFF67" s="170"/>
      <c r="AFG67" s="170"/>
      <c r="AFH67" s="170"/>
      <c r="AFI67" s="170"/>
      <c r="AFJ67" s="170"/>
      <c r="AFK67" s="170"/>
      <c r="AFL67" s="170"/>
      <c r="AFM67" s="170"/>
      <c r="AFN67" s="170"/>
      <c r="AFO67" s="170"/>
      <c r="AFP67" s="170"/>
      <c r="AFQ67" s="170"/>
      <c r="AFR67" s="170"/>
      <c r="AFS67" s="170"/>
      <c r="AFT67" s="170"/>
      <c r="AFU67" s="170"/>
      <c r="AFV67" s="170"/>
      <c r="AFW67" s="170"/>
      <c r="AFX67" s="170"/>
      <c r="AFY67" s="170"/>
      <c r="AFZ67" s="170"/>
      <c r="AGA67" s="170"/>
      <c r="AGB67" s="170"/>
      <c r="AGC67" s="170"/>
      <c r="AGD67" s="170"/>
      <c r="AGE67" s="170"/>
      <c r="AGF67" s="170"/>
      <c r="AGG67" s="170"/>
      <c r="AGH67" s="170"/>
      <c r="AGI67" s="170"/>
      <c r="AGJ67" s="170"/>
      <c r="AGK67" s="170"/>
      <c r="AGL67" s="170"/>
      <c r="AGM67" s="170"/>
      <c r="AGN67" s="170"/>
      <c r="AGO67" s="170"/>
      <c r="AGP67" s="170"/>
      <c r="AGQ67" s="170"/>
      <c r="AGR67" s="170"/>
      <c r="AGS67" s="170"/>
      <c r="AGT67" s="170"/>
      <c r="AGU67" s="170"/>
      <c r="AGV67" s="170"/>
      <c r="AGW67" s="170"/>
      <c r="AGX67" s="170"/>
      <c r="AGY67" s="170"/>
      <c r="AGZ67" s="170"/>
      <c r="AHA67" s="170"/>
      <c r="AHB67" s="170"/>
      <c r="AHC67" s="170"/>
      <c r="AHD67" s="170"/>
      <c r="AHE67" s="170"/>
      <c r="AHF67" s="170"/>
      <c r="AHG67" s="170"/>
      <c r="AHH67" s="170"/>
      <c r="AHI67" s="170"/>
      <c r="AHJ67" s="170"/>
      <c r="AHK67" s="170"/>
      <c r="AHL67" s="170"/>
      <c r="AHM67" s="170"/>
      <c r="AHN67" s="170"/>
      <c r="AHO67" s="170"/>
      <c r="AHP67" s="170"/>
      <c r="AHQ67" s="170"/>
      <c r="AHR67" s="170"/>
      <c r="AHS67" s="170"/>
      <c r="AHT67" s="170"/>
      <c r="AHU67" s="170"/>
      <c r="AHV67" s="170"/>
      <c r="AHW67" s="170"/>
      <c r="AHX67" s="170"/>
      <c r="AHY67" s="170"/>
      <c r="AHZ67" s="170"/>
      <c r="AIA67" s="170"/>
      <c r="AIB67" s="170"/>
      <c r="AIC67" s="170"/>
      <c r="AID67" s="170"/>
      <c r="AIE67" s="170"/>
      <c r="AIF67" s="170"/>
      <c r="AIG67" s="170"/>
      <c r="AIH67" s="170"/>
      <c r="AII67" s="170"/>
      <c r="AIJ67" s="170"/>
      <c r="AIK67" s="170"/>
      <c r="AIL67" s="170"/>
      <c r="AIM67" s="170"/>
      <c r="AIN67" s="170"/>
      <c r="AIO67" s="170"/>
      <c r="AIP67" s="170"/>
      <c r="AIQ67" s="170"/>
      <c r="AIR67" s="170"/>
      <c r="AIS67" s="170"/>
      <c r="AIT67" s="170"/>
      <c r="AIU67" s="170"/>
      <c r="AIV67" s="170"/>
      <c r="AIW67" s="170"/>
      <c r="AIX67" s="170"/>
      <c r="AIY67" s="170"/>
      <c r="AIZ67" s="170"/>
      <c r="AJA67" s="170"/>
      <c r="AJB67" s="170"/>
      <c r="AJC67" s="170"/>
      <c r="AJD67" s="170"/>
      <c r="AJE67" s="170"/>
      <c r="AJF67" s="170"/>
      <c r="AJG67" s="170"/>
      <c r="AJH67" s="170"/>
      <c r="AJI67" s="170"/>
      <c r="AJJ67" s="170"/>
      <c r="AJK67" s="170"/>
      <c r="AJL67" s="170"/>
      <c r="AJM67" s="170"/>
      <c r="AJN67" s="170"/>
      <c r="AJO67" s="170"/>
      <c r="AJP67" s="170"/>
      <c r="AJQ67" s="170"/>
      <c r="AJR67" s="170"/>
      <c r="AJS67" s="170"/>
      <c r="AJT67" s="170"/>
      <c r="AJU67" s="170"/>
      <c r="AJV67" s="170"/>
      <c r="AJW67" s="170"/>
      <c r="AJX67" s="170"/>
      <c r="AJY67" s="170"/>
      <c r="AJZ67" s="170"/>
      <c r="AKA67" s="170"/>
      <c r="AKB67" s="170"/>
      <c r="AKC67" s="170"/>
      <c r="AKD67" s="170"/>
      <c r="AKE67" s="170"/>
      <c r="AKF67" s="170"/>
      <c r="AKG67" s="170"/>
      <c r="AKH67" s="170"/>
      <c r="AKI67" s="170"/>
      <c r="AKJ67" s="170"/>
      <c r="AKK67" s="170"/>
      <c r="AKL67" s="170"/>
      <c r="AKM67" s="170"/>
      <c r="AKN67" s="170"/>
      <c r="AKO67" s="170"/>
      <c r="AKP67" s="170"/>
      <c r="AKQ67" s="170"/>
      <c r="AKR67" s="170"/>
      <c r="AKS67" s="170"/>
      <c r="AKT67" s="170"/>
      <c r="AKU67" s="170"/>
      <c r="AKV67" s="170"/>
      <c r="AKW67" s="170"/>
      <c r="AKX67" s="170"/>
      <c r="AKY67" s="170"/>
      <c r="AKZ67" s="170"/>
      <c r="ALA67" s="170"/>
      <c r="ALB67" s="170"/>
      <c r="ALC67" s="170"/>
      <c r="ALD67" s="170"/>
      <c r="ALE67" s="170"/>
      <c r="ALF67" s="170"/>
      <c r="ALG67" s="170"/>
      <c r="ALH67" s="170"/>
      <c r="ALI67" s="170"/>
      <c r="ALJ67" s="170"/>
      <c r="ALK67" s="170"/>
      <c r="ALL67" s="170"/>
      <c r="ALM67" s="170"/>
      <c r="ALN67" s="170"/>
      <c r="ALO67" s="170"/>
      <c r="ALP67" s="170"/>
      <c r="ALQ67" s="170"/>
      <c r="ALR67" s="170"/>
      <c r="ALS67" s="170"/>
      <c r="ALT67" s="170"/>
      <c r="ALU67" s="170"/>
      <c r="ALV67" s="170"/>
      <c r="ALW67" s="170"/>
      <c r="ALX67" s="170"/>
      <c r="ALY67" s="170"/>
      <c r="ALZ67" s="170"/>
      <c r="AMA67" s="170"/>
      <c r="AMB67" s="170"/>
      <c r="AMC67" s="170"/>
      <c r="AMD67" s="170"/>
      <c r="AME67" s="170"/>
      <c r="AMF67" s="170"/>
      <c r="AMG67" s="170"/>
      <c r="AMH67" s="170"/>
      <c r="AMI67" s="170"/>
      <c r="AMJ67" s="170"/>
      <c r="AMK67" s="170"/>
      <c r="AML67" s="170"/>
      <c r="AMM67" s="170"/>
      <c r="AMN67" s="170"/>
      <c r="AMO67" s="170"/>
      <c r="AMP67" s="170"/>
      <c r="AMQ67" s="170"/>
      <c r="AMR67" s="170"/>
      <c r="AMS67" s="170"/>
      <c r="AMT67" s="170"/>
      <c r="AMU67" s="170"/>
      <c r="AMV67" s="170"/>
      <c r="AMW67" s="170"/>
      <c r="AMX67" s="170"/>
      <c r="AMY67" s="170"/>
      <c r="AMZ67" s="170"/>
      <c r="ANA67" s="170"/>
      <c r="ANB67" s="170"/>
      <c r="ANC67" s="170"/>
      <c r="AND67" s="170"/>
      <c r="ANE67" s="170"/>
      <c r="ANF67" s="170"/>
      <c r="ANG67" s="170"/>
      <c r="ANH67" s="170"/>
      <c r="ANI67" s="170"/>
      <c r="ANJ67" s="170"/>
      <c r="ANK67" s="170"/>
      <c r="ANL67" s="170"/>
      <c r="ANM67" s="170"/>
      <c r="ANN67" s="170"/>
      <c r="ANO67" s="170"/>
      <c r="ANP67" s="170"/>
      <c r="ANQ67" s="170"/>
      <c r="ANR67" s="170"/>
      <c r="ANS67" s="170"/>
      <c r="ANT67" s="170"/>
      <c r="ANU67" s="170"/>
      <c r="ANV67" s="170"/>
      <c r="ANW67" s="170"/>
      <c r="ANX67" s="170"/>
      <c r="ANY67" s="170"/>
      <c r="ANZ67" s="170"/>
      <c r="AOA67" s="170"/>
      <c r="AOB67" s="170"/>
      <c r="AOC67" s="170"/>
      <c r="AOD67" s="170"/>
      <c r="AOE67" s="170"/>
      <c r="AOF67" s="170"/>
      <c r="AOG67" s="170"/>
      <c r="AOH67" s="170"/>
      <c r="AOI67" s="170"/>
      <c r="AOJ67" s="170"/>
      <c r="AOK67" s="170"/>
      <c r="AOL67" s="170"/>
      <c r="AOM67" s="170"/>
      <c r="AON67" s="170"/>
      <c r="AOO67" s="170"/>
      <c r="AOP67" s="170"/>
      <c r="AOQ67" s="170"/>
      <c r="AOR67" s="170"/>
      <c r="AOS67" s="170"/>
      <c r="AOT67" s="170"/>
      <c r="AOU67" s="170"/>
      <c r="AOV67" s="170"/>
      <c r="AOW67" s="170"/>
      <c r="AOX67" s="170"/>
      <c r="AOY67" s="170"/>
      <c r="AOZ67" s="170"/>
      <c r="APA67" s="170"/>
      <c r="APB67" s="170"/>
      <c r="APC67" s="170"/>
      <c r="APD67" s="170"/>
      <c r="APE67" s="170"/>
      <c r="APF67" s="170"/>
      <c r="APG67" s="170"/>
      <c r="APH67" s="170"/>
      <c r="API67" s="170"/>
      <c r="APJ67" s="170"/>
      <c r="APK67" s="170"/>
      <c r="APL67" s="170"/>
      <c r="APM67" s="170"/>
      <c r="APN67" s="170"/>
      <c r="APO67" s="170"/>
      <c r="APP67" s="170"/>
      <c r="APQ67" s="170"/>
      <c r="APR67" s="170"/>
      <c r="APS67" s="170"/>
      <c r="APT67" s="170"/>
      <c r="APU67" s="170"/>
      <c r="APV67" s="170"/>
      <c r="APW67" s="170"/>
      <c r="APX67" s="170"/>
      <c r="APY67" s="170"/>
      <c r="APZ67" s="170"/>
      <c r="AQA67" s="170"/>
      <c r="AQB67" s="170"/>
      <c r="AQC67" s="170"/>
      <c r="AQD67" s="170"/>
      <c r="AQE67" s="170"/>
      <c r="AQF67" s="170"/>
      <c r="AQG67" s="170"/>
      <c r="AQH67" s="170"/>
      <c r="AQI67" s="170"/>
      <c r="AQJ67" s="170"/>
      <c r="AQK67" s="170"/>
      <c r="AQL67" s="170"/>
      <c r="AQM67" s="170"/>
      <c r="AQN67" s="170"/>
      <c r="AQO67" s="170"/>
      <c r="AQP67" s="170"/>
      <c r="AQQ67" s="170"/>
      <c r="AQR67" s="170"/>
      <c r="AQS67" s="170"/>
      <c r="AQT67" s="170"/>
      <c r="AQU67" s="170"/>
      <c r="AQV67" s="170"/>
      <c r="AQW67" s="170"/>
      <c r="AQX67" s="170"/>
      <c r="AQY67" s="170"/>
      <c r="AQZ67" s="170"/>
      <c r="ARA67" s="170"/>
      <c r="ARB67" s="170"/>
      <c r="ARC67" s="170"/>
      <c r="ARD67" s="170"/>
      <c r="ARE67" s="170"/>
      <c r="ARF67" s="170"/>
      <c r="ARG67" s="170"/>
      <c r="ARH67" s="170"/>
      <c r="ARI67" s="170"/>
      <c r="ARJ67" s="170"/>
      <c r="ARK67" s="170"/>
      <c r="ARL67" s="170"/>
      <c r="ARM67" s="170"/>
      <c r="ARN67" s="170"/>
      <c r="ARO67" s="170"/>
      <c r="ARP67" s="170"/>
      <c r="ARQ67" s="170"/>
      <c r="ARR67" s="170"/>
      <c r="ARS67" s="170"/>
      <c r="ART67" s="170"/>
      <c r="ARU67" s="170"/>
      <c r="ARV67" s="170"/>
      <c r="ARW67" s="170"/>
      <c r="ARX67" s="170"/>
      <c r="ARY67" s="170"/>
      <c r="ARZ67" s="170"/>
      <c r="ASA67" s="170"/>
      <c r="ASB67" s="170"/>
      <c r="ASC67" s="170"/>
      <c r="ASD67" s="170"/>
      <c r="ASE67" s="170"/>
      <c r="ASF67" s="170"/>
      <c r="ASG67" s="170"/>
      <c r="ASH67" s="170"/>
      <c r="ASI67" s="170"/>
      <c r="ASJ67" s="170"/>
      <c r="ASK67" s="170"/>
      <c r="ASL67" s="170"/>
      <c r="ASM67" s="170"/>
      <c r="ASN67" s="170"/>
      <c r="ASO67" s="170"/>
      <c r="ASP67" s="170"/>
      <c r="ASQ67" s="170"/>
      <c r="ASR67" s="170"/>
      <c r="ASS67" s="170"/>
      <c r="AST67" s="170"/>
      <c r="ASU67" s="170"/>
      <c r="ASV67" s="170"/>
      <c r="ASW67" s="170"/>
      <c r="ASX67" s="170"/>
      <c r="ASY67" s="170"/>
      <c r="ASZ67" s="170"/>
      <c r="ATA67" s="170"/>
      <c r="ATB67" s="170"/>
      <c r="ATC67" s="170"/>
      <c r="ATD67" s="170"/>
      <c r="ATE67" s="170"/>
      <c r="ATF67" s="170"/>
      <c r="ATG67" s="170"/>
      <c r="ATH67" s="170"/>
      <c r="ATI67" s="170"/>
      <c r="ATJ67" s="170"/>
      <c r="ATK67" s="170"/>
      <c r="ATL67" s="170"/>
      <c r="ATM67" s="170"/>
      <c r="ATN67" s="170"/>
      <c r="ATO67" s="170"/>
      <c r="ATP67" s="170"/>
      <c r="ATQ67" s="170"/>
      <c r="ATR67" s="170"/>
      <c r="ATS67" s="170"/>
      <c r="ATT67" s="170"/>
      <c r="ATU67" s="170"/>
      <c r="ATV67" s="170"/>
      <c r="ATW67" s="170"/>
      <c r="ATX67" s="170"/>
      <c r="ATY67" s="170"/>
      <c r="ATZ67" s="170"/>
      <c r="AUA67" s="170"/>
      <c r="AUB67" s="170"/>
      <c r="AUC67" s="170"/>
      <c r="AUD67" s="170"/>
      <c r="AUE67" s="170"/>
      <c r="AUF67" s="170"/>
      <c r="AUG67" s="170"/>
      <c r="AUH67" s="170"/>
      <c r="AUI67" s="170"/>
      <c r="AUJ67" s="170"/>
      <c r="AUK67" s="170"/>
      <c r="AUL67" s="170"/>
      <c r="AUM67" s="170"/>
      <c r="AUN67" s="170"/>
      <c r="AUO67" s="170"/>
      <c r="AUP67" s="170"/>
      <c r="AUQ67" s="170"/>
      <c r="AUR67" s="170"/>
      <c r="AUS67" s="170"/>
      <c r="AUT67" s="170"/>
      <c r="AUU67" s="170"/>
      <c r="AUV67" s="170"/>
      <c r="AUW67" s="170"/>
      <c r="AUX67" s="170"/>
      <c r="AUY67" s="170"/>
      <c r="AUZ67" s="170"/>
      <c r="AVA67" s="170"/>
      <c r="AVB67" s="170"/>
      <c r="AVC67" s="170"/>
      <c r="AVD67" s="170"/>
      <c r="AVE67" s="170"/>
      <c r="AVF67" s="170"/>
      <c r="AVG67" s="170"/>
      <c r="AVH67" s="170"/>
      <c r="AVI67" s="170"/>
      <c r="AVJ67" s="170"/>
      <c r="AVK67" s="170"/>
      <c r="AVL67" s="170"/>
      <c r="AVM67" s="170"/>
      <c r="AVN67" s="170"/>
      <c r="AVO67" s="170"/>
      <c r="AVP67" s="170"/>
      <c r="AVQ67" s="170"/>
      <c r="AVR67" s="170"/>
      <c r="AVS67" s="170"/>
      <c r="AVT67" s="170"/>
      <c r="AVU67" s="170"/>
      <c r="AVV67" s="170"/>
      <c r="AVW67" s="170"/>
      <c r="AVX67" s="170"/>
      <c r="AVY67" s="170"/>
      <c r="AVZ67" s="170"/>
      <c r="AWA67" s="170"/>
      <c r="AWB67" s="170"/>
      <c r="AWC67" s="170"/>
      <c r="AWD67" s="170"/>
      <c r="AWE67" s="170"/>
      <c r="AWF67" s="170"/>
      <c r="AWG67" s="170"/>
      <c r="AWH67" s="170"/>
      <c r="AWI67" s="170"/>
      <c r="AWJ67" s="170"/>
      <c r="AWK67" s="170"/>
      <c r="AWL67" s="170"/>
      <c r="AWM67" s="170"/>
      <c r="AWN67" s="170"/>
      <c r="AWO67" s="170"/>
      <c r="AWP67" s="170"/>
      <c r="AWQ67" s="170"/>
      <c r="AWR67" s="170"/>
      <c r="AWS67" s="170"/>
      <c r="AWT67" s="170"/>
      <c r="AWU67" s="170"/>
      <c r="AWV67" s="170"/>
      <c r="AWW67" s="170"/>
      <c r="AWX67" s="170"/>
      <c r="AWY67" s="170"/>
      <c r="AWZ67" s="170"/>
      <c r="AXA67" s="170"/>
      <c r="AXB67" s="170"/>
      <c r="AXC67" s="170"/>
      <c r="AXD67" s="170"/>
      <c r="AXE67" s="170"/>
      <c r="AXF67" s="170"/>
      <c r="AXG67" s="170"/>
      <c r="AXH67" s="170"/>
      <c r="AXI67" s="170"/>
      <c r="AXJ67" s="170"/>
      <c r="AXK67" s="170"/>
      <c r="AXL67" s="170"/>
      <c r="AXM67" s="170"/>
      <c r="AXN67" s="170"/>
      <c r="AXO67" s="170"/>
      <c r="AXP67" s="170"/>
      <c r="AXQ67" s="170"/>
      <c r="AXR67" s="170"/>
      <c r="AXS67" s="170"/>
      <c r="AXT67" s="170"/>
      <c r="AXU67" s="170"/>
      <c r="AXV67" s="170"/>
      <c r="AXW67" s="170"/>
      <c r="AXX67" s="170"/>
      <c r="AXY67" s="170"/>
      <c r="AXZ67" s="170"/>
      <c r="AYA67" s="170"/>
      <c r="AYB67" s="170"/>
      <c r="AYC67" s="170"/>
      <c r="AYD67" s="170"/>
      <c r="AYE67" s="170"/>
      <c r="AYF67" s="170"/>
      <c r="AYG67" s="170"/>
      <c r="AYH67" s="170"/>
      <c r="AYI67" s="170"/>
      <c r="AYJ67" s="170"/>
      <c r="AYK67" s="170"/>
      <c r="AYL67" s="170"/>
      <c r="AYM67" s="170"/>
      <c r="AYN67" s="170"/>
      <c r="AYO67" s="170"/>
      <c r="AYP67" s="170"/>
      <c r="AYQ67" s="170"/>
      <c r="AYR67" s="170"/>
      <c r="AYS67" s="170"/>
      <c r="AYT67" s="170"/>
      <c r="AYU67" s="170"/>
      <c r="AYV67" s="170"/>
      <c r="AYW67" s="170"/>
      <c r="AYX67" s="170"/>
      <c r="AYY67" s="170"/>
      <c r="AYZ67" s="170"/>
      <c r="AZA67" s="170"/>
      <c r="AZB67" s="170"/>
      <c r="AZC67" s="170"/>
      <c r="AZD67" s="170"/>
      <c r="AZE67" s="170"/>
      <c r="AZF67" s="170"/>
      <c r="AZG67" s="170"/>
      <c r="AZH67" s="170"/>
      <c r="AZI67" s="170"/>
      <c r="AZJ67" s="170"/>
      <c r="AZK67" s="170"/>
      <c r="AZL67" s="170"/>
      <c r="AZM67" s="170"/>
      <c r="AZN67" s="170"/>
      <c r="AZO67" s="170"/>
      <c r="AZP67" s="170"/>
      <c r="AZQ67" s="170"/>
      <c r="AZR67" s="170"/>
      <c r="AZS67" s="170"/>
      <c r="AZT67" s="170"/>
      <c r="AZU67" s="170"/>
      <c r="AZV67" s="170"/>
      <c r="AZW67" s="170"/>
      <c r="AZX67" s="170"/>
      <c r="AZY67" s="170"/>
      <c r="AZZ67" s="170"/>
      <c r="BAA67" s="170"/>
      <c r="BAB67" s="170"/>
      <c r="BAC67" s="170"/>
      <c r="BAD67" s="170"/>
      <c r="BAE67" s="170"/>
      <c r="BAF67" s="170"/>
      <c r="BAG67" s="170"/>
      <c r="BAH67" s="170"/>
      <c r="BAI67" s="170"/>
      <c r="BAJ67" s="170"/>
      <c r="BAK67" s="170"/>
      <c r="BAL67" s="170"/>
      <c r="BAM67" s="170"/>
      <c r="BAN67" s="170"/>
      <c r="BAO67" s="170"/>
      <c r="BAP67" s="170"/>
      <c r="BAQ67" s="170"/>
      <c r="BAR67" s="170"/>
      <c r="BAS67" s="170"/>
      <c r="BAT67" s="170"/>
      <c r="BAU67" s="170"/>
      <c r="BAV67" s="170"/>
      <c r="BAW67" s="170"/>
      <c r="BAX67" s="170"/>
      <c r="BAY67" s="170"/>
      <c r="BAZ67" s="170"/>
      <c r="BBA67" s="170"/>
      <c r="BBB67" s="170"/>
      <c r="BBC67" s="170"/>
      <c r="BBD67" s="170"/>
      <c r="BBE67" s="170"/>
      <c r="BBF67" s="170"/>
      <c r="BBG67" s="170"/>
      <c r="BBH67" s="170"/>
      <c r="BBI67" s="170"/>
      <c r="BBJ67" s="170"/>
      <c r="BBK67" s="170"/>
      <c r="BBL67" s="170"/>
      <c r="BBM67" s="170"/>
      <c r="BBN67" s="170"/>
      <c r="BBO67" s="170"/>
      <c r="BBP67" s="170"/>
      <c r="BBQ67" s="170"/>
      <c r="BBR67" s="170"/>
      <c r="BBS67" s="170"/>
      <c r="BBT67" s="170"/>
      <c r="BBU67" s="170"/>
      <c r="BBV67" s="170"/>
      <c r="BBW67" s="170"/>
      <c r="BBX67" s="170"/>
      <c r="BBY67" s="170"/>
      <c r="BBZ67" s="170"/>
      <c r="BCA67" s="170"/>
      <c r="BCB67" s="170"/>
      <c r="BCC67" s="170"/>
      <c r="BCD67" s="170"/>
      <c r="BCE67" s="170"/>
      <c r="BCF67" s="170"/>
      <c r="BCG67" s="170"/>
      <c r="BCH67" s="170"/>
      <c r="BCI67" s="170"/>
      <c r="BCJ67" s="170"/>
      <c r="BCK67" s="170"/>
      <c r="BCL67" s="170"/>
      <c r="BCM67" s="170"/>
      <c r="BCN67" s="170"/>
      <c r="BCO67" s="170"/>
      <c r="BCP67" s="170"/>
      <c r="BCQ67" s="170"/>
      <c r="BCR67" s="170"/>
      <c r="BCS67" s="170"/>
      <c r="BCT67" s="170"/>
      <c r="BCU67" s="170"/>
      <c r="BCV67" s="170"/>
      <c r="BCW67" s="170"/>
      <c r="BCX67" s="170"/>
      <c r="BCY67" s="170"/>
      <c r="BCZ67" s="170"/>
      <c r="BDA67" s="170"/>
      <c r="BDB67" s="170"/>
      <c r="BDC67" s="170"/>
      <c r="BDD67" s="170"/>
      <c r="BDE67" s="170"/>
      <c r="BDF67" s="170"/>
      <c r="BDG67" s="170"/>
      <c r="BDH67" s="170"/>
      <c r="BDI67" s="170"/>
      <c r="BDJ67" s="170"/>
      <c r="BDK67" s="170"/>
      <c r="BDL67" s="170"/>
      <c r="BDM67" s="170"/>
      <c r="BDN67" s="170"/>
      <c r="BDO67" s="170"/>
      <c r="BDP67" s="170"/>
      <c r="BDQ67" s="170"/>
      <c r="BDR67" s="170"/>
      <c r="BDS67" s="170"/>
      <c r="BDT67" s="170"/>
      <c r="BDU67" s="170"/>
      <c r="BDV67" s="170"/>
      <c r="BDW67" s="170"/>
      <c r="BDX67" s="170"/>
      <c r="BDY67" s="170"/>
      <c r="BDZ67" s="170"/>
      <c r="BEA67" s="170"/>
      <c r="BEB67" s="170"/>
      <c r="BEC67" s="170"/>
      <c r="BED67" s="170"/>
      <c r="BEE67" s="170"/>
      <c r="BEF67" s="170"/>
      <c r="BEG67" s="170"/>
      <c r="BEH67" s="170"/>
      <c r="BEI67" s="170"/>
      <c r="BEJ67" s="170"/>
      <c r="BEK67" s="170"/>
      <c r="BEL67" s="170"/>
      <c r="BEM67" s="170"/>
      <c r="BEN67" s="170"/>
      <c r="BEO67" s="170"/>
      <c r="BEP67" s="170"/>
      <c r="BEQ67" s="170"/>
      <c r="BER67" s="170"/>
      <c r="BES67" s="170"/>
      <c r="BET67" s="170"/>
      <c r="BEU67" s="170"/>
      <c r="BEV67" s="170"/>
      <c r="BEW67" s="170"/>
      <c r="BEX67" s="170"/>
      <c r="BEY67" s="170"/>
      <c r="BEZ67" s="170"/>
      <c r="BFA67" s="170"/>
      <c r="BFB67" s="170"/>
      <c r="BFC67" s="170"/>
      <c r="BFD67" s="170"/>
      <c r="BFE67" s="170"/>
      <c r="BFF67" s="170"/>
      <c r="BFG67" s="170"/>
      <c r="BFH67" s="170"/>
      <c r="BFI67" s="170"/>
      <c r="BFJ67" s="170"/>
      <c r="BFK67" s="170"/>
      <c r="BFL67" s="170"/>
      <c r="BFM67" s="170"/>
      <c r="BFN67" s="170"/>
      <c r="BFO67" s="170"/>
      <c r="BFP67" s="170"/>
      <c r="BFQ67" s="170"/>
      <c r="BFR67" s="170"/>
      <c r="BFS67" s="170"/>
      <c r="BFT67" s="170"/>
      <c r="BFU67" s="170"/>
      <c r="BFV67" s="170"/>
      <c r="BFW67" s="170"/>
      <c r="BFX67" s="170"/>
      <c r="BFY67" s="170"/>
      <c r="BFZ67" s="170"/>
      <c r="BGA67" s="170"/>
      <c r="BGB67" s="170"/>
      <c r="BGC67" s="170"/>
      <c r="BGD67" s="170"/>
      <c r="BGE67" s="170"/>
      <c r="BGF67" s="170"/>
      <c r="BGG67" s="170"/>
      <c r="BGH67" s="170"/>
      <c r="BGI67" s="170"/>
      <c r="BGJ67" s="170"/>
      <c r="BGK67" s="170"/>
      <c r="BGL67" s="170"/>
      <c r="BGM67" s="170"/>
      <c r="BGN67" s="170"/>
      <c r="BGO67" s="170"/>
      <c r="BGP67" s="170"/>
      <c r="BGQ67" s="170"/>
      <c r="BGR67" s="170"/>
      <c r="BGS67" s="170"/>
      <c r="BGT67" s="170"/>
      <c r="BGU67" s="170"/>
      <c r="BGV67" s="170"/>
      <c r="BGW67" s="170"/>
      <c r="BGX67" s="170"/>
      <c r="BGY67" s="170"/>
      <c r="BGZ67" s="170"/>
      <c r="BHA67" s="170"/>
      <c r="BHB67" s="170"/>
      <c r="BHC67" s="170"/>
      <c r="BHD67" s="170"/>
      <c r="BHE67" s="170"/>
      <c r="BHF67" s="170"/>
      <c r="BHG67" s="170"/>
      <c r="BHH67" s="170"/>
      <c r="BHI67" s="170"/>
      <c r="BHJ67" s="170"/>
      <c r="BHK67" s="170"/>
      <c r="BHL67" s="170"/>
      <c r="BHM67" s="170"/>
      <c r="BHN67" s="170"/>
      <c r="BHO67" s="170"/>
      <c r="BHP67" s="170"/>
      <c r="BHQ67" s="170"/>
      <c r="BHR67" s="170"/>
      <c r="BHS67" s="170"/>
      <c r="BHT67" s="170"/>
      <c r="BHU67" s="170"/>
      <c r="BHV67" s="170"/>
      <c r="BHW67" s="170"/>
      <c r="BHX67" s="170"/>
      <c r="BHY67" s="170"/>
      <c r="BHZ67" s="170"/>
      <c r="BIA67" s="170"/>
      <c r="BIB67" s="170"/>
      <c r="BIC67" s="170"/>
      <c r="BID67" s="170"/>
      <c r="BIE67" s="170"/>
      <c r="BIF67" s="170"/>
      <c r="BIG67" s="170"/>
      <c r="BIH67" s="170"/>
      <c r="BII67" s="170"/>
      <c r="BIJ67" s="170"/>
      <c r="BIK67" s="170"/>
      <c r="BIL67" s="170"/>
      <c r="BIM67" s="170"/>
      <c r="BIN67" s="170"/>
      <c r="BIO67" s="170"/>
      <c r="BIP67" s="170"/>
      <c r="BIQ67" s="170"/>
      <c r="BIR67" s="170"/>
      <c r="BIS67" s="170"/>
      <c r="BIT67" s="170"/>
      <c r="BIU67" s="170"/>
      <c r="BIV67" s="170"/>
      <c r="BIW67" s="170"/>
      <c r="BIX67" s="170"/>
      <c r="BIY67" s="170"/>
      <c r="BIZ67" s="170"/>
      <c r="BJA67" s="170"/>
      <c r="BJB67" s="170"/>
      <c r="BJC67" s="170"/>
      <c r="BJD67" s="170"/>
      <c r="BJE67" s="170"/>
      <c r="BJF67" s="170"/>
      <c r="BJG67" s="170"/>
      <c r="BJH67" s="170"/>
      <c r="BJI67" s="170"/>
      <c r="BJJ67" s="170"/>
      <c r="BJK67" s="170"/>
      <c r="BJL67" s="170"/>
      <c r="BJM67" s="170"/>
      <c r="BJN67" s="170"/>
      <c r="BJO67" s="170"/>
      <c r="BJP67" s="170"/>
      <c r="BJQ67" s="170"/>
      <c r="BJR67" s="170"/>
      <c r="BJS67" s="170"/>
      <c r="BJT67" s="170"/>
      <c r="BJU67" s="170"/>
      <c r="BJV67" s="170"/>
      <c r="BJW67" s="170"/>
      <c r="BJX67" s="170"/>
      <c r="BJY67" s="170"/>
      <c r="BJZ67" s="170"/>
      <c r="BKA67" s="170"/>
      <c r="BKB67" s="170"/>
      <c r="BKC67" s="170"/>
      <c r="BKD67" s="170"/>
      <c r="BKE67" s="170"/>
      <c r="BKF67" s="170"/>
      <c r="BKG67" s="170"/>
      <c r="BKH67" s="170"/>
      <c r="BKI67" s="170"/>
      <c r="BKJ67" s="170"/>
      <c r="BKK67" s="170"/>
      <c r="BKL67" s="170"/>
      <c r="BKM67" s="170"/>
      <c r="BKN67" s="170"/>
      <c r="BKO67" s="170"/>
      <c r="BKP67" s="170"/>
      <c r="BKQ67" s="170"/>
      <c r="BKR67" s="170"/>
      <c r="BKS67" s="170"/>
      <c r="BKT67" s="170"/>
      <c r="BKU67" s="170"/>
      <c r="BKV67" s="170"/>
      <c r="BKW67" s="170"/>
      <c r="BKX67" s="170"/>
      <c r="BKY67" s="170"/>
      <c r="BKZ67" s="170"/>
      <c r="BLA67" s="170"/>
      <c r="BLB67" s="170"/>
      <c r="BLC67" s="170"/>
      <c r="BLD67" s="170"/>
      <c r="BLE67" s="170"/>
      <c r="BLF67" s="170"/>
      <c r="BLG67" s="170"/>
      <c r="BLH67" s="170"/>
      <c r="BLI67" s="170"/>
      <c r="BLJ67" s="170"/>
      <c r="BLK67" s="170"/>
      <c r="BLL67" s="170"/>
      <c r="BLM67" s="170"/>
      <c r="BLN67" s="170"/>
      <c r="BLO67" s="170"/>
      <c r="BLP67" s="170"/>
      <c r="BLQ67" s="170"/>
      <c r="BLR67" s="170"/>
      <c r="BLS67" s="170"/>
      <c r="BLT67" s="170"/>
      <c r="BLU67" s="170"/>
      <c r="BLV67" s="170"/>
      <c r="BLW67" s="170"/>
      <c r="BLX67" s="170"/>
      <c r="BLY67" s="170"/>
      <c r="BLZ67" s="170"/>
      <c r="BMA67" s="170"/>
      <c r="BMB67" s="170"/>
      <c r="BMC67" s="170"/>
      <c r="BMD67" s="170"/>
      <c r="BME67" s="170"/>
      <c r="BMF67" s="170"/>
      <c r="BMG67" s="170"/>
      <c r="BMH67" s="170"/>
      <c r="BMI67" s="170"/>
      <c r="BMJ67" s="170"/>
      <c r="BMK67" s="170"/>
      <c r="BML67" s="170"/>
      <c r="BMM67" s="170"/>
      <c r="BMN67" s="170"/>
      <c r="BMO67" s="170"/>
      <c r="BMP67" s="170"/>
      <c r="BMQ67" s="170"/>
      <c r="BMR67" s="170"/>
      <c r="BMS67" s="170"/>
      <c r="BMT67" s="170"/>
      <c r="BMU67" s="170"/>
      <c r="BMV67" s="170"/>
      <c r="BMW67" s="170"/>
      <c r="BMX67" s="170"/>
      <c r="BMY67" s="170"/>
      <c r="BMZ67" s="170"/>
      <c r="BNA67" s="170"/>
      <c r="BNB67" s="170"/>
      <c r="BNC67" s="170"/>
      <c r="BND67" s="170"/>
      <c r="BNE67" s="170"/>
      <c r="BNF67" s="170"/>
      <c r="BNG67" s="170"/>
      <c r="BNH67" s="170"/>
      <c r="BNI67" s="170"/>
      <c r="BNJ67" s="170"/>
      <c r="BNK67" s="170"/>
      <c r="BNL67" s="170"/>
      <c r="BNM67" s="170"/>
      <c r="BNN67" s="170"/>
      <c r="BNO67" s="170"/>
      <c r="BNP67" s="170"/>
      <c r="BNQ67" s="170"/>
      <c r="BNR67" s="170"/>
      <c r="BNS67" s="170"/>
      <c r="BNT67" s="170"/>
      <c r="BNU67" s="170"/>
      <c r="BNV67" s="170"/>
      <c r="BNW67" s="170"/>
      <c r="BNX67" s="170"/>
      <c r="BNY67" s="170"/>
      <c r="BNZ67" s="170"/>
      <c r="BOA67" s="170"/>
      <c r="BOB67" s="170"/>
      <c r="BOC67" s="170"/>
      <c r="BOD67" s="170"/>
      <c r="BOE67" s="170"/>
      <c r="BOF67" s="170"/>
      <c r="BOG67" s="170"/>
      <c r="BOH67" s="170"/>
      <c r="BOI67" s="170"/>
      <c r="BOJ67" s="170"/>
      <c r="BOK67" s="170"/>
      <c r="BOL67" s="170"/>
      <c r="BOM67" s="170"/>
      <c r="BON67" s="170"/>
      <c r="BOO67" s="170"/>
      <c r="BOP67" s="170"/>
      <c r="BOQ67" s="170"/>
      <c r="BOR67" s="170"/>
      <c r="BOS67" s="170"/>
      <c r="BOT67" s="170"/>
      <c r="BOU67" s="170"/>
      <c r="BOV67" s="170"/>
      <c r="BOW67" s="170"/>
      <c r="BOX67" s="170"/>
      <c r="BOY67" s="170"/>
      <c r="BOZ67" s="170"/>
      <c r="BPA67" s="170"/>
      <c r="BPB67" s="170"/>
      <c r="BPC67" s="170"/>
      <c r="BPD67" s="170"/>
      <c r="BPE67" s="170"/>
      <c r="BPF67" s="170"/>
      <c r="BPG67" s="170"/>
      <c r="BPH67" s="170"/>
      <c r="BPI67" s="170"/>
      <c r="BPJ67" s="170"/>
      <c r="BPK67" s="170"/>
      <c r="BPL67" s="170"/>
      <c r="BPM67" s="170"/>
      <c r="BPN67" s="170"/>
      <c r="BPO67" s="170"/>
      <c r="BPP67" s="170"/>
      <c r="BPQ67" s="170"/>
      <c r="BPR67" s="170"/>
      <c r="BPS67" s="170"/>
      <c r="BPT67" s="170"/>
      <c r="BPU67" s="170"/>
      <c r="BPV67" s="170"/>
      <c r="BPW67" s="170"/>
      <c r="BPX67" s="170"/>
      <c r="BPY67" s="170"/>
      <c r="BPZ67" s="170"/>
      <c r="BQA67" s="170"/>
      <c r="BQB67" s="170"/>
      <c r="BQC67" s="170"/>
      <c r="BQD67" s="170"/>
      <c r="BQE67" s="170"/>
      <c r="BQF67" s="170"/>
      <c r="BQG67" s="170"/>
      <c r="BQH67" s="170"/>
      <c r="BQI67" s="170"/>
      <c r="BQJ67" s="170"/>
      <c r="BQK67" s="170"/>
      <c r="BQL67" s="170"/>
      <c r="BQM67" s="170"/>
      <c r="BQN67" s="170"/>
      <c r="BQO67" s="170"/>
      <c r="BQP67" s="170"/>
      <c r="BQQ67" s="170"/>
      <c r="BQR67" s="170"/>
      <c r="BQS67" s="170"/>
      <c r="BQT67" s="170"/>
      <c r="BQU67" s="170"/>
      <c r="BQV67" s="170"/>
      <c r="BQW67" s="170"/>
      <c r="BQX67" s="170"/>
      <c r="BQY67" s="170"/>
      <c r="BQZ67" s="170"/>
      <c r="BRA67" s="170"/>
      <c r="BRB67" s="170"/>
      <c r="BRC67" s="170"/>
      <c r="BRD67" s="170"/>
      <c r="BRE67" s="170"/>
      <c r="BRF67" s="170"/>
      <c r="BRG67" s="170"/>
      <c r="BRH67" s="170"/>
      <c r="BRI67" s="170"/>
      <c r="BRJ67" s="170"/>
      <c r="BRK67" s="170"/>
      <c r="BRL67" s="170"/>
      <c r="BRM67" s="170"/>
      <c r="BRN67" s="170"/>
      <c r="BRO67" s="170"/>
      <c r="BRP67" s="170"/>
      <c r="BRQ67" s="170"/>
      <c r="BRR67" s="170"/>
      <c r="BRS67" s="170"/>
      <c r="BRT67" s="170"/>
      <c r="BRU67" s="170"/>
      <c r="BRV67" s="170"/>
      <c r="BRW67" s="170"/>
      <c r="BRX67" s="170"/>
      <c r="BRY67" s="170"/>
      <c r="BRZ67" s="170"/>
      <c r="BSA67" s="170"/>
      <c r="BSB67" s="170"/>
      <c r="BSC67" s="170"/>
      <c r="BSD67" s="170"/>
      <c r="BSE67" s="170"/>
      <c r="BSF67" s="170"/>
      <c r="BSG67" s="170"/>
      <c r="BSH67" s="170"/>
      <c r="BSI67" s="170"/>
      <c r="BSJ67" s="170"/>
      <c r="BSK67" s="170"/>
      <c r="BSL67" s="170"/>
      <c r="BSM67" s="170"/>
      <c r="BSN67" s="170"/>
      <c r="BSO67" s="170"/>
      <c r="BSP67" s="170"/>
      <c r="BSQ67" s="170"/>
      <c r="BSR67" s="170"/>
      <c r="BSS67" s="170"/>
      <c r="BST67" s="170"/>
      <c r="BSU67" s="170"/>
      <c r="BSV67" s="170"/>
      <c r="BSW67" s="170"/>
      <c r="BSX67" s="170"/>
      <c r="BSY67" s="170"/>
      <c r="BSZ67" s="170"/>
      <c r="BTA67" s="170"/>
      <c r="BTB67" s="170"/>
      <c r="BTC67" s="170"/>
      <c r="BTD67" s="170"/>
      <c r="BTE67" s="170"/>
      <c r="BTF67" s="170"/>
      <c r="BTG67" s="170"/>
      <c r="BTH67" s="170"/>
      <c r="BTI67" s="170"/>
      <c r="BTJ67" s="170"/>
      <c r="BTK67" s="170"/>
      <c r="BTL67" s="170"/>
      <c r="BTM67" s="170"/>
      <c r="BTN67" s="170"/>
      <c r="BTO67" s="170"/>
      <c r="BTP67" s="170"/>
      <c r="BTQ67" s="170"/>
      <c r="BTR67" s="170"/>
      <c r="BTS67" s="170"/>
      <c r="BTT67" s="170"/>
      <c r="BTU67" s="170"/>
      <c r="BTV67" s="170"/>
      <c r="BTW67" s="170"/>
      <c r="BTX67" s="170"/>
      <c r="BTY67" s="170"/>
      <c r="BTZ67" s="170"/>
      <c r="BUA67" s="170"/>
      <c r="BUB67" s="170"/>
      <c r="BUC67" s="170"/>
      <c r="BUD67" s="170"/>
      <c r="BUE67" s="170"/>
      <c r="BUF67" s="170"/>
      <c r="BUG67" s="170"/>
      <c r="BUH67" s="170"/>
      <c r="BUI67" s="170"/>
      <c r="BUJ67" s="170"/>
      <c r="BUK67" s="170"/>
      <c r="BUL67" s="170"/>
      <c r="BUM67" s="170"/>
      <c r="BUN67" s="170"/>
      <c r="BUO67" s="170"/>
      <c r="BUP67" s="170"/>
      <c r="BUQ67" s="170"/>
      <c r="BUR67" s="170"/>
      <c r="BUS67" s="170"/>
      <c r="BUT67" s="170"/>
      <c r="BUU67" s="170"/>
      <c r="BUV67" s="170"/>
      <c r="BUW67" s="170"/>
      <c r="BUX67" s="170"/>
      <c r="BUY67" s="170"/>
      <c r="BUZ67" s="170"/>
      <c r="BVA67" s="170"/>
      <c r="BVB67" s="170"/>
      <c r="BVC67" s="170"/>
      <c r="BVD67" s="170"/>
      <c r="BVE67" s="170"/>
      <c r="BVF67" s="170"/>
      <c r="BVG67" s="170"/>
      <c r="BVH67" s="170"/>
      <c r="BVI67" s="170"/>
      <c r="BVJ67" s="170"/>
      <c r="BVK67" s="170"/>
      <c r="BVL67" s="170"/>
      <c r="BVM67" s="170"/>
      <c r="BVN67" s="170"/>
      <c r="BVO67" s="170"/>
      <c r="BVP67" s="170"/>
      <c r="BVQ67" s="170"/>
      <c r="BVR67" s="170"/>
      <c r="BVS67" s="170"/>
      <c r="BVT67" s="170"/>
      <c r="BVU67" s="170"/>
      <c r="BVV67" s="170"/>
      <c r="BVW67" s="170"/>
      <c r="BVX67" s="170"/>
      <c r="BVY67" s="170"/>
      <c r="BVZ67" s="170"/>
      <c r="BWA67" s="170"/>
      <c r="BWB67" s="170"/>
      <c r="BWC67" s="170"/>
      <c r="BWD67" s="170"/>
      <c r="BWE67" s="170"/>
      <c r="BWF67" s="170"/>
      <c r="BWG67" s="170"/>
      <c r="BWH67" s="170"/>
      <c r="BWI67" s="170"/>
      <c r="BWJ67" s="170"/>
      <c r="BWK67" s="170"/>
      <c r="BWL67" s="170"/>
      <c r="BWM67" s="170"/>
      <c r="BWN67" s="170"/>
      <c r="BWO67" s="170"/>
      <c r="BWP67" s="170"/>
      <c r="BWQ67" s="170"/>
      <c r="BWR67" s="170"/>
      <c r="BWS67" s="170"/>
      <c r="BWT67" s="170"/>
      <c r="BWU67" s="170"/>
      <c r="BWV67" s="170"/>
      <c r="BWW67" s="170"/>
      <c r="BWX67" s="170"/>
      <c r="BWY67" s="170"/>
      <c r="BWZ67" s="170"/>
      <c r="BXA67" s="170"/>
      <c r="BXB67" s="170"/>
      <c r="BXC67" s="170"/>
      <c r="BXD67" s="170"/>
      <c r="BXE67" s="170"/>
      <c r="BXF67" s="170"/>
      <c r="BXG67" s="170"/>
      <c r="BXH67" s="170"/>
      <c r="BXI67" s="170"/>
      <c r="BXJ67" s="170"/>
      <c r="BXK67" s="170"/>
      <c r="BXL67" s="170"/>
      <c r="BXM67" s="170"/>
      <c r="BXN67" s="170"/>
      <c r="BXO67" s="170"/>
      <c r="BXP67" s="170"/>
      <c r="BXQ67" s="170"/>
      <c r="BXR67" s="170"/>
      <c r="BXS67" s="170"/>
      <c r="BXT67" s="170"/>
      <c r="BXU67" s="170"/>
      <c r="BXV67" s="170"/>
      <c r="BXW67" s="170"/>
      <c r="BXX67" s="170"/>
      <c r="BXY67" s="170"/>
      <c r="BXZ67" s="170"/>
      <c r="BYA67" s="170"/>
      <c r="BYB67" s="170"/>
      <c r="BYC67" s="170"/>
      <c r="BYD67" s="170"/>
      <c r="BYE67" s="170"/>
      <c r="BYF67" s="170"/>
      <c r="BYG67" s="170"/>
      <c r="BYH67" s="170"/>
      <c r="BYI67" s="170"/>
      <c r="BYJ67" s="170"/>
      <c r="BYK67" s="170"/>
      <c r="BYL67" s="170"/>
      <c r="BYM67" s="170"/>
      <c r="BYN67" s="170"/>
      <c r="BYO67" s="170"/>
      <c r="BYP67" s="170"/>
      <c r="BYQ67" s="170"/>
      <c r="BYR67" s="170"/>
      <c r="BYS67" s="170"/>
      <c r="BYT67" s="170"/>
      <c r="BYU67" s="170"/>
      <c r="BYV67" s="170"/>
      <c r="BYW67" s="170"/>
      <c r="BYX67" s="170"/>
      <c r="BYY67" s="170"/>
      <c r="BYZ67" s="170"/>
      <c r="BZA67" s="170"/>
      <c r="BZB67" s="170"/>
      <c r="BZC67" s="170"/>
      <c r="BZD67" s="170"/>
      <c r="BZE67" s="170"/>
      <c r="BZF67" s="170"/>
      <c r="BZG67" s="170"/>
      <c r="BZH67" s="170"/>
      <c r="BZI67" s="170"/>
      <c r="BZJ67" s="170"/>
      <c r="BZK67" s="170"/>
      <c r="BZL67" s="170"/>
      <c r="BZM67" s="170"/>
      <c r="BZN67" s="170"/>
      <c r="BZO67" s="170"/>
      <c r="BZP67" s="170"/>
      <c r="BZQ67" s="170"/>
      <c r="BZR67" s="170"/>
      <c r="BZS67" s="170"/>
      <c r="BZT67" s="170"/>
      <c r="BZU67" s="170"/>
      <c r="BZV67" s="170"/>
      <c r="BZW67" s="170"/>
      <c r="BZX67" s="170"/>
      <c r="BZY67" s="170"/>
      <c r="BZZ67" s="170"/>
      <c r="CAA67" s="170"/>
      <c r="CAB67" s="170"/>
      <c r="CAC67" s="170"/>
      <c r="CAD67" s="170"/>
      <c r="CAE67" s="170"/>
      <c r="CAF67" s="170"/>
      <c r="CAG67" s="170"/>
      <c r="CAH67" s="170"/>
      <c r="CAI67" s="170"/>
      <c r="CAJ67" s="170"/>
      <c r="CAK67" s="170"/>
      <c r="CAL67" s="170"/>
      <c r="CAM67" s="170"/>
      <c r="CAN67" s="170"/>
      <c r="CAO67" s="170"/>
      <c r="CAP67" s="170"/>
      <c r="CAQ67" s="170"/>
      <c r="CAR67" s="170"/>
      <c r="CAS67" s="170"/>
      <c r="CAT67" s="170"/>
      <c r="CAU67" s="170"/>
      <c r="CAV67" s="170"/>
      <c r="CAW67" s="170"/>
      <c r="CAX67" s="170"/>
      <c r="CAY67" s="170"/>
      <c r="CAZ67" s="170"/>
      <c r="CBA67" s="170"/>
      <c r="CBB67" s="170"/>
      <c r="CBC67" s="170"/>
      <c r="CBD67" s="170"/>
      <c r="CBE67" s="170"/>
      <c r="CBF67" s="170"/>
      <c r="CBG67" s="170"/>
      <c r="CBH67" s="170"/>
      <c r="CBI67" s="170"/>
      <c r="CBJ67" s="170"/>
      <c r="CBK67" s="170"/>
      <c r="CBL67" s="170"/>
      <c r="CBM67" s="170"/>
      <c r="CBN67" s="170"/>
      <c r="CBO67" s="170"/>
      <c r="CBP67" s="170"/>
      <c r="CBQ67" s="170"/>
      <c r="CBR67" s="170"/>
      <c r="CBS67" s="170"/>
      <c r="CBT67" s="170"/>
      <c r="CBU67" s="170"/>
      <c r="CBV67" s="170"/>
      <c r="CBW67" s="170"/>
      <c r="CBX67" s="170"/>
      <c r="CBY67" s="170"/>
      <c r="CBZ67" s="170"/>
      <c r="CCA67" s="170"/>
      <c r="CCB67" s="170"/>
      <c r="CCC67" s="170"/>
      <c r="CCD67" s="170"/>
      <c r="CCE67" s="170"/>
      <c r="CCF67" s="170"/>
      <c r="CCG67" s="170"/>
      <c r="CCH67" s="170"/>
      <c r="CCI67" s="170"/>
      <c r="CCJ67" s="170"/>
      <c r="CCK67" s="170"/>
      <c r="CCL67" s="170"/>
      <c r="CCM67" s="170"/>
      <c r="CCN67" s="170"/>
      <c r="CCO67" s="170"/>
      <c r="CCP67" s="170"/>
      <c r="CCQ67" s="170"/>
      <c r="CCR67" s="170"/>
      <c r="CCS67" s="170"/>
      <c r="CCT67" s="170"/>
      <c r="CCU67" s="170"/>
      <c r="CCV67" s="170"/>
      <c r="CCW67" s="170"/>
      <c r="CCX67" s="170"/>
      <c r="CCY67" s="170"/>
      <c r="CCZ67" s="170"/>
      <c r="CDA67" s="170"/>
      <c r="CDB67" s="170"/>
      <c r="CDC67" s="170"/>
      <c r="CDD67" s="170"/>
      <c r="CDE67" s="170"/>
      <c r="CDF67" s="170"/>
      <c r="CDG67" s="170"/>
      <c r="CDH67" s="170"/>
      <c r="CDI67" s="170"/>
      <c r="CDJ67" s="170"/>
      <c r="CDK67" s="170"/>
      <c r="CDL67" s="170"/>
      <c r="CDM67" s="170"/>
      <c r="CDN67" s="170"/>
      <c r="CDO67" s="170"/>
      <c r="CDP67" s="170"/>
      <c r="CDQ67" s="170"/>
      <c r="CDR67" s="170"/>
      <c r="CDS67" s="170"/>
      <c r="CDT67" s="170"/>
      <c r="CDU67" s="170"/>
      <c r="CDV67" s="170"/>
      <c r="CDW67" s="170"/>
      <c r="CDX67" s="170"/>
      <c r="CDY67" s="170"/>
      <c r="CDZ67" s="170"/>
      <c r="CEA67" s="170"/>
      <c r="CEB67" s="170"/>
      <c r="CEC67" s="170"/>
      <c r="CED67" s="170"/>
      <c r="CEE67" s="170"/>
      <c r="CEF67" s="170"/>
      <c r="CEG67" s="170"/>
      <c r="CEH67" s="170"/>
      <c r="CEI67" s="170"/>
      <c r="CEJ67" s="170"/>
      <c r="CEK67" s="170"/>
      <c r="CEL67" s="170"/>
      <c r="CEM67" s="170"/>
      <c r="CEN67" s="170"/>
      <c r="CEO67" s="170"/>
      <c r="CEP67" s="170"/>
      <c r="CEQ67" s="170"/>
      <c r="CER67" s="170"/>
      <c r="CES67" s="170"/>
      <c r="CET67" s="170"/>
      <c r="CEU67" s="170"/>
      <c r="CEV67" s="170"/>
      <c r="CEW67" s="170"/>
      <c r="CEX67" s="170"/>
      <c r="CEY67" s="170"/>
      <c r="CEZ67" s="170"/>
      <c r="CFA67" s="170"/>
      <c r="CFB67" s="170"/>
      <c r="CFC67" s="170"/>
      <c r="CFD67" s="170"/>
      <c r="CFE67" s="170"/>
      <c r="CFF67" s="170"/>
      <c r="CFG67" s="170"/>
      <c r="CFH67" s="170"/>
      <c r="CFI67" s="170"/>
      <c r="CFJ67" s="170"/>
      <c r="CFK67" s="170"/>
      <c r="CFL67" s="170"/>
      <c r="CFM67" s="170"/>
      <c r="CFN67" s="170"/>
      <c r="CFO67" s="170"/>
      <c r="CFP67" s="170"/>
      <c r="CFQ67" s="170"/>
      <c r="CFR67" s="170"/>
      <c r="CFS67" s="170"/>
      <c r="CFT67" s="170"/>
      <c r="CFU67" s="170"/>
      <c r="CFV67" s="170"/>
      <c r="CFW67" s="170"/>
      <c r="CFX67" s="170"/>
      <c r="CFY67" s="170"/>
      <c r="CFZ67" s="170"/>
      <c r="CGA67" s="170"/>
      <c r="CGB67" s="170"/>
      <c r="CGC67" s="170"/>
      <c r="CGD67" s="170"/>
      <c r="CGE67" s="170"/>
      <c r="CGF67" s="170"/>
      <c r="CGG67" s="170"/>
      <c r="CGH67" s="170"/>
      <c r="CGI67" s="170"/>
      <c r="CGJ67" s="170"/>
      <c r="CGK67" s="170"/>
      <c r="CGL67" s="170"/>
      <c r="CGM67" s="170"/>
      <c r="CGN67" s="170"/>
      <c r="CGO67" s="170"/>
      <c r="CGP67" s="170"/>
      <c r="CGQ67" s="170"/>
      <c r="CGR67" s="170"/>
      <c r="CGS67" s="170"/>
      <c r="CGT67" s="170"/>
      <c r="CGU67" s="170"/>
      <c r="CGV67" s="170"/>
      <c r="CGW67" s="170"/>
      <c r="CGX67" s="170"/>
      <c r="CGY67" s="170"/>
      <c r="CGZ67" s="170"/>
      <c r="CHA67" s="170"/>
      <c r="CHB67" s="170"/>
      <c r="CHC67" s="170"/>
      <c r="CHD67" s="170"/>
      <c r="CHE67" s="170"/>
      <c r="CHF67" s="170"/>
      <c r="CHG67" s="170"/>
      <c r="CHH67" s="170"/>
      <c r="CHI67" s="170"/>
      <c r="CHJ67" s="170"/>
      <c r="CHK67" s="170"/>
      <c r="CHL67" s="170"/>
      <c r="CHM67" s="170"/>
      <c r="CHN67" s="170"/>
      <c r="CHO67" s="170"/>
      <c r="CHP67" s="170"/>
      <c r="CHQ67" s="170"/>
      <c r="CHR67" s="170"/>
      <c r="CHS67" s="170"/>
      <c r="CHT67" s="170"/>
      <c r="CHU67" s="170"/>
      <c r="CHV67" s="170"/>
      <c r="CHW67" s="170"/>
      <c r="CHX67" s="170"/>
      <c r="CHY67" s="170"/>
      <c r="CHZ67" s="170"/>
      <c r="CIA67" s="170"/>
      <c r="CIB67" s="170"/>
      <c r="CIC67" s="170"/>
      <c r="CID67" s="170"/>
      <c r="CIE67" s="170"/>
      <c r="CIF67" s="170"/>
      <c r="CIG67" s="170"/>
      <c r="CIH67" s="170"/>
      <c r="CII67" s="170"/>
      <c r="CIJ67" s="170"/>
      <c r="CIK67" s="170"/>
      <c r="CIL67" s="170"/>
      <c r="CIM67" s="170"/>
      <c r="CIN67" s="170"/>
      <c r="CIO67" s="170"/>
      <c r="CIP67" s="170"/>
      <c r="CIQ67" s="170"/>
      <c r="CIR67" s="170"/>
      <c r="CIS67" s="170"/>
      <c r="CIT67" s="170"/>
      <c r="CIU67" s="170"/>
      <c r="CIV67" s="170"/>
      <c r="CIW67" s="170"/>
      <c r="CIX67" s="170"/>
      <c r="CIY67" s="170"/>
      <c r="CIZ67" s="170"/>
      <c r="CJA67" s="170"/>
      <c r="CJB67" s="170"/>
      <c r="CJC67" s="170"/>
      <c r="CJD67" s="170"/>
      <c r="CJE67" s="170"/>
      <c r="CJF67" s="170"/>
      <c r="CJG67" s="170"/>
      <c r="CJH67" s="170"/>
      <c r="CJI67" s="170"/>
      <c r="CJJ67" s="170"/>
      <c r="CJK67" s="170"/>
      <c r="CJL67" s="170"/>
      <c r="CJM67" s="170"/>
      <c r="CJN67" s="170"/>
      <c r="CJO67" s="170"/>
      <c r="CJP67" s="170"/>
      <c r="CJQ67" s="170"/>
      <c r="CJR67" s="170"/>
      <c r="CJS67" s="170"/>
      <c r="CJT67" s="170"/>
      <c r="CJU67" s="170"/>
      <c r="CJV67" s="170"/>
      <c r="CJW67" s="170"/>
      <c r="CJX67" s="170"/>
      <c r="CJY67" s="170"/>
      <c r="CJZ67" s="170"/>
      <c r="CKA67" s="170"/>
      <c r="CKB67" s="170"/>
      <c r="CKC67" s="170"/>
      <c r="CKD67" s="170"/>
      <c r="CKE67" s="170"/>
      <c r="CKF67" s="170"/>
      <c r="CKG67" s="170"/>
      <c r="CKH67" s="170"/>
      <c r="CKI67" s="170"/>
      <c r="CKJ67" s="170"/>
      <c r="CKK67" s="170"/>
      <c r="CKL67" s="170"/>
      <c r="CKM67" s="170"/>
      <c r="CKN67" s="170"/>
      <c r="CKO67" s="170"/>
      <c r="CKP67" s="170"/>
      <c r="CKQ67" s="170"/>
      <c r="CKR67" s="170"/>
      <c r="CKS67" s="170"/>
      <c r="CKT67" s="170"/>
      <c r="CKU67" s="170"/>
      <c r="CKV67" s="170"/>
      <c r="CKW67" s="170"/>
      <c r="CKX67" s="170"/>
      <c r="CKY67" s="170"/>
      <c r="CKZ67" s="170"/>
      <c r="CLA67" s="170"/>
      <c r="CLB67" s="170"/>
      <c r="CLC67" s="170"/>
      <c r="CLD67" s="170"/>
      <c r="CLE67" s="170"/>
      <c r="CLF67" s="170"/>
      <c r="CLG67" s="170"/>
      <c r="CLH67" s="170"/>
      <c r="CLI67" s="170"/>
      <c r="CLJ67" s="170"/>
      <c r="CLK67" s="170"/>
      <c r="CLL67" s="170"/>
      <c r="CLM67" s="170"/>
      <c r="CLN67" s="170"/>
      <c r="CLO67" s="170"/>
      <c r="CLP67" s="170"/>
      <c r="CLQ67" s="170"/>
      <c r="CLR67" s="170"/>
      <c r="CLS67" s="170"/>
      <c r="CLT67" s="170"/>
      <c r="CLU67" s="170"/>
      <c r="CLV67" s="170"/>
      <c r="CLW67" s="170"/>
      <c r="CLX67" s="170"/>
      <c r="CLY67" s="170"/>
      <c r="CLZ67" s="170"/>
      <c r="CMA67" s="170"/>
      <c r="CMB67" s="170"/>
      <c r="CMC67" s="170"/>
      <c r="CMD67" s="170"/>
      <c r="CME67" s="170"/>
      <c r="CMF67" s="170"/>
      <c r="CMG67" s="170"/>
      <c r="CMH67" s="170"/>
      <c r="CMI67" s="170"/>
      <c r="CMJ67" s="170"/>
      <c r="CMK67" s="170"/>
      <c r="CML67" s="170"/>
      <c r="CMM67" s="170"/>
      <c r="CMN67" s="170"/>
      <c r="CMO67" s="170"/>
      <c r="CMP67" s="170"/>
      <c r="CMQ67" s="170"/>
      <c r="CMR67" s="170"/>
      <c r="CMS67" s="170"/>
      <c r="CMT67" s="170"/>
      <c r="CMU67" s="170"/>
      <c r="CMV67" s="170"/>
      <c r="CMW67" s="170"/>
      <c r="CMX67" s="170"/>
      <c r="CMY67" s="170"/>
      <c r="CMZ67" s="170"/>
      <c r="CNA67" s="170"/>
      <c r="CNB67" s="170"/>
      <c r="CNC67" s="170"/>
      <c r="CND67" s="170"/>
      <c r="CNE67" s="170"/>
      <c r="CNF67" s="170"/>
      <c r="CNG67" s="170"/>
      <c r="CNH67" s="170"/>
      <c r="CNI67" s="170"/>
      <c r="CNJ67" s="170"/>
      <c r="CNK67" s="170"/>
      <c r="CNL67" s="170"/>
      <c r="CNM67" s="170"/>
      <c r="CNN67" s="170"/>
      <c r="CNO67" s="170"/>
      <c r="CNP67" s="170"/>
      <c r="CNQ67" s="170"/>
      <c r="CNR67" s="170"/>
      <c r="CNS67" s="170"/>
      <c r="CNT67" s="170"/>
      <c r="CNU67" s="170"/>
      <c r="CNV67" s="170"/>
      <c r="CNW67" s="170"/>
      <c r="CNX67" s="170"/>
      <c r="CNY67" s="170"/>
      <c r="CNZ67" s="170"/>
      <c r="COA67" s="170"/>
      <c r="COB67" s="170"/>
      <c r="COC67" s="170"/>
      <c r="COD67" s="170"/>
      <c r="COE67" s="170"/>
      <c r="COF67" s="170"/>
      <c r="COG67" s="170"/>
      <c r="COH67" s="170"/>
      <c r="COI67" s="170"/>
      <c r="COJ67" s="170"/>
      <c r="COK67" s="170"/>
      <c r="COL67" s="170"/>
      <c r="COM67" s="170"/>
      <c r="CON67" s="170"/>
      <c r="COO67" s="170"/>
      <c r="COP67" s="170"/>
      <c r="COQ67" s="170"/>
      <c r="COR67" s="170"/>
      <c r="COS67" s="170"/>
      <c r="COT67" s="170"/>
      <c r="COU67" s="170"/>
      <c r="COV67" s="170"/>
      <c r="COW67" s="170"/>
      <c r="COX67" s="170"/>
      <c r="COY67" s="170"/>
      <c r="COZ67" s="170"/>
      <c r="CPA67" s="170"/>
      <c r="CPB67" s="170"/>
      <c r="CPC67" s="170"/>
      <c r="CPD67" s="170"/>
      <c r="CPE67" s="170"/>
      <c r="CPF67" s="170"/>
      <c r="CPG67" s="170"/>
      <c r="CPH67" s="170"/>
      <c r="CPI67" s="170"/>
      <c r="CPJ67" s="170"/>
      <c r="CPK67" s="170"/>
      <c r="CPL67" s="170"/>
      <c r="CPM67" s="170"/>
      <c r="CPN67" s="170"/>
      <c r="CPO67" s="170"/>
      <c r="CPP67" s="170"/>
      <c r="CPQ67" s="170"/>
      <c r="CPR67" s="170"/>
      <c r="CPS67" s="170"/>
      <c r="CPT67" s="170"/>
      <c r="CPU67" s="170"/>
      <c r="CPV67" s="170"/>
      <c r="CPW67" s="170"/>
      <c r="CPX67" s="170"/>
      <c r="CPY67" s="170"/>
      <c r="CPZ67" s="170"/>
      <c r="CQA67" s="170"/>
      <c r="CQB67" s="170"/>
      <c r="CQC67" s="170"/>
      <c r="CQD67" s="170"/>
      <c r="CQE67" s="170"/>
      <c r="CQF67" s="170"/>
      <c r="CQG67" s="170"/>
      <c r="CQH67" s="170"/>
      <c r="CQI67" s="170"/>
      <c r="CQJ67" s="170"/>
      <c r="CQK67" s="170"/>
      <c r="CQL67" s="170"/>
      <c r="CQM67" s="170"/>
      <c r="CQN67" s="170"/>
      <c r="CQO67" s="170"/>
      <c r="CQP67" s="170"/>
      <c r="CQQ67" s="170"/>
      <c r="CQR67" s="170"/>
      <c r="CQS67" s="170"/>
      <c r="CQT67" s="170"/>
      <c r="CQU67" s="170"/>
      <c r="CQV67" s="170"/>
      <c r="CQW67" s="170"/>
      <c r="CQX67" s="170"/>
      <c r="CQY67" s="170"/>
      <c r="CQZ67" s="170"/>
      <c r="CRA67" s="170"/>
      <c r="CRB67" s="170"/>
      <c r="CRC67" s="170"/>
      <c r="CRD67" s="170"/>
      <c r="CRE67" s="170"/>
      <c r="CRF67" s="170"/>
      <c r="CRG67" s="170"/>
      <c r="CRH67" s="170"/>
      <c r="CRI67" s="170"/>
      <c r="CRJ67" s="170"/>
      <c r="CRK67" s="170"/>
      <c r="CRL67" s="170"/>
      <c r="CRM67" s="170"/>
      <c r="CRN67" s="170"/>
      <c r="CRO67" s="170"/>
      <c r="CRP67" s="170"/>
      <c r="CRQ67" s="170"/>
      <c r="CRR67" s="170"/>
      <c r="CRS67" s="170"/>
      <c r="CRT67" s="170"/>
      <c r="CRU67" s="170"/>
      <c r="CRV67" s="170"/>
      <c r="CRW67" s="170"/>
      <c r="CRX67" s="170"/>
      <c r="CRY67" s="170"/>
      <c r="CRZ67" s="170"/>
      <c r="CSA67" s="170"/>
      <c r="CSB67" s="170"/>
      <c r="CSC67" s="170"/>
      <c r="CSD67" s="170"/>
      <c r="CSE67" s="170"/>
      <c r="CSF67" s="170"/>
      <c r="CSG67" s="170"/>
      <c r="CSH67" s="170"/>
      <c r="CSI67" s="170"/>
      <c r="CSJ67" s="170"/>
      <c r="CSK67" s="170"/>
      <c r="CSL67" s="170"/>
      <c r="CSM67" s="170"/>
      <c r="CSN67" s="170"/>
      <c r="CSO67" s="170"/>
      <c r="CSP67" s="170"/>
      <c r="CSQ67" s="170"/>
      <c r="CSR67" s="170"/>
      <c r="CSS67" s="170"/>
      <c r="CST67" s="170"/>
      <c r="CSU67" s="170"/>
      <c r="CSV67" s="170"/>
      <c r="CSW67" s="170"/>
      <c r="CSX67" s="170"/>
      <c r="CSY67" s="170"/>
      <c r="CSZ67" s="170"/>
      <c r="CTA67" s="170"/>
      <c r="CTB67" s="170"/>
      <c r="CTC67" s="170"/>
      <c r="CTD67" s="170"/>
      <c r="CTE67" s="170"/>
      <c r="CTF67" s="170"/>
      <c r="CTG67" s="170"/>
      <c r="CTH67" s="170"/>
      <c r="CTI67" s="170"/>
      <c r="CTJ67" s="170"/>
      <c r="CTK67" s="170"/>
      <c r="CTL67" s="170"/>
      <c r="CTM67" s="170"/>
      <c r="CTN67" s="170"/>
      <c r="CTO67" s="170"/>
      <c r="CTP67" s="170"/>
      <c r="CTQ67" s="170"/>
      <c r="CTR67" s="170"/>
      <c r="CTS67" s="170"/>
      <c r="CTT67" s="170"/>
      <c r="CTU67" s="170"/>
      <c r="CTV67" s="170"/>
      <c r="CTW67" s="170"/>
      <c r="CTX67" s="170"/>
      <c r="CTY67" s="170"/>
      <c r="CTZ67" s="170"/>
      <c r="CUA67" s="170"/>
      <c r="CUB67" s="170"/>
      <c r="CUC67" s="170"/>
      <c r="CUD67" s="170"/>
      <c r="CUE67" s="170"/>
      <c r="CUF67" s="170"/>
      <c r="CUG67" s="170"/>
      <c r="CUH67" s="170"/>
      <c r="CUI67" s="170"/>
      <c r="CUJ67" s="170"/>
      <c r="CUK67" s="170"/>
      <c r="CUL67" s="170"/>
      <c r="CUM67" s="170"/>
      <c r="CUN67" s="170"/>
      <c r="CUO67" s="170"/>
      <c r="CUP67" s="170"/>
      <c r="CUQ67" s="170"/>
      <c r="CUR67" s="170"/>
      <c r="CUS67" s="170"/>
      <c r="CUT67" s="170"/>
      <c r="CUU67" s="170"/>
      <c r="CUV67" s="170"/>
      <c r="CUW67" s="170"/>
      <c r="CUX67" s="170"/>
      <c r="CUY67" s="170"/>
      <c r="CUZ67" s="170"/>
      <c r="CVA67" s="170"/>
      <c r="CVB67" s="170"/>
      <c r="CVC67" s="170"/>
      <c r="CVD67" s="170"/>
      <c r="CVE67" s="170"/>
      <c r="CVF67" s="170"/>
      <c r="CVG67" s="170"/>
      <c r="CVH67" s="170"/>
      <c r="CVI67" s="170"/>
      <c r="CVJ67" s="170"/>
      <c r="CVK67" s="170"/>
      <c r="CVL67" s="170"/>
      <c r="CVM67" s="170"/>
      <c r="CVN67" s="170"/>
      <c r="CVO67" s="170"/>
      <c r="CVP67" s="170"/>
      <c r="CVQ67" s="170"/>
      <c r="CVR67" s="170"/>
      <c r="CVS67" s="170"/>
      <c r="CVT67" s="170"/>
      <c r="CVU67" s="170"/>
      <c r="CVV67" s="170"/>
      <c r="CVW67" s="170"/>
      <c r="CVX67" s="170"/>
      <c r="CVY67" s="170"/>
      <c r="CVZ67" s="170"/>
      <c r="CWA67" s="170"/>
      <c r="CWB67" s="170"/>
      <c r="CWC67" s="170"/>
      <c r="CWD67" s="170"/>
      <c r="CWE67" s="170"/>
      <c r="CWF67" s="170"/>
      <c r="CWG67" s="170"/>
      <c r="CWH67" s="170"/>
      <c r="CWI67" s="170"/>
      <c r="CWJ67" s="170"/>
      <c r="CWK67" s="170"/>
      <c r="CWL67" s="170"/>
      <c r="CWM67" s="170"/>
      <c r="CWN67" s="170"/>
      <c r="CWO67" s="170"/>
      <c r="CWP67" s="170"/>
      <c r="CWQ67" s="170"/>
      <c r="CWR67" s="170"/>
      <c r="CWS67" s="170"/>
      <c r="CWT67" s="170"/>
      <c r="CWU67" s="170"/>
      <c r="CWV67" s="170"/>
      <c r="CWW67" s="170"/>
      <c r="CWX67" s="170"/>
      <c r="CWY67" s="170"/>
      <c r="CWZ67" s="170"/>
      <c r="CXA67" s="170"/>
      <c r="CXB67" s="170"/>
      <c r="CXC67" s="170"/>
      <c r="CXD67" s="170"/>
      <c r="CXE67" s="170"/>
      <c r="CXF67" s="170"/>
      <c r="CXG67" s="170"/>
      <c r="CXH67" s="170"/>
      <c r="CXI67" s="170"/>
      <c r="CXJ67" s="170"/>
      <c r="CXK67" s="170"/>
      <c r="CXL67" s="170"/>
      <c r="CXM67" s="170"/>
      <c r="CXN67" s="170"/>
      <c r="CXO67" s="170"/>
      <c r="CXP67" s="170"/>
      <c r="CXQ67" s="170"/>
      <c r="CXR67" s="170"/>
      <c r="CXS67" s="170"/>
      <c r="CXT67" s="170"/>
      <c r="CXU67" s="170"/>
      <c r="CXV67" s="170"/>
      <c r="CXW67" s="170"/>
      <c r="CXX67" s="170"/>
      <c r="CXY67" s="170"/>
      <c r="CXZ67" s="170"/>
      <c r="CYA67" s="170"/>
      <c r="CYB67" s="170"/>
      <c r="CYC67" s="170"/>
      <c r="CYD67" s="170"/>
      <c r="CYE67" s="170"/>
      <c r="CYF67" s="170"/>
      <c r="CYG67" s="170"/>
      <c r="CYH67" s="170"/>
      <c r="CYI67" s="170"/>
      <c r="CYJ67" s="170"/>
      <c r="CYK67" s="170"/>
      <c r="CYL67" s="170"/>
      <c r="CYM67" s="170"/>
      <c r="CYN67" s="170"/>
      <c r="CYO67" s="170"/>
      <c r="CYP67" s="170"/>
      <c r="CYQ67" s="170"/>
      <c r="CYR67" s="170"/>
      <c r="CYS67" s="170"/>
      <c r="CYT67" s="170"/>
      <c r="CYU67" s="170"/>
      <c r="CYV67" s="170"/>
      <c r="CYW67" s="170"/>
      <c r="CYX67" s="170"/>
      <c r="CYY67" s="170"/>
      <c r="CYZ67" s="170"/>
      <c r="CZA67" s="170"/>
      <c r="CZB67" s="170"/>
      <c r="CZC67" s="170"/>
      <c r="CZD67" s="170"/>
      <c r="CZE67" s="170"/>
      <c r="CZF67" s="170"/>
      <c r="CZG67" s="170"/>
      <c r="CZH67" s="170"/>
      <c r="CZI67" s="170"/>
      <c r="CZJ67" s="170"/>
      <c r="CZK67" s="170"/>
      <c r="CZL67" s="170"/>
      <c r="CZM67" s="170"/>
      <c r="CZN67" s="170"/>
      <c r="CZO67" s="170"/>
      <c r="CZP67" s="170"/>
      <c r="CZQ67" s="170"/>
      <c r="CZR67" s="170"/>
      <c r="CZS67" s="170"/>
      <c r="CZT67" s="170"/>
      <c r="CZU67" s="170"/>
      <c r="CZV67" s="170"/>
      <c r="CZW67" s="170"/>
      <c r="CZX67" s="170"/>
      <c r="CZY67" s="170"/>
      <c r="CZZ67" s="170"/>
      <c r="DAA67" s="170"/>
      <c r="DAB67" s="170"/>
      <c r="DAC67" s="170"/>
      <c r="DAD67" s="170"/>
      <c r="DAE67" s="170"/>
      <c r="DAF67" s="170"/>
      <c r="DAG67" s="170"/>
      <c r="DAH67" s="170"/>
      <c r="DAI67" s="170"/>
      <c r="DAJ67" s="170"/>
      <c r="DAK67" s="170"/>
      <c r="DAL67" s="170"/>
      <c r="DAM67" s="170"/>
      <c r="DAN67" s="170"/>
      <c r="DAO67" s="170"/>
      <c r="DAP67" s="170"/>
      <c r="DAQ67" s="170"/>
      <c r="DAR67" s="170"/>
      <c r="DAS67" s="170"/>
      <c r="DAT67" s="170"/>
      <c r="DAU67" s="170"/>
      <c r="DAV67" s="170"/>
      <c r="DAW67" s="170"/>
      <c r="DAX67" s="170"/>
      <c r="DAY67" s="170"/>
      <c r="DAZ67" s="170"/>
      <c r="DBA67" s="170"/>
      <c r="DBB67" s="170"/>
      <c r="DBC67" s="170"/>
      <c r="DBD67" s="170"/>
      <c r="DBE67" s="170"/>
      <c r="DBF67" s="170"/>
      <c r="DBG67" s="170"/>
      <c r="DBH67" s="170"/>
      <c r="DBI67" s="170"/>
      <c r="DBJ67" s="170"/>
      <c r="DBK67" s="170"/>
      <c r="DBL67" s="170"/>
      <c r="DBM67" s="170"/>
      <c r="DBN67" s="170"/>
      <c r="DBO67" s="170"/>
      <c r="DBP67" s="170"/>
      <c r="DBQ67" s="170"/>
      <c r="DBR67" s="170"/>
      <c r="DBS67" s="170"/>
      <c r="DBT67" s="170"/>
      <c r="DBU67" s="170"/>
      <c r="DBV67" s="170"/>
      <c r="DBW67" s="170"/>
      <c r="DBX67" s="170"/>
      <c r="DBY67" s="170"/>
      <c r="DBZ67" s="170"/>
      <c r="DCA67" s="170"/>
      <c r="DCB67" s="170"/>
      <c r="DCC67" s="170"/>
      <c r="DCD67" s="170"/>
      <c r="DCE67" s="170"/>
      <c r="DCF67" s="170"/>
      <c r="DCG67" s="170"/>
      <c r="DCH67" s="170"/>
      <c r="DCI67" s="170"/>
      <c r="DCJ67" s="170"/>
      <c r="DCK67" s="170"/>
      <c r="DCL67" s="170"/>
      <c r="DCM67" s="170"/>
      <c r="DCN67" s="170"/>
      <c r="DCO67" s="170"/>
      <c r="DCP67" s="170"/>
      <c r="DCQ67" s="170"/>
      <c r="DCR67" s="170"/>
      <c r="DCS67" s="170"/>
      <c r="DCT67" s="170"/>
      <c r="DCU67" s="170"/>
      <c r="DCV67" s="170"/>
      <c r="DCW67" s="170"/>
      <c r="DCX67" s="170"/>
      <c r="DCY67" s="170"/>
      <c r="DCZ67" s="170"/>
      <c r="DDA67" s="170"/>
      <c r="DDB67" s="170"/>
      <c r="DDC67" s="170"/>
      <c r="DDD67" s="170"/>
      <c r="DDE67" s="170"/>
      <c r="DDF67" s="170"/>
      <c r="DDG67" s="170"/>
      <c r="DDH67" s="170"/>
      <c r="DDI67" s="170"/>
      <c r="DDJ67" s="170"/>
      <c r="DDK67" s="170"/>
      <c r="DDL67" s="170"/>
      <c r="DDM67" s="170"/>
      <c r="DDN67" s="170"/>
      <c r="DDO67" s="170"/>
      <c r="DDP67" s="170"/>
      <c r="DDQ67" s="170"/>
      <c r="DDR67" s="170"/>
      <c r="DDS67" s="170"/>
      <c r="DDT67" s="170"/>
      <c r="DDU67" s="170"/>
      <c r="DDV67" s="170"/>
      <c r="DDW67" s="170"/>
      <c r="DDX67" s="170"/>
      <c r="DDY67" s="170"/>
      <c r="DDZ67" s="170"/>
      <c r="DEA67" s="170"/>
      <c r="DEB67" s="170"/>
      <c r="DEC67" s="170"/>
      <c r="DED67" s="170"/>
      <c r="DEE67" s="170"/>
      <c r="DEF67" s="170"/>
      <c r="DEG67" s="170"/>
      <c r="DEH67" s="170"/>
      <c r="DEI67" s="170"/>
      <c r="DEJ67" s="170"/>
      <c r="DEK67" s="170"/>
      <c r="DEL67" s="170"/>
      <c r="DEM67" s="170"/>
      <c r="DEN67" s="170"/>
      <c r="DEO67" s="170"/>
      <c r="DEP67" s="170"/>
      <c r="DEQ67" s="170"/>
      <c r="DER67" s="170"/>
      <c r="DES67" s="170"/>
      <c r="DET67" s="170"/>
      <c r="DEU67" s="170"/>
      <c r="DEV67" s="170"/>
      <c r="DEW67" s="170"/>
      <c r="DEX67" s="170"/>
      <c r="DEY67" s="170"/>
      <c r="DEZ67" s="170"/>
      <c r="DFA67" s="170"/>
      <c r="DFB67" s="170"/>
      <c r="DFC67" s="170"/>
      <c r="DFD67" s="170"/>
      <c r="DFE67" s="170"/>
      <c r="DFF67" s="170"/>
      <c r="DFG67" s="170"/>
      <c r="DFH67" s="170"/>
      <c r="DFI67" s="170"/>
      <c r="DFJ67" s="170"/>
      <c r="DFK67" s="170"/>
      <c r="DFL67" s="170"/>
      <c r="DFM67" s="170"/>
      <c r="DFN67" s="170"/>
      <c r="DFO67" s="170"/>
      <c r="DFP67" s="170"/>
      <c r="DFQ67" s="170"/>
      <c r="DFR67" s="170"/>
      <c r="DFS67" s="170"/>
      <c r="DFT67" s="170"/>
      <c r="DFU67" s="170"/>
      <c r="DFV67" s="170"/>
      <c r="DFW67" s="170"/>
      <c r="DFX67" s="170"/>
      <c r="DFY67" s="170"/>
      <c r="DFZ67" s="170"/>
      <c r="DGA67" s="170"/>
      <c r="DGB67" s="170"/>
      <c r="DGC67" s="170"/>
      <c r="DGD67" s="170"/>
      <c r="DGE67" s="170"/>
      <c r="DGF67" s="170"/>
      <c r="DGG67" s="170"/>
      <c r="DGH67" s="170"/>
      <c r="DGI67" s="170"/>
      <c r="DGJ67" s="170"/>
      <c r="DGK67" s="170"/>
      <c r="DGL67" s="170"/>
      <c r="DGM67" s="170"/>
      <c r="DGN67" s="170"/>
      <c r="DGO67" s="170"/>
      <c r="DGP67" s="170"/>
      <c r="DGQ67" s="170"/>
      <c r="DGR67" s="170"/>
      <c r="DGS67" s="170"/>
      <c r="DGT67" s="170"/>
      <c r="DGU67" s="170"/>
      <c r="DGV67" s="170"/>
      <c r="DGW67" s="170"/>
      <c r="DGX67" s="170"/>
      <c r="DGY67" s="170"/>
      <c r="DGZ67" s="170"/>
      <c r="DHA67" s="170"/>
      <c r="DHB67" s="170"/>
      <c r="DHC67" s="170"/>
      <c r="DHD67" s="170"/>
      <c r="DHE67" s="170"/>
      <c r="DHF67" s="170"/>
      <c r="DHG67" s="170"/>
      <c r="DHH67" s="170"/>
      <c r="DHI67" s="170"/>
      <c r="DHJ67" s="170"/>
      <c r="DHK67" s="170"/>
      <c r="DHL67" s="170"/>
      <c r="DHM67" s="170"/>
      <c r="DHN67" s="170"/>
      <c r="DHO67" s="170"/>
      <c r="DHP67" s="170"/>
      <c r="DHQ67" s="170"/>
      <c r="DHR67" s="170"/>
      <c r="DHS67" s="170"/>
      <c r="DHT67" s="170"/>
      <c r="DHU67" s="170"/>
      <c r="DHV67" s="170"/>
      <c r="DHW67" s="170"/>
      <c r="DHX67" s="170"/>
      <c r="DHY67" s="170"/>
      <c r="DHZ67" s="170"/>
      <c r="DIA67" s="170"/>
      <c r="DIB67" s="170"/>
      <c r="DIC67" s="170"/>
      <c r="DID67" s="170"/>
      <c r="DIE67" s="170"/>
      <c r="DIF67" s="170"/>
      <c r="DIG67" s="170"/>
      <c r="DIH67" s="170"/>
      <c r="DII67" s="170"/>
      <c r="DIJ67" s="170"/>
      <c r="DIK67" s="170"/>
      <c r="DIL67" s="170"/>
      <c r="DIM67" s="170"/>
      <c r="DIN67" s="170"/>
      <c r="DIO67" s="170"/>
      <c r="DIP67" s="170"/>
      <c r="DIQ67" s="170"/>
      <c r="DIR67" s="170"/>
      <c r="DIS67" s="170"/>
      <c r="DIT67" s="170"/>
      <c r="DIU67" s="170"/>
      <c r="DIV67" s="170"/>
      <c r="DIW67" s="170"/>
      <c r="DIX67" s="170"/>
      <c r="DIY67" s="170"/>
      <c r="DIZ67" s="170"/>
      <c r="DJA67" s="170"/>
      <c r="DJB67" s="170"/>
      <c r="DJC67" s="170"/>
      <c r="DJD67" s="170"/>
      <c r="DJE67" s="170"/>
      <c r="DJF67" s="170"/>
      <c r="DJG67" s="170"/>
      <c r="DJH67" s="170"/>
      <c r="DJI67" s="170"/>
      <c r="DJJ67" s="170"/>
      <c r="DJK67" s="170"/>
      <c r="DJL67" s="170"/>
      <c r="DJM67" s="170"/>
      <c r="DJN67" s="170"/>
      <c r="DJO67" s="170"/>
      <c r="DJP67" s="170"/>
      <c r="DJQ67" s="170"/>
      <c r="DJR67" s="170"/>
      <c r="DJS67" s="170"/>
      <c r="DJT67" s="170"/>
      <c r="DJU67" s="170"/>
      <c r="DJV67" s="170"/>
      <c r="DJW67" s="170"/>
      <c r="DJX67" s="170"/>
      <c r="DJY67" s="170"/>
      <c r="DJZ67" s="170"/>
      <c r="DKA67" s="170"/>
      <c r="DKB67" s="170"/>
      <c r="DKC67" s="170"/>
      <c r="DKD67" s="170"/>
      <c r="DKE67" s="170"/>
      <c r="DKF67" s="170"/>
      <c r="DKG67" s="170"/>
      <c r="DKH67" s="170"/>
      <c r="DKI67" s="170"/>
      <c r="DKJ67" s="170"/>
      <c r="DKK67" s="170"/>
      <c r="DKL67" s="170"/>
      <c r="DKM67" s="170"/>
      <c r="DKN67" s="170"/>
      <c r="DKO67" s="170"/>
      <c r="DKP67" s="170"/>
      <c r="DKQ67" s="170"/>
      <c r="DKR67" s="170"/>
      <c r="DKS67" s="170"/>
      <c r="DKT67" s="170"/>
      <c r="DKU67" s="170"/>
      <c r="DKV67" s="170"/>
      <c r="DKW67" s="170"/>
      <c r="DKX67" s="170"/>
      <c r="DKY67" s="170"/>
      <c r="DKZ67" s="170"/>
      <c r="DLA67" s="170"/>
      <c r="DLB67" s="170"/>
      <c r="DLC67" s="170"/>
      <c r="DLD67" s="170"/>
      <c r="DLE67" s="170"/>
      <c r="DLF67" s="170"/>
      <c r="DLG67" s="170"/>
      <c r="DLH67" s="170"/>
      <c r="DLI67" s="170"/>
      <c r="DLJ67" s="170"/>
      <c r="DLK67" s="170"/>
      <c r="DLL67" s="170"/>
      <c r="DLM67" s="170"/>
      <c r="DLN67" s="170"/>
      <c r="DLO67" s="170"/>
      <c r="DLP67" s="170"/>
      <c r="DLQ67" s="170"/>
      <c r="DLR67" s="170"/>
      <c r="DLS67" s="170"/>
      <c r="DLT67" s="170"/>
      <c r="DLU67" s="170"/>
      <c r="DLV67" s="170"/>
      <c r="DLW67" s="170"/>
      <c r="DLX67" s="170"/>
      <c r="DLY67" s="170"/>
      <c r="DLZ67" s="170"/>
      <c r="DMA67" s="170"/>
      <c r="DMB67" s="170"/>
      <c r="DMC67" s="170"/>
      <c r="DMD67" s="170"/>
      <c r="DME67" s="170"/>
      <c r="DMF67" s="170"/>
      <c r="DMG67" s="170"/>
      <c r="DMH67" s="170"/>
      <c r="DMI67" s="170"/>
      <c r="DMJ67" s="170"/>
      <c r="DMK67" s="170"/>
      <c r="DML67" s="170"/>
      <c r="DMM67" s="170"/>
      <c r="DMN67" s="170"/>
      <c r="DMO67" s="170"/>
      <c r="DMP67" s="170"/>
      <c r="DMQ67" s="170"/>
      <c r="DMR67" s="170"/>
      <c r="DMS67" s="170"/>
      <c r="DMT67" s="170"/>
      <c r="DMU67" s="170"/>
      <c r="DMV67" s="170"/>
      <c r="DMW67" s="170"/>
      <c r="DMX67" s="170"/>
      <c r="DMY67" s="170"/>
      <c r="DMZ67" s="170"/>
      <c r="DNA67" s="170"/>
      <c r="DNB67" s="170"/>
      <c r="DNC67" s="170"/>
      <c r="DND67" s="170"/>
      <c r="DNE67" s="170"/>
      <c r="DNF67" s="170"/>
      <c r="DNG67" s="170"/>
      <c r="DNH67" s="170"/>
      <c r="DNI67" s="170"/>
      <c r="DNJ67" s="170"/>
      <c r="DNK67" s="170"/>
      <c r="DNL67" s="170"/>
      <c r="DNM67" s="170"/>
      <c r="DNN67" s="170"/>
      <c r="DNO67" s="170"/>
      <c r="DNP67" s="170"/>
      <c r="DNQ67" s="170"/>
      <c r="DNR67" s="170"/>
      <c r="DNS67" s="170"/>
      <c r="DNT67" s="170"/>
      <c r="DNU67" s="170"/>
      <c r="DNV67" s="170"/>
      <c r="DNW67" s="170"/>
      <c r="DNX67" s="170"/>
      <c r="DNY67" s="170"/>
      <c r="DNZ67" s="170"/>
      <c r="DOA67" s="170"/>
      <c r="DOB67" s="170"/>
      <c r="DOC67" s="170"/>
      <c r="DOD67" s="170"/>
      <c r="DOE67" s="170"/>
      <c r="DOF67" s="170"/>
      <c r="DOG67" s="170"/>
      <c r="DOH67" s="170"/>
      <c r="DOI67" s="170"/>
      <c r="DOJ67" s="170"/>
      <c r="DOK67" s="170"/>
      <c r="DOL67" s="170"/>
      <c r="DOM67" s="170"/>
      <c r="DON67" s="170"/>
      <c r="DOO67" s="170"/>
      <c r="DOP67" s="170"/>
      <c r="DOQ67" s="170"/>
      <c r="DOR67" s="170"/>
      <c r="DOS67" s="170"/>
      <c r="DOT67" s="170"/>
      <c r="DOU67" s="170"/>
      <c r="DOV67" s="170"/>
      <c r="DOW67" s="170"/>
      <c r="DOX67" s="170"/>
      <c r="DOY67" s="170"/>
      <c r="DOZ67" s="170"/>
      <c r="DPA67" s="170"/>
      <c r="DPB67" s="170"/>
      <c r="DPC67" s="170"/>
      <c r="DPD67" s="170"/>
      <c r="DPE67" s="170"/>
      <c r="DPF67" s="170"/>
      <c r="DPG67" s="170"/>
      <c r="DPH67" s="170"/>
      <c r="DPI67" s="170"/>
      <c r="DPJ67" s="170"/>
      <c r="DPK67" s="170"/>
      <c r="DPL67" s="170"/>
      <c r="DPM67" s="170"/>
      <c r="DPN67" s="170"/>
      <c r="DPO67" s="170"/>
      <c r="DPP67" s="170"/>
      <c r="DPQ67" s="170"/>
      <c r="DPR67" s="170"/>
      <c r="DPS67" s="170"/>
      <c r="DPT67" s="170"/>
      <c r="DPU67" s="170"/>
      <c r="DPV67" s="170"/>
      <c r="DPW67" s="170"/>
      <c r="DPX67" s="170"/>
      <c r="DPY67" s="170"/>
      <c r="DPZ67" s="170"/>
      <c r="DQA67" s="170"/>
      <c r="DQB67" s="170"/>
      <c r="DQC67" s="170"/>
      <c r="DQD67" s="170"/>
      <c r="DQE67" s="170"/>
      <c r="DQF67" s="170"/>
      <c r="DQG67" s="170"/>
      <c r="DQH67" s="170"/>
      <c r="DQI67" s="170"/>
      <c r="DQJ67" s="170"/>
      <c r="DQK67" s="170"/>
      <c r="DQL67" s="170"/>
      <c r="DQM67" s="170"/>
      <c r="DQN67" s="170"/>
      <c r="DQO67" s="170"/>
      <c r="DQP67" s="170"/>
      <c r="DQQ67" s="170"/>
      <c r="DQR67" s="170"/>
      <c r="DQS67" s="170"/>
      <c r="DQT67" s="170"/>
      <c r="DQU67" s="170"/>
      <c r="DQV67" s="170"/>
      <c r="DQW67" s="170"/>
      <c r="DQX67" s="170"/>
      <c r="DQY67" s="170"/>
      <c r="DQZ67" s="170"/>
      <c r="DRA67" s="170"/>
      <c r="DRB67" s="170"/>
      <c r="DRC67" s="170"/>
      <c r="DRD67" s="170"/>
      <c r="DRE67" s="170"/>
      <c r="DRF67" s="170"/>
      <c r="DRG67" s="170"/>
      <c r="DRH67" s="170"/>
      <c r="DRI67" s="170"/>
      <c r="DRJ67" s="170"/>
      <c r="DRK67" s="170"/>
      <c r="DRL67" s="170"/>
      <c r="DRM67" s="170"/>
      <c r="DRN67" s="170"/>
      <c r="DRO67" s="170"/>
      <c r="DRP67" s="170"/>
      <c r="DRQ67" s="170"/>
      <c r="DRR67" s="170"/>
      <c r="DRS67" s="170"/>
      <c r="DRT67" s="170"/>
      <c r="DRU67" s="170"/>
      <c r="DRV67" s="170"/>
      <c r="DRW67" s="170"/>
      <c r="DRX67" s="170"/>
      <c r="DRY67" s="170"/>
      <c r="DRZ67" s="170"/>
      <c r="DSA67" s="170"/>
      <c r="DSB67" s="170"/>
      <c r="DSC67" s="170"/>
      <c r="DSD67" s="170"/>
      <c r="DSE67" s="170"/>
      <c r="DSF67" s="170"/>
      <c r="DSG67" s="170"/>
      <c r="DSH67" s="170"/>
      <c r="DSI67" s="170"/>
      <c r="DSJ67" s="170"/>
      <c r="DSK67" s="170"/>
      <c r="DSL67" s="170"/>
      <c r="DSM67" s="170"/>
      <c r="DSN67" s="170"/>
      <c r="DSO67" s="170"/>
      <c r="DSP67" s="170"/>
      <c r="DSQ67" s="170"/>
      <c r="DSR67" s="170"/>
      <c r="DSS67" s="170"/>
      <c r="DST67" s="170"/>
      <c r="DSU67" s="170"/>
      <c r="DSV67" s="170"/>
      <c r="DSW67" s="170"/>
      <c r="DSX67" s="170"/>
      <c r="DSY67" s="170"/>
      <c r="DSZ67" s="170"/>
      <c r="DTA67" s="170"/>
      <c r="DTB67" s="170"/>
      <c r="DTC67" s="170"/>
      <c r="DTD67" s="170"/>
      <c r="DTE67" s="170"/>
      <c r="DTF67" s="170"/>
      <c r="DTG67" s="170"/>
      <c r="DTH67" s="170"/>
      <c r="DTI67" s="170"/>
      <c r="DTJ67" s="170"/>
      <c r="DTK67" s="170"/>
      <c r="DTL67" s="170"/>
      <c r="DTM67" s="170"/>
      <c r="DTN67" s="170"/>
      <c r="DTO67" s="170"/>
      <c r="DTP67" s="170"/>
      <c r="DTQ67" s="170"/>
      <c r="DTR67" s="170"/>
      <c r="DTS67" s="170"/>
      <c r="DTT67" s="170"/>
      <c r="DTU67" s="170"/>
      <c r="DTV67" s="170"/>
      <c r="DTW67" s="170"/>
      <c r="DTX67" s="170"/>
      <c r="DTY67" s="170"/>
      <c r="DTZ67" s="170"/>
      <c r="DUA67" s="170"/>
      <c r="DUB67" s="170"/>
      <c r="DUC67" s="170"/>
      <c r="DUD67" s="170"/>
      <c r="DUE67" s="170"/>
      <c r="DUF67" s="170"/>
      <c r="DUG67" s="170"/>
      <c r="DUH67" s="170"/>
      <c r="DUI67" s="170"/>
      <c r="DUJ67" s="170"/>
      <c r="DUK67" s="170"/>
      <c r="DUL67" s="170"/>
      <c r="DUM67" s="170"/>
      <c r="DUN67" s="170"/>
      <c r="DUO67" s="170"/>
      <c r="DUP67" s="170"/>
      <c r="DUQ67" s="170"/>
      <c r="DUR67" s="170"/>
      <c r="DUS67" s="170"/>
      <c r="DUT67" s="170"/>
      <c r="DUU67" s="170"/>
      <c r="DUV67" s="170"/>
      <c r="DUW67" s="170"/>
      <c r="DUX67" s="170"/>
      <c r="DUY67" s="170"/>
      <c r="DUZ67" s="170"/>
      <c r="DVA67" s="170"/>
      <c r="DVB67" s="170"/>
      <c r="DVC67" s="170"/>
      <c r="DVD67" s="170"/>
      <c r="DVE67" s="170"/>
      <c r="DVF67" s="170"/>
      <c r="DVG67" s="170"/>
      <c r="DVH67" s="170"/>
      <c r="DVI67" s="170"/>
      <c r="DVJ67" s="170"/>
      <c r="DVK67" s="170"/>
      <c r="DVL67" s="170"/>
      <c r="DVM67" s="170"/>
      <c r="DVN67" s="170"/>
      <c r="DVO67" s="170"/>
      <c r="DVP67" s="170"/>
      <c r="DVQ67" s="170"/>
      <c r="DVR67" s="170"/>
      <c r="DVS67" s="170"/>
      <c r="DVT67" s="170"/>
      <c r="DVU67" s="170"/>
      <c r="DVV67" s="170"/>
      <c r="DVW67" s="170"/>
      <c r="DVX67" s="170"/>
      <c r="DVY67" s="170"/>
      <c r="DVZ67" s="170"/>
      <c r="DWA67" s="170"/>
      <c r="DWB67" s="170"/>
      <c r="DWC67" s="170"/>
      <c r="DWD67" s="170"/>
      <c r="DWE67" s="170"/>
      <c r="DWF67" s="170"/>
      <c r="DWG67" s="170"/>
      <c r="DWH67" s="170"/>
      <c r="DWI67" s="170"/>
      <c r="DWJ67" s="170"/>
      <c r="DWK67" s="170"/>
      <c r="DWL67" s="170"/>
      <c r="DWM67" s="170"/>
      <c r="DWN67" s="170"/>
      <c r="DWO67" s="170"/>
      <c r="DWP67" s="170"/>
      <c r="DWQ67" s="170"/>
      <c r="DWR67" s="170"/>
      <c r="DWS67" s="170"/>
      <c r="DWT67" s="170"/>
      <c r="DWU67" s="170"/>
      <c r="DWV67" s="170"/>
      <c r="DWW67" s="170"/>
      <c r="DWX67" s="170"/>
      <c r="DWY67" s="170"/>
      <c r="DWZ67" s="170"/>
      <c r="DXA67" s="170"/>
      <c r="DXB67" s="170"/>
      <c r="DXC67" s="170"/>
      <c r="DXD67" s="170"/>
      <c r="DXE67" s="170"/>
      <c r="DXF67" s="170"/>
      <c r="DXG67" s="170"/>
      <c r="DXH67" s="170"/>
      <c r="DXI67" s="170"/>
      <c r="DXJ67" s="170"/>
      <c r="DXK67" s="170"/>
      <c r="DXL67" s="170"/>
      <c r="DXM67" s="170"/>
      <c r="DXN67" s="170"/>
      <c r="DXO67" s="170"/>
      <c r="DXP67" s="170"/>
      <c r="DXQ67" s="170"/>
      <c r="DXR67" s="170"/>
      <c r="DXS67" s="170"/>
      <c r="DXT67" s="170"/>
      <c r="DXU67" s="170"/>
      <c r="DXV67" s="170"/>
      <c r="DXW67" s="170"/>
      <c r="DXX67" s="170"/>
      <c r="DXY67" s="170"/>
      <c r="DXZ67" s="170"/>
      <c r="DYA67" s="170"/>
      <c r="DYB67" s="170"/>
      <c r="DYC67" s="170"/>
      <c r="DYD67" s="170"/>
      <c r="DYE67" s="170"/>
      <c r="DYF67" s="170"/>
      <c r="DYG67" s="170"/>
      <c r="DYH67" s="170"/>
      <c r="DYI67" s="170"/>
      <c r="DYJ67" s="170"/>
      <c r="DYK67" s="170"/>
      <c r="DYL67" s="170"/>
      <c r="DYM67" s="170"/>
      <c r="DYN67" s="170"/>
      <c r="DYO67" s="170"/>
      <c r="DYP67" s="170"/>
      <c r="DYQ67" s="170"/>
      <c r="DYR67" s="170"/>
      <c r="DYS67" s="170"/>
      <c r="DYT67" s="170"/>
      <c r="DYU67" s="170"/>
      <c r="DYV67" s="170"/>
      <c r="DYW67" s="170"/>
      <c r="DYX67" s="170"/>
      <c r="DYY67" s="170"/>
      <c r="DYZ67" s="170"/>
      <c r="DZA67" s="170"/>
      <c r="DZB67" s="170"/>
      <c r="DZC67" s="170"/>
      <c r="DZD67" s="170"/>
      <c r="DZE67" s="170"/>
      <c r="DZF67" s="170"/>
      <c r="DZG67" s="170"/>
      <c r="DZH67" s="170"/>
      <c r="DZI67" s="170"/>
      <c r="DZJ67" s="170"/>
      <c r="DZK67" s="170"/>
      <c r="DZL67" s="170"/>
      <c r="DZM67" s="170"/>
      <c r="DZN67" s="170"/>
      <c r="DZO67" s="170"/>
      <c r="DZP67" s="170"/>
      <c r="DZQ67" s="170"/>
      <c r="DZR67" s="170"/>
      <c r="DZS67" s="170"/>
      <c r="DZT67" s="170"/>
      <c r="DZU67" s="170"/>
      <c r="DZV67" s="170"/>
      <c r="DZW67" s="170"/>
      <c r="DZX67" s="170"/>
      <c r="DZY67" s="170"/>
      <c r="DZZ67" s="170"/>
      <c r="EAA67" s="170"/>
      <c r="EAB67" s="170"/>
      <c r="EAC67" s="170"/>
      <c r="EAD67" s="170"/>
      <c r="EAE67" s="170"/>
      <c r="EAF67" s="170"/>
      <c r="EAG67" s="170"/>
      <c r="EAH67" s="170"/>
      <c r="EAI67" s="170"/>
      <c r="EAJ67" s="170"/>
      <c r="EAK67" s="170"/>
      <c r="EAL67" s="170"/>
      <c r="EAM67" s="170"/>
      <c r="EAN67" s="170"/>
      <c r="EAO67" s="170"/>
      <c r="EAP67" s="170"/>
      <c r="EAQ67" s="170"/>
      <c r="EAR67" s="170"/>
      <c r="EAS67" s="170"/>
      <c r="EAT67" s="170"/>
      <c r="EAU67" s="170"/>
      <c r="EAV67" s="170"/>
      <c r="EAW67" s="170"/>
      <c r="EAX67" s="170"/>
      <c r="EAY67" s="170"/>
      <c r="EAZ67" s="170"/>
      <c r="EBA67" s="170"/>
      <c r="EBB67" s="170"/>
      <c r="EBC67" s="170"/>
      <c r="EBD67" s="170"/>
      <c r="EBE67" s="170"/>
      <c r="EBF67" s="170"/>
      <c r="EBG67" s="170"/>
      <c r="EBH67" s="170"/>
      <c r="EBI67" s="170"/>
      <c r="EBJ67" s="170"/>
      <c r="EBK67" s="170"/>
      <c r="EBL67" s="170"/>
      <c r="EBM67" s="170"/>
      <c r="EBN67" s="170"/>
      <c r="EBO67" s="170"/>
      <c r="EBP67" s="170"/>
      <c r="EBQ67" s="170"/>
      <c r="EBR67" s="170"/>
      <c r="EBS67" s="170"/>
      <c r="EBT67" s="170"/>
      <c r="EBU67" s="170"/>
      <c r="EBV67" s="170"/>
      <c r="EBW67" s="170"/>
      <c r="EBX67" s="170"/>
      <c r="EBY67" s="170"/>
      <c r="EBZ67" s="170"/>
      <c r="ECA67" s="170"/>
      <c r="ECB67" s="170"/>
      <c r="ECC67" s="170"/>
      <c r="ECD67" s="170"/>
      <c r="ECE67" s="170"/>
      <c r="ECF67" s="170"/>
      <c r="ECG67" s="170"/>
      <c r="ECH67" s="170"/>
      <c r="ECI67" s="170"/>
      <c r="ECJ67" s="170"/>
      <c r="ECK67" s="170"/>
      <c r="ECL67" s="170"/>
      <c r="ECM67" s="170"/>
      <c r="ECN67" s="170"/>
      <c r="ECO67" s="170"/>
      <c r="ECP67" s="170"/>
      <c r="ECQ67" s="170"/>
      <c r="ECR67" s="170"/>
      <c r="ECS67" s="170"/>
      <c r="ECT67" s="170"/>
      <c r="ECU67" s="170"/>
      <c r="ECV67" s="170"/>
      <c r="ECW67" s="170"/>
      <c r="ECX67" s="170"/>
      <c r="ECY67" s="170"/>
      <c r="ECZ67" s="170"/>
      <c r="EDA67" s="170"/>
      <c r="EDB67" s="170"/>
      <c r="EDC67" s="170"/>
      <c r="EDD67" s="170"/>
      <c r="EDE67" s="170"/>
      <c r="EDF67" s="170"/>
      <c r="EDG67" s="170"/>
      <c r="EDH67" s="170"/>
      <c r="EDI67" s="170"/>
      <c r="EDJ67" s="170"/>
      <c r="EDK67" s="170"/>
      <c r="EDL67" s="170"/>
      <c r="EDM67" s="170"/>
      <c r="EDN67" s="170"/>
      <c r="EDO67" s="170"/>
      <c r="EDP67" s="170"/>
      <c r="EDQ67" s="170"/>
      <c r="EDR67" s="170"/>
      <c r="EDS67" s="170"/>
      <c r="EDT67" s="170"/>
      <c r="EDU67" s="170"/>
      <c r="EDV67" s="170"/>
      <c r="EDW67" s="170"/>
      <c r="EDX67" s="170"/>
      <c r="EDY67" s="170"/>
      <c r="EDZ67" s="170"/>
      <c r="EEA67" s="170"/>
      <c r="EEB67" s="170"/>
      <c r="EEC67" s="170"/>
      <c r="EED67" s="170"/>
      <c r="EEE67" s="170"/>
      <c r="EEF67" s="170"/>
      <c r="EEG67" s="170"/>
      <c r="EEH67" s="170"/>
      <c r="EEI67" s="170"/>
      <c r="EEJ67" s="170"/>
      <c r="EEK67" s="170"/>
      <c r="EEL67" s="170"/>
      <c r="EEM67" s="170"/>
      <c r="EEN67" s="170"/>
      <c r="EEO67" s="170"/>
      <c r="EEP67" s="170"/>
      <c r="EEQ67" s="170"/>
      <c r="EER67" s="170"/>
      <c r="EES67" s="170"/>
      <c r="EET67" s="170"/>
      <c r="EEU67" s="170"/>
      <c r="EEV67" s="170"/>
      <c r="EEW67" s="170"/>
      <c r="EEX67" s="170"/>
      <c r="EEY67" s="170"/>
      <c r="EEZ67" s="170"/>
      <c r="EFA67" s="170"/>
      <c r="EFB67" s="170"/>
      <c r="EFC67" s="170"/>
      <c r="EFD67" s="170"/>
      <c r="EFE67" s="170"/>
      <c r="EFF67" s="170"/>
      <c r="EFG67" s="170"/>
      <c r="EFH67" s="170"/>
      <c r="EFI67" s="170"/>
      <c r="EFJ67" s="170"/>
      <c r="EFK67" s="170"/>
      <c r="EFL67" s="170"/>
      <c r="EFM67" s="170"/>
      <c r="EFN67" s="170"/>
      <c r="EFO67" s="170"/>
      <c r="EFP67" s="170"/>
      <c r="EFQ67" s="170"/>
      <c r="EFR67" s="170"/>
      <c r="EFS67" s="170"/>
      <c r="EFT67" s="170"/>
      <c r="EFU67" s="170"/>
      <c r="EFV67" s="170"/>
      <c r="EFW67" s="170"/>
      <c r="EFX67" s="170"/>
      <c r="EFY67" s="170"/>
      <c r="EFZ67" s="170"/>
      <c r="EGA67" s="170"/>
      <c r="EGB67" s="170"/>
      <c r="EGC67" s="170"/>
      <c r="EGD67" s="170"/>
      <c r="EGE67" s="170"/>
      <c r="EGF67" s="170"/>
      <c r="EGG67" s="170"/>
      <c r="EGH67" s="170"/>
      <c r="EGI67" s="170"/>
      <c r="EGJ67" s="170"/>
      <c r="EGK67" s="170"/>
      <c r="EGL67" s="170"/>
      <c r="EGM67" s="170"/>
      <c r="EGN67" s="170"/>
      <c r="EGO67" s="170"/>
      <c r="EGP67" s="170"/>
      <c r="EGQ67" s="170"/>
      <c r="EGR67" s="170"/>
      <c r="EGS67" s="170"/>
      <c r="EGT67" s="170"/>
      <c r="EGU67" s="170"/>
      <c r="EGV67" s="170"/>
      <c r="EGW67" s="170"/>
      <c r="EGX67" s="170"/>
      <c r="EGY67" s="170"/>
      <c r="EGZ67" s="170"/>
      <c r="EHA67" s="170"/>
      <c r="EHB67" s="170"/>
      <c r="EHC67" s="170"/>
      <c r="EHD67" s="170"/>
      <c r="EHE67" s="170"/>
      <c r="EHF67" s="170"/>
      <c r="EHG67" s="170"/>
      <c r="EHH67" s="170"/>
      <c r="EHI67" s="170"/>
      <c r="EHJ67" s="170"/>
      <c r="EHK67" s="170"/>
      <c r="EHL67" s="170"/>
      <c r="EHM67" s="170"/>
      <c r="EHN67" s="170"/>
      <c r="EHO67" s="170"/>
      <c r="EHP67" s="170"/>
      <c r="EHQ67" s="170"/>
      <c r="EHR67" s="170"/>
      <c r="EHS67" s="170"/>
      <c r="EHT67" s="170"/>
      <c r="EHU67" s="170"/>
      <c r="EHV67" s="170"/>
      <c r="EHW67" s="170"/>
      <c r="EHX67" s="170"/>
      <c r="EHY67" s="170"/>
      <c r="EHZ67" s="170"/>
      <c r="EIA67" s="170"/>
      <c r="EIB67" s="170"/>
      <c r="EIC67" s="170"/>
      <c r="EID67" s="170"/>
      <c r="EIE67" s="170"/>
      <c r="EIF67" s="170"/>
      <c r="EIG67" s="170"/>
      <c r="EIH67" s="170"/>
      <c r="EII67" s="170"/>
      <c r="EIJ67" s="170"/>
      <c r="EIK67" s="170"/>
      <c r="EIL67" s="170"/>
      <c r="EIM67" s="170"/>
      <c r="EIN67" s="170"/>
      <c r="EIO67" s="170"/>
      <c r="EIP67" s="170"/>
      <c r="EIQ67" s="170"/>
      <c r="EIR67" s="170"/>
      <c r="EIS67" s="170"/>
      <c r="EIT67" s="170"/>
      <c r="EIU67" s="170"/>
      <c r="EIV67" s="170"/>
      <c r="EIW67" s="170"/>
      <c r="EIX67" s="170"/>
      <c r="EIY67" s="170"/>
      <c r="EIZ67" s="170"/>
      <c r="EJA67" s="170"/>
      <c r="EJB67" s="170"/>
      <c r="EJC67" s="170"/>
      <c r="EJD67" s="170"/>
      <c r="EJE67" s="170"/>
      <c r="EJF67" s="170"/>
      <c r="EJG67" s="170"/>
      <c r="EJH67" s="170"/>
      <c r="EJI67" s="170"/>
      <c r="EJJ67" s="170"/>
      <c r="EJK67" s="170"/>
      <c r="EJL67" s="170"/>
      <c r="EJM67" s="170"/>
      <c r="EJN67" s="170"/>
      <c r="EJO67" s="170"/>
      <c r="EJP67" s="170"/>
      <c r="EJQ67" s="170"/>
      <c r="EJR67" s="170"/>
      <c r="EJS67" s="170"/>
      <c r="EJT67" s="170"/>
      <c r="EJU67" s="170"/>
      <c r="EJV67" s="170"/>
      <c r="EJW67" s="170"/>
      <c r="EJX67" s="170"/>
      <c r="EJY67" s="170"/>
      <c r="EJZ67" s="170"/>
      <c r="EKA67" s="170"/>
      <c r="EKB67" s="170"/>
      <c r="EKC67" s="170"/>
      <c r="EKD67" s="170"/>
      <c r="EKE67" s="170"/>
      <c r="EKF67" s="170"/>
      <c r="EKG67" s="170"/>
      <c r="EKH67" s="170"/>
      <c r="EKI67" s="170"/>
      <c r="EKJ67" s="170"/>
      <c r="EKK67" s="170"/>
      <c r="EKL67" s="170"/>
      <c r="EKM67" s="170"/>
      <c r="EKN67" s="170"/>
      <c r="EKO67" s="170"/>
      <c r="EKP67" s="170"/>
      <c r="EKQ67" s="170"/>
      <c r="EKR67" s="170"/>
      <c r="EKS67" s="170"/>
      <c r="EKT67" s="170"/>
      <c r="EKU67" s="170"/>
      <c r="EKV67" s="170"/>
      <c r="EKW67" s="170"/>
      <c r="EKX67" s="170"/>
      <c r="EKY67" s="170"/>
      <c r="EKZ67" s="170"/>
      <c r="ELA67" s="170"/>
      <c r="ELB67" s="170"/>
      <c r="ELC67" s="170"/>
      <c r="ELD67" s="170"/>
      <c r="ELE67" s="170"/>
      <c r="ELF67" s="170"/>
      <c r="ELG67" s="170"/>
      <c r="ELH67" s="170"/>
      <c r="ELI67" s="170"/>
      <c r="ELJ67" s="170"/>
      <c r="ELK67" s="170"/>
      <c r="ELL67" s="170"/>
      <c r="ELM67" s="170"/>
      <c r="ELN67" s="170"/>
      <c r="ELO67" s="170"/>
      <c r="ELP67" s="170"/>
      <c r="ELQ67" s="170"/>
      <c r="ELR67" s="170"/>
      <c r="ELS67" s="170"/>
      <c r="ELT67" s="170"/>
      <c r="ELU67" s="170"/>
      <c r="ELV67" s="170"/>
      <c r="ELW67" s="170"/>
      <c r="ELX67" s="170"/>
      <c r="ELY67" s="170"/>
      <c r="ELZ67" s="170"/>
      <c r="EMA67" s="170"/>
      <c r="EMB67" s="170"/>
      <c r="EMC67" s="170"/>
      <c r="EMD67" s="170"/>
      <c r="EME67" s="170"/>
      <c r="EMF67" s="170"/>
      <c r="EMG67" s="170"/>
      <c r="EMH67" s="170"/>
      <c r="EMI67" s="170"/>
      <c r="EMJ67" s="170"/>
      <c r="EMK67" s="170"/>
      <c r="EML67" s="170"/>
      <c r="EMM67" s="170"/>
      <c r="EMN67" s="170"/>
      <c r="EMO67" s="170"/>
      <c r="EMP67" s="170"/>
      <c r="EMQ67" s="170"/>
      <c r="EMR67" s="170"/>
      <c r="EMS67" s="170"/>
      <c r="EMT67" s="170"/>
      <c r="EMU67" s="170"/>
      <c r="EMV67" s="170"/>
      <c r="EMW67" s="170"/>
      <c r="EMX67" s="170"/>
      <c r="EMY67" s="170"/>
      <c r="EMZ67" s="170"/>
      <c r="ENA67" s="170"/>
      <c r="ENB67" s="170"/>
      <c r="ENC67" s="170"/>
      <c r="END67" s="170"/>
      <c r="ENE67" s="170"/>
      <c r="ENF67" s="170"/>
      <c r="ENG67" s="170"/>
      <c r="ENH67" s="170"/>
      <c r="ENI67" s="170"/>
      <c r="ENJ67" s="170"/>
      <c r="ENK67" s="170"/>
      <c r="ENL67" s="170"/>
      <c r="ENM67" s="170"/>
      <c r="ENN67" s="170"/>
      <c r="ENO67" s="170"/>
      <c r="ENP67" s="170"/>
      <c r="ENQ67" s="170"/>
      <c r="ENR67" s="170"/>
      <c r="ENS67" s="170"/>
      <c r="ENT67" s="170"/>
      <c r="ENU67" s="170"/>
      <c r="ENV67" s="170"/>
      <c r="ENW67" s="170"/>
      <c r="ENX67" s="170"/>
      <c r="ENY67" s="170"/>
      <c r="ENZ67" s="170"/>
      <c r="EOA67" s="170"/>
      <c r="EOB67" s="170"/>
      <c r="EOC67" s="170"/>
      <c r="EOD67" s="170"/>
      <c r="EOE67" s="170"/>
      <c r="EOF67" s="170"/>
      <c r="EOG67" s="170"/>
      <c r="EOH67" s="170"/>
      <c r="EOI67" s="170"/>
      <c r="EOJ67" s="170"/>
      <c r="EOK67" s="170"/>
      <c r="EOL67" s="170"/>
      <c r="EOM67" s="170"/>
      <c r="EON67" s="170"/>
      <c r="EOO67" s="170"/>
      <c r="EOP67" s="170"/>
      <c r="EOQ67" s="170"/>
      <c r="EOR67" s="170"/>
      <c r="EOS67" s="170"/>
      <c r="EOT67" s="170"/>
      <c r="EOU67" s="170"/>
      <c r="EOV67" s="170"/>
      <c r="EOW67" s="170"/>
      <c r="EOX67" s="170"/>
      <c r="EOY67" s="170"/>
      <c r="EOZ67" s="170"/>
      <c r="EPA67" s="170"/>
      <c r="EPB67" s="170"/>
      <c r="EPC67" s="170"/>
      <c r="EPD67" s="170"/>
      <c r="EPE67" s="170"/>
      <c r="EPF67" s="170"/>
      <c r="EPG67" s="170"/>
      <c r="EPH67" s="170"/>
      <c r="EPI67" s="170"/>
      <c r="EPJ67" s="170"/>
      <c r="EPK67" s="170"/>
      <c r="EPL67" s="170"/>
      <c r="EPM67" s="170"/>
      <c r="EPN67" s="170"/>
      <c r="EPO67" s="170"/>
      <c r="EPP67" s="170"/>
      <c r="EPQ67" s="170"/>
      <c r="EPR67" s="170"/>
      <c r="EPS67" s="170"/>
      <c r="EPT67" s="170"/>
      <c r="EPU67" s="170"/>
      <c r="EPV67" s="170"/>
      <c r="EPW67" s="170"/>
      <c r="EPX67" s="170"/>
      <c r="EPY67" s="170"/>
      <c r="EPZ67" s="170"/>
      <c r="EQA67" s="170"/>
      <c r="EQB67" s="170"/>
      <c r="EQC67" s="170"/>
      <c r="EQD67" s="170"/>
      <c r="EQE67" s="170"/>
      <c r="EQF67" s="170"/>
      <c r="EQG67" s="170"/>
      <c r="EQH67" s="170"/>
      <c r="EQI67" s="170"/>
      <c r="EQJ67" s="170"/>
      <c r="EQK67" s="170"/>
      <c r="EQL67" s="170"/>
      <c r="EQM67" s="170"/>
      <c r="EQN67" s="170"/>
      <c r="EQO67" s="170"/>
      <c r="EQP67" s="170"/>
      <c r="EQQ67" s="170"/>
      <c r="EQR67" s="170"/>
      <c r="EQS67" s="170"/>
      <c r="EQT67" s="170"/>
      <c r="EQU67" s="170"/>
      <c r="EQV67" s="170"/>
      <c r="EQW67" s="170"/>
      <c r="EQX67" s="170"/>
      <c r="EQY67" s="170"/>
      <c r="EQZ67" s="170"/>
      <c r="ERA67" s="170"/>
      <c r="ERB67" s="170"/>
      <c r="ERC67" s="170"/>
      <c r="ERD67" s="170"/>
      <c r="ERE67" s="170"/>
      <c r="ERF67" s="170"/>
      <c r="ERG67" s="170"/>
      <c r="ERH67" s="170"/>
      <c r="ERI67" s="170"/>
      <c r="ERJ67" s="170"/>
      <c r="ERK67" s="170"/>
      <c r="ERL67" s="170"/>
      <c r="ERM67" s="170"/>
      <c r="ERN67" s="170"/>
      <c r="ERO67" s="170"/>
      <c r="ERP67" s="170"/>
      <c r="ERQ67" s="170"/>
      <c r="ERR67" s="170"/>
      <c r="ERS67" s="170"/>
      <c r="ERT67" s="170"/>
      <c r="ERU67" s="170"/>
      <c r="ERV67" s="170"/>
      <c r="ERW67" s="170"/>
      <c r="ERX67" s="170"/>
      <c r="ERY67" s="170"/>
      <c r="ERZ67" s="170"/>
      <c r="ESA67" s="170"/>
      <c r="ESB67" s="170"/>
      <c r="ESC67" s="170"/>
      <c r="ESD67" s="170"/>
      <c r="ESE67" s="170"/>
      <c r="ESF67" s="170"/>
      <c r="ESG67" s="170"/>
      <c r="ESH67" s="170"/>
      <c r="ESI67" s="170"/>
      <c r="ESJ67" s="170"/>
      <c r="ESK67" s="170"/>
      <c r="ESL67" s="170"/>
      <c r="ESM67" s="170"/>
      <c r="ESN67" s="170"/>
      <c r="ESO67" s="170"/>
      <c r="ESP67" s="170"/>
      <c r="ESQ67" s="170"/>
      <c r="ESR67" s="170"/>
      <c r="ESS67" s="170"/>
      <c r="EST67" s="170"/>
      <c r="ESU67" s="170"/>
      <c r="ESV67" s="170"/>
      <c r="ESW67" s="170"/>
      <c r="ESX67" s="170"/>
      <c r="ESY67" s="170"/>
      <c r="ESZ67" s="170"/>
      <c r="ETA67" s="170"/>
      <c r="ETB67" s="170"/>
      <c r="ETC67" s="170"/>
      <c r="ETD67" s="170"/>
      <c r="ETE67" s="170"/>
      <c r="ETF67" s="170"/>
      <c r="ETG67" s="170"/>
      <c r="ETH67" s="170"/>
      <c r="ETI67" s="170"/>
      <c r="ETJ67" s="170"/>
      <c r="ETK67" s="170"/>
      <c r="ETL67" s="170"/>
      <c r="ETM67" s="170"/>
      <c r="ETN67" s="170"/>
      <c r="ETO67" s="170"/>
      <c r="ETP67" s="170"/>
      <c r="ETQ67" s="170"/>
      <c r="ETR67" s="170"/>
      <c r="ETS67" s="170"/>
      <c r="ETT67" s="170"/>
      <c r="ETU67" s="170"/>
      <c r="ETV67" s="170"/>
      <c r="ETW67" s="170"/>
      <c r="ETX67" s="170"/>
      <c r="ETY67" s="170"/>
      <c r="ETZ67" s="170"/>
      <c r="EUA67" s="170"/>
      <c r="EUB67" s="170"/>
      <c r="EUC67" s="170"/>
      <c r="EUD67" s="170"/>
      <c r="EUE67" s="170"/>
      <c r="EUF67" s="170"/>
      <c r="EUG67" s="170"/>
      <c r="EUH67" s="170"/>
      <c r="EUI67" s="170"/>
      <c r="EUJ67" s="170"/>
      <c r="EUK67" s="170"/>
      <c r="EUL67" s="170"/>
      <c r="EUM67" s="170"/>
      <c r="EUN67" s="170"/>
      <c r="EUO67" s="170"/>
      <c r="EUP67" s="170"/>
      <c r="EUQ67" s="170"/>
      <c r="EUR67" s="170"/>
      <c r="EUS67" s="170"/>
      <c r="EUT67" s="170"/>
      <c r="EUU67" s="170"/>
      <c r="EUV67" s="170"/>
      <c r="EUW67" s="170"/>
      <c r="EUX67" s="170"/>
      <c r="EUY67" s="170"/>
      <c r="EUZ67" s="170"/>
      <c r="EVA67" s="170"/>
      <c r="EVB67" s="170"/>
      <c r="EVC67" s="170"/>
      <c r="EVD67" s="170"/>
      <c r="EVE67" s="170"/>
      <c r="EVF67" s="170"/>
      <c r="EVG67" s="170"/>
      <c r="EVH67" s="170"/>
      <c r="EVI67" s="170"/>
      <c r="EVJ67" s="170"/>
      <c r="EVK67" s="170"/>
      <c r="EVL67" s="170"/>
      <c r="EVM67" s="170"/>
      <c r="EVN67" s="170"/>
      <c r="EVO67" s="170"/>
      <c r="EVP67" s="170"/>
      <c r="EVQ67" s="170"/>
      <c r="EVR67" s="170"/>
      <c r="EVS67" s="170"/>
      <c r="EVT67" s="170"/>
      <c r="EVU67" s="170"/>
      <c r="EVV67" s="170"/>
      <c r="EVW67" s="170"/>
      <c r="EVX67" s="170"/>
      <c r="EVY67" s="170"/>
      <c r="EVZ67" s="170"/>
      <c r="EWA67" s="170"/>
      <c r="EWB67" s="170"/>
      <c r="EWC67" s="170"/>
      <c r="EWD67" s="170"/>
      <c r="EWE67" s="170"/>
      <c r="EWF67" s="170"/>
      <c r="EWG67" s="170"/>
      <c r="EWH67" s="170"/>
      <c r="EWI67" s="170"/>
      <c r="EWJ67" s="170"/>
      <c r="EWK67" s="170"/>
      <c r="EWL67" s="170"/>
      <c r="EWM67" s="170"/>
      <c r="EWN67" s="170"/>
      <c r="EWO67" s="170"/>
      <c r="EWP67" s="170"/>
      <c r="EWQ67" s="170"/>
      <c r="EWR67" s="170"/>
      <c r="EWS67" s="170"/>
      <c r="EWT67" s="170"/>
      <c r="EWU67" s="170"/>
      <c r="EWV67" s="170"/>
      <c r="EWW67" s="170"/>
      <c r="EWX67" s="170"/>
      <c r="EWY67" s="170"/>
      <c r="EWZ67" s="170"/>
      <c r="EXA67" s="170"/>
      <c r="EXB67" s="170"/>
      <c r="EXC67" s="170"/>
      <c r="EXD67" s="170"/>
      <c r="EXE67" s="170"/>
      <c r="EXF67" s="170"/>
      <c r="EXG67" s="170"/>
      <c r="EXH67" s="170"/>
      <c r="EXI67" s="170"/>
      <c r="EXJ67" s="170"/>
      <c r="EXK67" s="170"/>
      <c r="EXL67" s="170"/>
      <c r="EXM67" s="170"/>
      <c r="EXN67" s="170"/>
      <c r="EXO67" s="170"/>
      <c r="EXP67" s="170"/>
      <c r="EXQ67" s="170"/>
      <c r="EXR67" s="170"/>
      <c r="EXS67" s="170"/>
      <c r="EXT67" s="170"/>
      <c r="EXU67" s="170"/>
      <c r="EXV67" s="170"/>
      <c r="EXW67" s="170"/>
      <c r="EXX67" s="170"/>
      <c r="EXY67" s="170"/>
      <c r="EXZ67" s="170"/>
      <c r="EYA67" s="170"/>
      <c r="EYB67" s="170"/>
      <c r="EYC67" s="170"/>
      <c r="EYD67" s="170"/>
      <c r="EYE67" s="170"/>
      <c r="EYF67" s="170"/>
      <c r="EYG67" s="170"/>
      <c r="EYH67" s="170"/>
      <c r="EYI67" s="170"/>
      <c r="EYJ67" s="170"/>
      <c r="EYK67" s="170"/>
      <c r="EYL67" s="170"/>
      <c r="EYM67" s="170"/>
      <c r="EYN67" s="170"/>
      <c r="EYO67" s="170"/>
      <c r="EYP67" s="170"/>
      <c r="EYQ67" s="170"/>
      <c r="EYR67" s="170"/>
      <c r="EYS67" s="170"/>
      <c r="EYT67" s="170"/>
      <c r="EYU67" s="170"/>
      <c r="EYV67" s="170"/>
      <c r="EYW67" s="170"/>
      <c r="EYX67" s="170"/>
      <c r="EYY67" s="170"/>
      <c r="EYZ67" s="170"/>
      <c r="EZA67" s="170"/>
      <c r="EZB67" s="170"/>
      <c r="EZC67" s="170"/>
      <c r="EZD67" s="170"/>
      <c r="EZE67" s="170"/>
      <c r="EZF67" s="170"/>
      <c r="EZG67" s="170"/>
      <c r="EZH67" s="170"/>
      <c r="EZI67" s="170"/>
      <c r="EZJ67" s="170"/>
      <c r="EZK67" s="170"/>
      <c r="EZL67" s="170"/>
      <c r="EZM67" s="170"/>
      <c r="EZN67" s="170"/>
      <c r="EZO67" s="170"/>
      <c r="EZP67" s="170"/>
      <c r="EZQ67" s="170"/>
      <c r="EZR67" s="170"/>
      <c r="EZS67" s="170"/>
      <c r="EZT67" s="170"/>
      <c r="EZU67" s="170"/>
      <c r="EZV67" s="170"/>
      <c r="EZW67" s="170"/>
      <c r="EZX67" s="170"/>
      <c r="EZY67" s="170"/>
      <c r="EZZ67" s="170"/>
      <c r="FAA67" s="170"/>
      <c r="FAB67" s="170"/>
      <c r="FAC67" s="170"/>
      <c r="FAD67" s="170"/>
      <c r="FAE67" s="170"/>
      <c r="FAF67" s="170"/>
      <c r="FAG67" s="170"/>
      <c r="FAH67" s="170"/>
      <c r="FAI67" s="170"/>
      <c r="FAJ67" s="170"/>
      <c r="FAK67" s="170"/>
      <c r="FAL67" s="170"/>
      <c r="FAM67" s="170"/>
      <c r="FAN67" s="170"/>
      <c r="FAO67" s="170"/>
      <c r="FAP67" s="170"/>
      <c r="FAQ67" s="170"/>
      <c r="FAR67" s="170"/>
      <c r="FAS67" s="170"/>
      <c r="FAT67" s="170"/>
      <c r="FAU67" s="170"/>
      <c r="FAV67" s="170"/>
      <c r="FAW67" s="170"/>
      <c r="FAX67" s="170"/>
      <c r="FAY67" s="170"/>
      <c r="FAZ67" s="170"/>
      <c r="FBA67" s="170"/>
      <c r="FBB67" s="170"/>
      <c r="FBC67" s="170"/>
      <c r="FBD67" s="170"/>
      <c r="FBE67" s="170"/>
      <c r="FBF67" s="170"/>
      <c r="FBG67" s="170"/>
      <c r="FBH67" s="170"/>
      <c r="FBI67" s="170"/>
      <c r="FBJ67" s="170"/>
      <c r="FBK67" s="170"/>
      <c r="FBL67" s="170"/>
      <c r="FBM67" s="170"/>
      <c r="FBN67" s="170"/>
      <c r="FBO67" s="170"/>
      <c r="FBP67" s="170"/>
      <c r="FBQ67" s="170"/>
      <c r="FBR67" s="170"/>
      <c r="FBS67" s="170"/>
      <c r="FBT67" s="170"/>
      <c r="FBU67" s="170"/>
      <c r="FBV67" s="170"/>
      <c r="FBW67" s="170"/>
      <c r="FBX67" s="170"/>
      <c r="FBY67" s="170"/>
      <c r="FBZ67" s="170"/>
      <c r="FCA67" s="170"/>
      <c r="FCB67" s="170"/>
      <c r="FCC67" s="170"/>
      <c r="FCD67" s="170"/>
      <c r="FCE67" s="170"/>
      <c r="FCF67" s="170"/>
      <c r="FCG67" s="170"/>
      <c r="FCH67" s="170"/>
      <c r="FCI67" s="170"/>
      <c r="FCJ67" s="170"/>
      <c r="FCK67" s="170"/>
      <c r="FCL67" s="170"/>
      <c r="FCM67" s="170"/>
      <c r="FCN67" s="170"/>
      <c r="FCO67" s="170"/>
      <c r="FCP67" s="170"/>
      <c r="FCQ67" s="170"/>
      <c r="FCR67" s="170"/>
      <c r="FCS67" s="170"/>
      <c r="FCT67" s="170"/>
      <c r="FCU67" s="170"/>
      <c r="FCV67" s="170"/>
      <c r="FCW67" s="170"/>
      <c r="FCX67" s="170"/>
      <c r="FCY67" s="170"/>
      <c r="FCZ67" s="170"/>
      <c r="FDA67" s="170"/>
      <c r="FDB67" s="170"/>
      <c r="FDC67" s="170"/>
      <c r="FDD67" s="170"/>
      <c r="FDE67" s="170"/>
      <c r="FDF67" s="170"/>
      <c r="FDG67" s="170"/>
      <c r="FDH67" s="170"/>
      <c r="FDI67" s="170"/>
      <c r="FDJ67" s="170"/>
      <c r="FDK67" s="170"/>
      <c r="FDL67" s="170"/>
      <c r="FDM67" s="170"/>
      <c r="FDN67" s="170"/>
      <c r="FDO67" s="170"/>
      <c r="FDP67" s="170"/>
      <c r="FDQ67" s="170"/>
      <c r="FDR67" s="170"/>
      <c r="FDS67" s="170"/>
      <c r="FDT67" s="170"/>
      <c r="FDU67" s="170"/>
      <c r="FDV67" s="170"/>
      <c r="FDW67" s="170"/>
      <c r="FDX67" s="170"/>
      <c r="FDY67" s="170"/>
      <c r="FDZ67" s="170"/>
      <c r="FEA67" s="170"/>
      <c r="FEB67" s="170"/>
      <c r="FEC67" s="170"/>
      <c r="FED67" s="170"/>
      <c r="FEE67" s="170"/>
      <c r="FEF67" s="170"/>
      <c r="FEG67" s="170"/>
      <c r="FEH67" s="170"/>
      <c r="FEI67" s="170"/>
      <c r="FEJ67" s="170"/>
      <c r="FEK67" s="170"/>
      <c r="FEL67" s="170"/>
      <c r="FEM67" s="170"/>
      <c r="FEN67" s="170"/>
      <c r="FEO67" s="170"/>
      <c r="FEP67" s="170"/>
      <c r="FEQ67" s="170"/>
      <c r="FER67" s="170"/>
      <c r="FES67" s="170"/>
      <c r="FET67" s="170"/>
      <c r="FEU67" s="170"/>
      <c r="FEV67" s="170"/>
      <c r="FEW67" s="170"/>
      <c r="FEX67" s="170"/>
      <c r="FEY67" s="170"/>
      <c r="FEZ67" s="170"/>
      <c r="FFA67" s="170"/>
      <c r="FFB67" s="170"/>
      <c r="FFC67" s="170"/>
      <c r="FFD67" s="170"/>
      <c r="FFE67" s="170"/>
      <c r="FFF67" s="170"/>
      <c r="FFG67" s="170"/>
      <c r="FFH67" s="170"/>
      <c r="FFI67" s="170"/>
      <c r="FFJ67" s="170"/>
      <c r="FFK67" s="170"/>
      <c r="FFL67" s="170"/>
      <c r="FFM67" s="170"/>
      <c r="FFN67" s="170"/>
      <c r="FFO67" s="170"/>
      <c r="FFP67" s="170"/>
      <c r="FFQ67" s="170"/>
      <c r="FFR67" s="170"/>
      <c r="FFS67" s="170"/>
      <c r="FFT67" s="170"/>
      <c r="FFU67" s="170"/>
      <c r="FFV67" s="170"/>
      <c r="FFW67" s="170"/>
      <c r="FFX67" s="170"/>
      <c r="FFY67" s="170"/>
      <c r="FFZ67" s="170"/>
      <c r="FGA67" s="170"/>
      <c r="FGB67" s="170"/>
      <c r="FGC67" s="170"/>
      <c r="FGD67" s="170"/>
      <c r="FGE67" s="170"/>
      <c r="FGF67" s="170"/>
      <c r="FGG67" s="170"/>
      <c r="FGH67" s="170"/>
      <c r="FGI67" s="170"/>
      <c r="FGJ67" s="170"/>
      <c r="FGK67" s="170"/>
      <c r="FGL67" s="170"/>
      <c r="FGM67" s="170"/>
      <c r="FGN67" s="170"/>
      <c r="FGO67" s="170"/>
      <c r="FGP67" s="170"/>
      <c r="FGQ67" s="170"/>
      <c r="FGR67" s="170"/>
      <c r="FGS67" s="170"/>
      <c r="FGT67" s="170"/>
      <c r="FGU67" s="170"/>
      <c r="FGV67" s="170"/>
      <c r="FGW67" s="170"/>
      <c r="FGX67" s="170"/>
      <c r="FGY67" s="170"/>
      <c r="FGZ67" s="170"/>
      <c r="FHA67" s="170"/>
      <c r="FHB67" s="170"/>
      <c r="FHC67" s="170"/>
      <c r="FHD67" s="170"/>
      <c r="FHE67" s="170"/>
      <c r="FHF67" s="170"/>
      <c r="FHG67" s="170"/>
      <c r="FHH67" s="170"/>
      <c r="FHI67" s="170"/>
      <c r="FHJ67" s="170"/>
      <c r="FHK67" s="170"/>
      <c r="FHL67" s="170"/>
      <c r="FHM67" s="170"/>
      <c r="FHN67" s="170"/>
      <c r="FHO67" s="170"/>
      <c r="FHP67" s="170"/>
      <c r="FHQ67" s="170"/>
      <c r="FHR67" s="170"/>
      <c r="FHS67" s="170"/>
      <c r="FHT67" s="170"/>
      <c r="FHU67" s="170"/>
      <c r="FHV67" s="170"/>
      <c r="FHW67" s="170"/>
      <c r="FHX67" s="170"/>
      <c r="FHY67" s="170"/>
      <c r="FHZ67" s="170"/>
      <c r="FIA67" s="170"/>
      <c r="FIB67" s="170"/>
      <c r="FIC67" s="170"/>
      <c r="FID67" s="170"/>
      <c r="FIE67" s="170"/>
      <c r="FIF67" s="170"/>
      <c r="FIG67" s="170"/>
      <c r="FIH67" s="170"/>
      <c r="FII67" s="170"/>
      <c r="FIJ67" s="170"/>
      <c r="FIK67" s="170"/>
      <c r="FIL67" s="170"/>
      <c r="FIM67" s="170"/>
      <c r="FIN67" s="170"/>
      <c r="FIO67" s="170"/>
      <c r="FIP67" s="170"/>
      <c r="FIQ67" s="170"/>
      <c r="FIR67" s="170"/>
      <c r="FIS67" s="170"/>
      <c r="FIT67" s="170"/>
      <c r="FIU67" s="170"/>
      <c r="FIV67" s="170"/>
      <c r="FIW67" s="170"/>
      <c r="FIX67" s="170"/>
      <c r="FIY67" s="170"/>
      <c r="FIZ67" s="170"/>
      <c r="FJA67" s="170"/>
      <c r="FJB67" s="170"/>
      <c r="FJC67" s="170"/>
      <c r="FJD67" s="170"/>
      <c r="FJE67" s="170"/>
      <c r="FJF67" s="170"/>
      <c r="FJG67" s="170"/>
      <c r="FJH67" s="170"/>
      <c r="FJI67" s="170"/>
      <c r="FJJ67" s="170"/>
      <c r="FJK67" s="170"/>
      <c r="FJL67" s="170"/>
      <c r="FJM67" s="170"/>
      <c r="FJN67" s="170"/>
      <c r="FJO67" s="170"/>
      <c r="FJP67" s="170"/>
      <c r="FJQ67" s="170"/>
      <c r="FJR67" s="170"/>
      <c r="FJS67" s="170"/>
      <c r="FJT67" s="170"/>
      <c r="FJU67" s="170"/>
      <c r="FJV67" s="170"/>
      <c r="FJW67" s="170"/>
      <c r="FJX67" s="170"/>
      <c r="FJY67" s="170"/>
      <c r="FJZ67" s="170"/>
      <c r="FKA67" s="170"/>
      <c r="FKB67" s="170"/>
      <c r="FKC67" s="170"/>
      <c r="FKD67" s="170"/>
      <c r="FKE67" s="170"/>
      <c r="FKF67" s="170"/>
      <c r="FKG67" s="170"/>
      <c r="FKH67" s="170"/>
      <c r="FKI67" s="170"/>
      <c r="FKJ67" s="170"/>
      <c r="FKK67" s="170"/>
      <c r="FKL67" s="170"/>
      <c r="FKM67" s="170"/>
      <c r="FKN67" s="170"/>
      <c r="FKO67" s="170"/>
      <c r="FKP67" s="170"/>
      <c r="FKQ67" s="170"/>
      <c r="FKR67" s="170"/>
      <c r="FKS67" s="170"/>
      <c r="FKT67" s="170"/>
      <c r="FKU67" s="170"/>
      <c r="FKV67" s="170"/>
      <c r="FKW67" s="170"/>
      <c r="FKX67" s="170"/>
      <c r="FKY67" s="170"/>
      <c r="FKZ67" s="170"/>
      <c r="FLA67" s="170"/>
      <c r="FLB67" s="170"/>
      <c r="FLC67" s="170"/>
      <c r="FLD67" s="170"/>
      <c r="FLE67" s="170"/>
      <c r="FLF67" s="170"/>
      <c r="FLG67" s="170"/>
      <c r="FLH67" s="170"/>
      <c r="FLI67" s="170"/>
      <c r="FLJ67" s="170"/>
      <c r="FLK67" s="170"/>
      <c r="FLL67" s="170"/>
      <c r="FLM67" s="170"/>
      <c r="FLN67" s="170"/>
      <c r="FLO67" s="170"/>
      <c r="FLP67" s="170"/>
      <c r="FLQ67" s="170"/>
      <c r="FLR67" s="170"/>
      <c r="FLS67" s="170"/>
      <c r="FLT67" s="170"/>
      <c r="FLU67" s="170"/>
      <c r="FLV67" s="170"/>
      <c r="FLW67" s="170"/>
      <c r="FLX67" s="170"/>
      <c r="FLY67" s="170"/>
      <c r="FLZ67" s="170"/>
      <c r="FMA67" s="170"/>
      <c r="FMB67" s="170"/>
      <c r="FMC67" s="170"/>
      <c r="FMD67" s="170"/>
      <c r="FME67" s="170"/>
      <c r="FMF67" s="170"/>
      <c r="FMG67" s="170"/>
      <c r="FMH67" s="170"/>
      <c r="FMI67" s="170"/>
      <c r="FMJ67" s="170"/>
      <c r="FMK67" s="170"/>
      <c r="FML67" s="170"/>
      <c r="FMM67" s="170"/>
      <c r="FMN67" s="170"/>
      <c r="FMO67" s="170"/>
      <c r="FMP67" s="170"/>
      <c r="FMQ67" s="170"/>
      <c r="FMR67" s="170"/>
      <c r="FMS67" s="170"/>
      <c r="FMT67" s="170"/>
      <c r="FMU67" s="170"/>
      <c r="FMV67" s="170"/>
      <c r="FMW67" s="170"/>
      <c r="FMX67" s="170"/>
      <c r="FMY67" s="170"/>
      <c r="FMZ67" s="170"/>
      <c r="FNA67" s="170"/>
      <c r="FNB67" s="170"/>
      <c r="FNC67" s="170"/>
      <c r="FND67" s="170"/>
      <c r="FNE67" s="170"/>
      <c r="FNF67" s="170"/>
      <c r="FNG67" s="170"/>
      <c r="FNH67" s="170"/>
      <c r="FNI67" s="170"/>
      <c r="FNJ67" s="170"/>
      <c r="FNK67" s="170"/>
      <c r="FNL67" s="170"/>
      <c r="FNM67" s="170"/>
      <c r="FNN67" s="170"/>
      <c r="FNO67" s="170"/>
      <c r="FNP67" s="170"/>
      <c r="FNQ67" s="170"/>
      <c r="FNR67" s="170"/>
      <c r="FNS67" s="170"/>
      <c r="FNT67" s="170"/>
      <c r="FNU67" s="170"/>
      <c r="FNV67" s="170"/>
      <c r="FNW67" s="170"/>
      <c r="FNX67" s="170"/>
      <c r="FNY67" s="170"/>
      <c r="FNZ67" s="170"/>
      <c r="FOA67" s="170"/>
      <c r="FOB67" s="170"/>
      <c r="FOC67" s="170"/>
      <c r="FOD67" s="170"/>
      <c r="FOE67" s="170"/>
      <c r="FOF67" s="170"/>
      <c r="FOG67" s="170"/>
      <c r="FOH67" s="170"/>
      <c r="FOI67" s="170"/>
      <c r="FOJ67" s="170"/>
      <c r="FOK67" s="170"/>
      <c r="FOL67" s="170"/>
      <c r="FOM67" s="170"/>
      <c r="FON67" s="170"/>
      <c r="FOO67" s="170"/>
      <c r="FOP67" s="170"/>
      <c r="FOQ67" s="170"/>
      <c r="FOR67" s="170"/>
      <c r="FOS67" s="170"/>
      <c r="FOT67" s="170"/>
      <c r="FOU67" s="170"/>
      <c r="FOV67" s="170"/>
      <c r="FOW67" s="170"/>
      <c r="FOX67" s="170"/>
      <c r="FOY67" s="170"/>
      <c r="FOZ67" s="170"/>
      <c r="FPA67" s="170"/>
      <c r="FPB67" s="170"/>
      <c r="FPC67" s="170"/>
      <c r="FPD67" s="170"/>
      <c r="FPE67" s="170"/>
      <c r="FPF67" s="170"/>
      <c r="FPG67" s="170"/>
      <c r="FPH67" s="170"/>
      <c r="FPI67" s="170"/>
      <c r="FPJ67" s="170"/>
      <c r="FPK67" s="170"/>
      <c r="FPL67" s="170"/>
      <c r="FPM67" s="170"/>
      <c r="FPN67" s="170"/>
      <c r="FPO67" s="170"/>
      <c r="FPP67" s="170"/>
      <c r="FPQ67" s="170"/>
      <c r="FPR67" s="170"/>
      <c r="FPS67" s="170"/>
      <c r="FPT67" s="170"/>
      <c r="FPU67" s="170"/>
      <c r="FPV67" s="170"/>
      <c r="FPW67" s="170"/>
      <c r="FPX67" s="170"/>
      <c r="FPY67" s="170"/>
      <c r="FPZ67" s="170"/>
      <c r="FQA67" s="170"/>
      <c r="FQB67" s="170"/>
      <c r="FQC67" s="170"/>
      <c r="FQD67" s="170"/>
      <c r="FQE67" s="170"/>
      <c r="FQF67" s="170"/>
      <c r="FQG67" s="170"/>
      <c r="FQH67" s="170"/>
      <c r="FQI67" s="170"/>
      <c r="FQJ67" s="170"/>
      <c r="FQK67" s="170"/>
      <c r="FQL67" s="170"/>
      <c r="FQM67" s="170"/>
      <c r="FQN67" s="170"/>
      <c r="FQO67" s="170"/>
      <c r="FQP67" s="170"/>
      <c r="FQQ67" s="170"/>
      <c r="FQR67" s="170"/>
      <c r="FQS67" s="170"/>
      <c r="FQT67" s="170"/>
      <c r="FQU67" s="170"/>
      <c r="FQV67" s="170"/>
      <c r="FQW67" s="170"/>
      <c r="FQX67" s="170"/>
      <c r="FQY67" s="170"/>
      <c r="FQZ67" s="170"/>
      <c r="FRA67" s="170"/>
      <c r="FRB67" s="170"/>
      <c r="FRC67" s="170"/>
      <c r="FRD67" s="170"/>
      <c r="FRE67" s="170"/>
      <c r="FRF67" s="170"/>
      <c r="FRG67" s="170"/>
      <c r="FRH67" s="170"/>
      <c r="FRI67" s="170"/>
      <c r="FRJ67" s="170"/>
      <c r="FRK67" s="170"/>
      <c r="FRL67" s="170"/>
      <c r="FRM67" s="170"/>
      <c r="FRN67" s="170"/>
      <c r="FRO67" s="170"/>
      <c r="FRP67" s="170"/>
      <c r="FRQ67" s="170"/>
      <c r="FRR67" s="170"/>
      <c r="FRS67" s="170"/>
      <c r="FRT67" s="170"/>
      <c r="FRU67" s="170"/>
      <c r="FRV67" s="170"/>
      <c r="FRW67" s="170"/>
      <c r="FRX67" s="170"/>
      <c r="FRY67" s="170"/>
      <c r="FRZ67" s="170"/>
      <c r="FSA67" s="170"/>
      <c r="FSB67" s="170"/>
      <c r="FSC67" s="170"/>
      <c r="FSD67" s="170"/>
      <c r="FSE67" s="170"/>
      <c r="FSF67" s="170"/>
      <c r="FSG67" s="170"/>
      <c r="FSH67" s="170"/>
      <c r="FSI67" s="170"/>
      <c r="FSJ67" s="170"/>
      <c r="FSK67" s="170"/>
      <c r="FSL67" s="170"/>
      <c r="FSM67" s="170"/>
      <c r="FSN67" s="170"/>
      <c r="FSO67" s="170"/>
      <c r="FSP67" s="170"/>
      <c r="FSQ67" s="170"/>
      <c r="FSR67" s="170"/>
      <c r="FSS67" s="170"/>
      <c r="FST67" s="170"/>
      <c r="FSU67" s="170"/>
      <c r="FSV67" s="170"/>
      <c r="FSW67" s="170"/>
      <c r="FSX67" s="170"/>
      <c r="FSY67" s="170"/>
      <c r="FSZ67" s="170"/>
      <c r="FTA67" s="170"/>
      <c r="FTB67" s="170"/>
      <c r="FTC67" s="170"/>
      <c r="FTD67" s="170"/>
      <c r="FTE67" s="170"/>
      <c r="FTF67" s="170"/>
      <c r="FTG67" s="170"/>
      <c r="FTH67" s="170"/>
      <c r="FTI67" s="170"/>
      <c r="FTJ67" s="170"/>
      <c r="FTK67" s="170"/>
      <c r="FTL67" s="170"/>
      <c r="FTM67" s="170"/>
      <c r="FTN67" s="170"/>
      <c r="FTO67" s="170"/>
      <c r="FTP67" s="170"/>
      <c r="FTQ67" s="170"/>
      <c r="FTR67" s="170"/>
      <c r="FTS67" s="170"/>
      <c r="FTT67" s="170"/>
      <c r="FTU67" s="170"/>
      <c r="FTV67" s="170"/>
      <c r="FTW67" s="170"/>
      <c r="FTX67" s="170"/>
      <c r="FTY67" s="170"/>
      <c r="FTZ67" s="170"/>
      <c r="FUA67" s="170"/>
      <c r="FUB67" s="170"/>
      <c r="FUC67" s="170"/>
      <c r="FUD67" s="170"/>
      <c r="FUE67" s="170"/>
      <c r="FUF67" s="170"/>
      <c r="FUG67" s="170"/>
      <c r="FUH67" s="170"/>
      <c r="FUI67" s="170"/>
      <c r="FUJ67" s="170"/>
      <c r="FUK67" s="170"/>
      <c r="FUL67" s="170"/>
      <c r="FUM67" s="170"/>
      <c r="FUN67" s="170"/>
      <c r="FUO67" s="170"/>
      <c r="FUP67" s="170"/>
      <c r="FUQ67" s="170"/>
      <c r="FUR67" s="170"/>
      <c r="FUS67" s="170"/>
      <c r="FUT67" s="170"/>
      <c r="FUU67" s="170"/>
      <c r="FUV67" s="170"/>
      <c r="FUW67" s="170"/>
      <c r="FUX67" s="170"/>
      <c r="FUY67" s="170"/>
      <c r="FUZ67" s="170"/>
      <c r="FVA67" s="170"/>
      <c r="FVB67" s="170"/>
      <c r="FVC67" s="170"/>
      <c r="FVD67" s="170"/>
      <c r="FVE67" s="170"/>
      <c r="FVF67" s="170"/>
      <c r="FVG67" s="170"/>
      <c r="FVH67" s="170"/>
      <c r="FVI67" s="170"/>
      <c r="FVJ67" s="170"/>
      <c r="FVK67" s="170"/>
      <c r="FVL67" s="170"/>
      <c r="FVM67" s="170"/>
      <c r="FVN67" s="170"/>
      <c r="FVO67" s="170"/>
      <c r="FVP67" s="170"/>
      <c r="FVQ67" s="170"/>
      <c r="FVR67" s="170"/>
      <c r="FVS67" s="170"/>
      <c r="FVT67" s="170"/>
      <c r="FVU67" s="170"/>
      <c r="FVV67" s="170"/>
      <c r="FVW67" s="170"/>
      <c r="FVX67" s="170"/>
      <c r="FVY67" s="170"/>
      <c r="FVZ67" s="170"/>
      <c r="FWA67" s="170"/>
      <c r="FWB67" s="170"/>
      <c r="FWC67" s="170"/>
      <c r="FWD67" s="170"/>
      <c r="FWE67" s="170"/>
      <c r="FWF67" s="170"/>
      <c r="FWG67" s="170"/>
      <c r="FWH67" s="170"/>
      <c r="FWI67" s="170"/>
      <c r="FWJ67" s="170"/>
      <c r="FWK67" s="170"/>
      <c r="FWL67" s="170"/>
      <c r="FWM67" s="170"/>
      <c r="FWN67" s="170"/>
      <c r="FWO67" s="170"/>
      <c r="FWP67" s="170"/>
      <c r="FWQ67" s="170"/>
      <c r="FWR67" s="170"/>
      <c r="FWS67" s="170"/>
      <c r="FWT67" s="170"/>
      <c r="FWU67" s="170"/>
      <c r="FWV67" s="170"/>
      <c r="FWW67" s="170"/>
      <c r="FWX67" s="170"/>
      <c r="FWY67" s="170"/>
      <c r="FWZ67" s="170"/>
      <c r="FXA67" s="170"/>
      <c r="FXB67" s="170"/>
      <c r="FXC67" s="170"/>
      <c r="FXD67" s="170"/>
      <c r="FXE67" s="170"/>
      <c r="FXF67" s="170"/>
      <c r="FXG67" s="170"/>
      <c r="FXH67" s="170"/>
      <c r="FXI67" s="170"/>
      <c r="FXJ67" s="170"/>
      <c r="FXK67" s="170"/>
      <c r="FXL67" s="170"/>
      <c r="FXM67" s="170"/>
      <c r="FXN67" s="170"/>
      <c r="FXO67" s="170"/>
      <c r="FXP67" s="170"/>
      <c r="FXQ67" s="170"/>
      <c r="FXR67" s="170"/>
      <c r="FXS67" s="170"/>
      <c r="FXT67" s="170"/>
      <c r="FXU67" s="170"/>
      <c r="FXV67" s="170"/>
      <c r="FXW67" s="170"/>
      <c r="FXX67" s="170"/>
      <c r="FXY67" s="170"/>
      <c r="FXZ67" s="170"/>
      <c r="FYA67" s="170"/>
      <c r="FYB67" s="170"/>
      <c r="FYC67" s="170"/>
      <c r="FYD67" s="170"/>
      <c r="FYE67" s="170"/>
      <c r="FYF67" s="170"/>
      <c r="FYG67" s="170"/>
      <c r="FYH67" s="170"/>
      <c r="FYI67" s="170"/>
      <c r="FYJ67" s="170"/>
      <c r="FYK67" s="170"/>
      <c r="FYL67" s="170"/>
      <c r="FYM67" s="170"/>
      <c r="FYN67" s="170"/>
      <c r="FYO67" s="170"/>
      <c r="FYP67" s="170"/>
      <c r="FYQ67" s="170"/>
      <c r="FYR67" s="170"/>
      <c r="FYS67" s="170"/>
      <c r="FYT67" s="170"/>
      <c r="FYU67" s="170"/>
      <c r="FYV67" s="170"/>
      <c r="FYW67" s="170"/>
      <c r="FYX67" s="170"/>
      <c r="FYY67" s="170"/>
      <c r="FYZ67" s="170"/>
      <c r="FZA67" s="170"/>
      <c r="FZB67" s="170"/>
      <c r="FZC67" s="170"/>
      <c r="FZD67" s="170"/>
      <c r="FZE67" s="170"/>
      <c r="FZF67" s="170"/>
      <c r="FZG67" s="170"/>
      <c r="FZH67" s="170"/>
      <c r="FZI67" s="170"/>
      <c r="FZJ67" s="170"/>
      <c r="FZK67" s="170"/>
      <c r="FZL67" s="170"/>
      <c r="FZM67" s="170"/>
      <c r="FZN67" s="170"/>
      <c r="FZO67" s="170"/>
      <c r="FZP67" s="170"/>
      <c r="FZQ67" s="170"/>
      <c r="FZR67" s="170"/>
      <c r="FZS67" s="170"/>
      <c r="FZT67" s="170"/>
      <c r="FZU67" s="170"/>
      <c r="FZV67" s="170"/>
      <c r="FZW67" s="170"/>
      <c r="FZX67" s="170"/>
      <c r="FZY67" s="170"/>
      <c r="FZZ67" s="170"/>
      <c r="GAA67" s="170"/>
      <c r="GAB67" s="170"/>
      <c r="GAC67" s="170"/>
      <c r="GAD67" s="170"/>
      <c r="GAE67" s="170"/>
      <c r="GAF67" s="170"/>
      <c r="GAG67" s="170"/>
      <c r="GAH67" s="170"/>
      <c r="GAI67" s="170"/>
      <c r="GAJ67" s="170"/>
      <c r="GAK67" s="170"/>
      <c r="GAL67" s="170"/>
      <c r="GAM67" s="170"/>
      <c r="GAN67" s="170"/>
      <c r="GAO67" s="170"/>
      <c r="GAP67" s="170"/>
      <c r="GAQ67" s="170"/>
      <c r="GAR67" s="170"/>
      <c r="GAS67" s="170"/>
      <c r="GAT67" s="170"/>
      <c r="GAU67" s="170"/>
      <c r="GAV67" s="170"/>
      <c r="GAW67" s="170"/>
      <c r="GAX67" s="170"/>
      <c r="GAY67" s="170"/>
      <c r="GAZ67" s="170"/>
      <c r="GBA67" s="170"/>
      <c r="GBB67" s="170"/>
      <c r="GBC67" s="170"/>
      <c r="GBD67" s="170"/>
      <c r="GBE67" s="170"/>
      <c r="GBF67" s="170"/>
      <c r="GBG67" s="170"/>
      <c r="GBH67" s="170"/>
      <c r="GBI67" s="170"/>
      <c r="GBJ67" s="170"/>
      <c r="GBK67" s="170"/>
      <c r="GBL67" s="170"/>
      <c r="GBM67" s="170"/>
      <c r="GBN67" s="170"/>
      <c r="GBO67" s="170"/>
      <c r="GBP67" s="170"/>
      <c r="GBQ67" s="170"/>
      <c r="GBR67" s="170"/>
      <c r="GBS67" s="170"/>
      <c r="GBT67" s="170"/>
      <c r="GBU67" s="170"/>
      <c r="GBV67" s="170"/>
      <c r="GBW67" s="170"/>
      <c r="GBX67" s="170"/>
      <c r="GBY67" s="170"/>
      <c r="GBZ67" s="170"/>
      <c r="GCA67" s="170"/>
      <c r="GCB67" s="170"/>
      <c r="GCC67" s="170"/>
      <c r="GCD67" s="170"/>
      <c r="GCE67" s="170"/>
      <c r="GCF67" s="170"/>
      <c r="GCG67" s="170"/>
      <c r="GCH67" s="170"/>
      <c r="GCI67" s="170"/>
      <c r="GCJ67" s="170"/>
      <c r="GCK67" s="170"/>
      <c r="GCL67" s="170"/>
      <c r="GCM67" s="170"/>
      <c r="GCN67" s="170"/>
      <c r="GCO67" s="170"/>
      <c r="GCP67" s="170"/>
      <c r="GCQ67" s="170"/>
      <c r="GCR67" s="170"/>
      <c r="GCS67" s="170"/>
      <c r="GCT67" s="170"/>
      <c r="GCU67" s="170"/>
      <c r="GCV67" s="170"/>
      <c r="GCW67" s="170"/>
      <c r="GCX67" s="170"/>
      <c r="GCY67" s="170"/>
      <c r="GCZ67" s="170"/>
      <c r="GDA67" s="170"/>
      <c r="GDB67" s="170"/>
      <c r="GDC67" s="170"/>
      <c r="GDD67" s="170"/>
      <c r="GDE67" s="170"/>
      <c r="GDF67" s="170"/>
      <c r="GDG67" s="170"/>
      <c r="GDH67" s="170"/>
      <c r="GDI67" s="170"/>
      <c r="GDJ67" s="170"/>
      <c r="GDK67" s="170"/>
      <c r="GDL67" s="170"/>
      <c r="GDM67" s="170"/>
      <c r="GDN67" s="170"/>
      <c r="GDO67" s="170"/>
      <c r="GDP67" s="170"/>
      <c r="GDQ67" s="170"/>
      <c r="GDR67" s="170"/>
      <c r="GDS67" s="170"/>
      <c r="GDT67" s="170"/>
      <c r="GDU67" s="170"/>
      <c r="GDV67" s="170"/>
      <c r="GDW67" s="170"/>
      <c r="GDX67" s="170"/>
      <c r="GDY67" s="170"/>
      <c r="GDZ67" s="170"/>
      <c r="GEA67" s="170"/>
      <c r="GEB67" s="170"/>
      <c r="GEC67" s="170"/>
      <c r="GED67" s="170"/>
      <c r="GEE67" s="170"/>
      <c r="GEF67" s="170"/>
      <c r="GEG67" s="170"/>
      <c r="GEH67" s="170"/>
      <c r="GEI67" s="170"/>
      <c r="GEJ67" s="170"/>
      <c r="GEK67" s="170"/>
      <c r="GEL67" s="170"/>
      <c r="GEM67" s="170"/>
      <c r="GEN67" s="170"/>
      <c r="GEO67" s="170"/>
      <c r="GEP67" s="170"/>
      <c r="GEQ67" s="170"/>
      <c r="GER67" s="170"/>
      <c r="GES67" s="170"/>
      <c r="GET67" s="170"/>
      <c r="GEU67" s="170"/>
      <c r="GEV67" s="170"/>
      <c r="GEW67" s="170"/>
      <c r="GEX67" s="170"/>
      <c r="GEY67" s="170"/>
      <c r="GEZ67" s="170"/>
      <c r="GFA67" s="170"/>
      <c r="GFB67" s="170"/>
      <c r="GFC67" s="170"/>
      <c r="GFD67" s="170"/>
      <c r="GFE67" s="170"/>
      <c r="GFF67" s="170"/>
      <c r="GFG67" s="170"/>
      <c r="GFH67" s="170"/>
      <c r="GFI67" s="170"/>
      <c r="GFJ67" s="170"/>
      <c r="GFK67" s="170"/>
      <c r="GFL67" s="170"/>
      <c r="GFM67" s="170"/>
      <c r="GFN67" s="170"/>
      <c r="GFO67" s="170"/>
      <c r="GFP67" s="170"/>
      <c r="GFQ67" s="170"/>
      <c r="GFR67" s="170"/>
      <c r="GFS67" s="170"/>
      <c r="GFT67" s="170"/>
      <c r="GFU67" s="170"/>
      <c r="GFV67" s="170"/>
      <c r="GFW67" s="170"/>
      <c r="GFX67" s="170"/>
      <c r="GFY67" s="170"/>
      <c r="GFZ67" s="170"/>
      <c r="GGA67" s="170"/>
      <c r="GGB67" s="170"/>
      <c r="GGC67" s="170"/>
      <c r="GGD67" s="170"/>
      <c r="GGE67" s="170"/>
      <c r="GGF67" s="170"/>
      <c r="GGG67" s="170"/>
      <c r="GGH67" s="170"/>
      <c r="GGI67" s="170"/>
      <c r="GGJ67" s="170"/>
      <c r="GGK67" s="170"/>
      <c r="GGL67" s="170"/>
      <c r="GGM67" s="170"/>
      <c r="GGN67" s="170"/>
      <c r="GGO67" s="170"/>
      <c r="GGP67" s="170"/>
      <c r="GGQ67" s="170"/>
      <c r="GGR67" s="170"/>
      <c r="GGS67" s="170"/>
      <c r="GGT67" s="170"/>
      <c r="GGU67" s="170"/>
      <c r="GGV67" s="170"/>
      <c r="GGW67" s="170"/>
      <c r="GGX67" s="170"/>
      <c r="GGY67" s="170"/>
      <c r="GGZ67" s="170"/>
      <c r="GHA67" s="170"/>
      <c r="GHB67" s="170"/>
      <c r="GHC67" s="170"/>
      <c r="GHD67" s="170"/>
      <c r="GHE67" s="170"/>
      <c r="GHF67" s="170"/>
      <c r="GHG67" s="170"/>
      <c r="GHH67" s="170"/>
      <c r="GHI67" s="170"/>
      <c r="GHJ67" s="170"/>
      <c r="GHK67" s="170"/>
      <c r="GHL67" s="170"/>
      <c r="GHM67" s="170"/>
      <c r="GHN67" s="170"/>
      <c r="GHO67" s="170"/>
      <c r="GHP67" s="170"/>
      <c r="GHQ67" s="170"/>
      <c r="GHR67" s="170"/>
      <c r="GHS67" s="170"/>
      <c r="GHT67" s="170"/>
      <c r="GHU67" s="170"/>
      <c r="GHV67" s="170"/>
      <c r="GHW67" s="170"/>
      <c r="GHX67" s="170"/>
      <c r="GHY67" s="170"/>
      <c r="GHZ67" s="170"/>
      <c r="GIA67" s="170"/>
      <c r="GIB67" s="170"/>
      <c r="GIC67" s="170"/>
      <c r="GID67" s="170"/>
      <c r="GIE67" s="170"/>
      <c r="GIF67" s="170"/>
      <c r="GIG67" s="170"/>
      <c r="GIH67" s="170"/>
      <c r="GII67" s="170"/>
      <c r="GIJ67" s="170"/>
      <c r="GIK67" s="170"/>
      <c r="GIL67" s="170"/>
      <c r="GIM67" s="170"/>
      <c r="GIN67" s="170"/>
      <c r="GIO67" s="170"/>
      <c r="GIP67" s="170"/>
      <c r="GIQ67" s="170"/>
      <c r="GIR67" s="170"/>
      <c r="GIS67" s="170"/>
      <c r="GIT67" s="170"/>
      <c r="GIU67" s="170"/>
      <c r="GIV67" s="170"/>
      <c r="GIW67" s="170"/>
      <c r="GIX67" s="170"/>
      <c r="GIY67" s="170"/>
      <c r="GIZ67" s="170"/>
      <c r="GJA67" s="170"/>
      <c r="GJB67" s="170"/>
      <c r="GJC67" s="170"/>
      <c r="GJD67" s="170"/>
      <c r="GJE67" s="170"/>
      <c r="GJF67" s="170"/>
      <c r="GJG67" s="170"/>
      <c r="GJH67" s="170"/>
      <c r="GJI67" s="170"/>
      <c r="GJJ67" s="170"/>
      <c r="GJK67" s="170"/>
      <c r="GJL67" s="170"/>
      <c r="GJM67" s="170"/>
      <c r="GJN67" s="170"/>
      <c r="GJO67" s="170"/>
      <c r="GJP67" s="170"/>
      <c r="GJQ67" s="170"/>
      <c r="GJR67" s="170"/>
      <c r="GJS67" s="170"/>
      <c r="GJT67" s="170"/>
      <c r="GJU67" s="170"/>
      <c r="GJV67" s="170"/>
      <c r="GJW67" s="170"/>
      <c r="GJX67" s="170"/>
      <c r="GJY67" s="170"/>
      <c r="GJZ67" s="170"/>
      <c r="GKA67" s="170"/>
      <c r="GKB67" s="170"/>
      <c r="GKC67" s="170"/>
      <c r="GKD67" s="170"/>
      <c r="GKE67" s="170"/>
      <c r="GKF67" s="170"/>
      <c r="GKG67" s="170"/>
      <c r="GKH67" s="170"/>
      <c r="GKI67" s="170"/>
      <c r="GKJ67" s="170"/>
      <c r="GKK67" s="170"/>
      <c r="GKL67" s="170"/>
      <c r="GKM67" s="170"/>
      <c r="GKN67" s="170"/>
      <c r="GKO67" s="170"/>
      <c r="GKP67" s="170"/>
      <c r="GKQ67" s="170"/>
      <c r="GKR67" s="170"/>
      <c r="GKS67" s="170"/>
      <c r="GKT67" s="170"/>
      <c r="GKU67" s="170"/>
      <c r="GKV67" s="170"/>
      <c r="GKW67" s="170"/>
      <c r="GKX67" s="170"/>
      <c r="GKY67" s="170"/>
      <c r="GKZ67" s="170"/>
      <c r="GLA67" s="170"/>
      <c r="GLB67" s="170"/>
      <c r="GLC67" s="170"/>
      <c r="GLD67" s="170"/>
      <c r="GLE67" s="170"/>
      <c r="GLF67" s="170"/>
      <c r="GLG67" s="170"/>
      <c r="GLH67" s="170"/>
      <c r="GLI67" s="170"/>
      <c r="GLJ67" s="170"/>
      <c r="GLK67" s="170"/>
      <c r="GLL67" s="170"/>
      <c r="GLM67" s="170"/>
      <c r="GLN67" s="170"/>
      <c r="GLO67" s="170"/>
      <c r="GLP67" s="170"/>
      <c r="GLQ67" s="170"/>
      <c r="GLR67" s="170"/>
      <c r="GLS67" s="170"/>
      <c r="GLT67" s="170"/>
      <c r="GLU67" s="170"/>
      <c r="GLV67" s="170"/>
      <c r="GLW67" s="170"/>
      <c r="GLX67" s="170"/>
      <c r="GLY67" s="170"/>
      <c r="GLZ67" s="170"/>
      <c r="GMA67" s="170"/>
      <c r="GMB67" s="170"/>
      <c r="GMC67" s="170"/>
      <c r="GMD67" s="170"/>
      <c r="GME67" s="170"/>
      <c r="GMF67" s="170"/>
      <c r="GMG67" s="170"/>
      <c r="GMH67" s="170"/>
      <c r="GMI67" s="170"/>
      <c r="GMJ67" s="170"/>
      <c r="GMK67" s="170"/>
      <c r="GML67" s="170"/>
      <c r="GMM67" s="170"/>
      <c r="GMN67" s="170"/>
      <c r="GMO67" s="170"/>
      <c r="GMP67" s="170"/>
      <c r="GMQ67" s="170"/>
      <c r="GMR67" s="170"/>
      <c r="GMS67" s="170"/>
      <c r="GMT67" s="170"/>
      <c r="GMU67" s="170"/>
      <c r="GMV67" s="170"/>
      <c r="GMW67" s="170"/>
      <c r="GMX67" s="170"/>
      <c r="GMY67" s="170"/>
      <c r="GMZ67" s="170"/>
      <c r="GNA67" s="170"/>
      <c r="GNB67" s="170"/>
      <c r="GNC67" s="170"/>
      <c r="GND67" s="170"/>
      <c r="GNE67" s="170"/>
      <c r="GNF67" s="170"/>
      <c r="GNG67" s="170"/>
      <c r="GNH67" s="170"/>
      <c r="GNI67" s="170"/>
      <c r="GNJ67" s="170"/>
      <c r="GNK67" s="170"/>
      <c r="GNL67" s="170"/>
      <c r="GNM67" s="170"/>
      <c r="GNN67" s="170"/>
      <c r="GNO67" s="170"/>
      <c r="GNP67" s="170"/>
      <c r="GNQ67" s="170"/>
      <c r="GNR67" s="170"/>
      <c r="GNS67" s="170"/>
      <c r="GNT67" s="170"/>
      <c r="GNU67" s="170"/>
      <c r="GNV67" s="170"/>
      <c r="GNW67" s="170"/>
      <c r="GNX67" s="170"/>
      <c r="GNY67" s="170"/>
      <c r="GNZ67" s="170"/>
      <c r="GOA67" s="170"/>
      <c r="GOB67" s="170"/>
      <c r="GOC67" s="170"/>
      <c r="GOD67" s="170"/>
      <c r="GOE67" s="170"/>
      <c r="GOF67" s="170"/>
      <c r="GOG67" s="170"/>
      <c r="GOH67" s="170"/>
      <c r="GOI67" s="170"/>
      <c r="GOJ67" s="170"/>
      <c r="GOK67" s="170"/>
      <c r="GOL67" s="170"/>
      <c r="GOM67" s="170"/>
      <c r="GON67" s="170"/>
      <c r="GOO67" s="170"/>
      <c r="GOP67" s="170"/>
      <c r="GOQ67" s="170"/>
      <c r="GOR67" s="170"/>
      <c r="GOS67" s="170"/>
      <c r="GOT67" s="170"/>
      <c r="GOU67" s="170"/>
      <c r="GOV67" s="170"/>
      <c r="GOW67" s="170"/>
      <c r="GOX67" s="170"/>
      <c r="GOY67" s="170"/>
      <c r="GOZ67" s="170"/>
      <c r="GPA67" s="170"/>
      <c r="GPB67" s="170"/>
      <c r="GPC67" s="170"/>
      <c r="GPD67" s="170"/>
      <c r="GPE67" s="170"/>
      <c r="GPF67" s="170"/>
      <c r="GPG67" s="170"/>
      <c r="GPH67" s="170"/>
      <c r="GPI67" s="170"/>
      <c r="GPJ67" s="170"/>
      <c r="GPK67" s="170"/>
      <c r="GPL67" s="170"/>
      <c r="GPM67" s="170"/>
      <c r="GPN67" s="170"/>
      <c r="GPO67" s="170"/>
      <c r="GPP67" s="170"/>
      <c r="GPQ67" s="170"/>
      <c r="GPR67" s="170"/>
      <c r="GPS67" s="170"/>
      <c r="GPT67" s="170"/>
      <c r="GPU67" s="170"/>
      <c r="GPV67" s="170"/>
      <c r="GPW67" s="170"/>
      <c r="GPX67" s="170"/>
      <c r="GPY67" s="170"/>
      <c r="GPZ67" s="170"/>
      <c r="GQA67" s="170"/>
      <c r="GQB67" s="170"/>
      <c r="GQC67" s="170"/>
      <c r="GQD67" s="170"/>
      <c r="GQE67" s="170"/>
      <c r="GQF67" s="170"/>
      <c r="GQG67" s="170"/>
      <c r="GQH67" s="170"/>
      <c r="GQI67" s="170"/>
      <c r="GQJ67" s="170"/>
      <c r="GQK67" s="170"/>
      <c r="GQL67" s="170"/>
      <c r="GQM67" s="170"/>
      <c r="GQN67" s="170"/>
      <c r="GQO67" s="170"/>
      <c r="GQP67" s="170"/>
      <c r="GQQ67" s="170"/>
      <c r="GQR67" s="170"/>
      <c r="GQS67" s="170"/>
      <c r="GQT67" s="170"/>
      <c r="GQU67" s="170"/>
      <c r="GQV67" s="170"/>
      <c r="GQW67" s="170"/>
      <c r="GQX67" s="170"/>
      <c r="GQY67" s="170"/>
      <c r="GQZ67" s="170"/>
      <c r="GRA67" s="170"/>
      <c r="GRB67" s="170"/>
      <c r="GRC67" s="170"/>
      <c r="GRD67" s="170"/>
      <c r="GRE67" s="170"/>
      <c r="GRF67" s="170"/>
      <c r="GRG67" s="170"/>
      <c r="GRH67" s="170"/>
      <c r="GRI67" s="170"/>
      <c r="GRJ67" s="170"/>
      <c r="GRK67" s="170"/>
      <c r="GRL67" s="170"/>
      <c r="GRM67" s="170"/>
      <c r="GRN67" s="170"/>
      <c r="GRO67" s="170"/>
      <c r="GRP67" s="170"/>
      <c r="GRQ67" s="170"/>
      <c r="GRR67" s="170"/>
      <c r="GRS67" s="170"/>
      <c r="GRT67" s="170"/>
      <c r="GRU67" s="170"/>
      <c r="GRV67" s="170"/>
      <c r="GRW67" s="170"/>
      <c r="GRX67" s="170"/>
      <c r="GRY67" s="170"/>
      <c r="GRZ67" s="170"/>
      <c r="GSA67" s="170"/>
      <c r="GSB67" s="170"/>
      <c r="GSC67" s="170"/>
      <c r="GSD67" s="170"/>
      <c r="GSE67" s="170"/>
      <c r="GSF67" s="170"/>
      <c r="GSG67" s="170"/>
      <c r="GSH67" s="170"/>
      <c r="GSI67" s="170"/>
      <c r="GSJ67" s="170"/>
      <c r="GSK67" s="170"/>
      <c r="GSL67" s="170"/>
      <c r="GSM67" s="170"/>
      <c r="GSN67" s="170"/>
      <c r="GSO67" s="170"/>
      <c r="GSP67" s="170"/>
      <c r="GSQ67" s="170"/>
      <c r="GSR67" s="170"/>
      <c r="GSS67" s="170"/>
      <c r="GST67" s="170"/>
      <c r="GSU67" s="170"/>
      <c r="GSV67" s="170"/>
      <c r="GSW67" s="170"/>
      <c r="GSX67" s="170"/>
      <c r="GSY67" s="170"/>
      <c r="GSZ67" s="170"/>
      <c r="GTA67" s="170"/>
      <c r="GTB67" s="170"/>
      <c r="GTC67" s="170"/>
      <c r="GTD67" s="170"/>
      <c r="GTE67" s="170"/>
      <c r="GTF67" s="170"/>
      <c r="GTG67" s="170"/>
      <c r="GTH67" s="170"/>
      <c r="GTI67" s="170"/>
      <c r="GTJ67" s="170"/>
      <c r="GTK67" s="170"/>
      <c r="GTL67" s="170"/>
      <c r="GTM67" s="170"/>
      <c r="GTN67" s="170"/>
      <c r="GTO67" s="170"/>
      <c r="GTP67" s="170"/>
      <c r="GTQ67" s="170"/>
      <c r="GTR67" s="170"/>
      <c r="GTS67" s="170"/>
      <c r="GTT67" s="170"/>
      <c r="GTU67" s="170"/>
      <c r="GTV67" s="170"/>
      <c r="GTW67" s="170"/>
      <c r="GTX67" s="170"/>
      <c r="GTY67" s="170"/>
      <c r="GTZ67" s="170"/>
      <c r="GUA67" s="170"/>
      <c r="GUB67" s="170"/>
      <c r="GUC67" s="170"/>
      <c r="GUD67" s="170"/>
      <c r="GUE67" s="170"/>
      <c r="GUF67" s="170"/>
      <c r="GUG67" s="170"/>
      <c r="GUH67" s="170"/>
      <c r="GUI67" s="170"/>
      <c r="GUJ67" s="170"/>
      <c r="GUK67" s="170"/>
      <c r="GUL67" s="170"/>
      <c r="GUM67" s="170"/>
      <c r="GUN67" s="170"/>
      <c r="GUO67" s="170"/>
      <c r="GUP67" s="170"/>
      <c r="GUQ67" s="170"/>
      <c r="GUR67" s="170"/>
      <c r="GUS67" s="170"/>
      <c r="GUT67" s="170"/>
      <c r="GUU67" s="170"/>
      <c r="GUV67" s="170"/>
      <c r="GUW67" s="170"/>
      <c r="GUX67" s="170"/>
      <c r="GUY67" s="170"/>
      <c r="GUZ67" s="170"/>
      <c r="GVA67" s="170"/>
      <c r="GVB67" s="170"/>
      <c r="GVC67" s="170"/>
      <c r="GVD67" s="170"/>
      <c r="GVE67" s="170"/>
      <c r="GVF67" s="170"/>
      <c r="GVG67" s="170"/>
      <c r="GVH67" s="170"/>
      <c r="GVI67" s="170"/>
      <c r="GVJ67" s="170"/>
      <c r="GVK67" s="170"/>
      <c r="GVL67" s="170"/>
      <c r="GVM67" s="170"/>
      <c r="GVN67" s="170"/>
      <c r="GVO67" s="170"/>
      <c r="GVP67" s="170"/>
      <c r="GVQ67" s="170"/>
      <c r="GVR67" s="170"/>
      <c r="GVS67" s="170"/>
      <c r="GVT67" s="170"/>
      <c r="GVU67" s="170"/>
      <c r="GVV67" s="170"/>
      <c r="GVW67" s="170"/>
      <c r="GVX67" s="170"/>
      <c r="GVY67" s="170"/>
      <c r="GVZ67" s="170"/>
      <c r="GWA67" s="170"/>
      <c r="GWB67" s="170"/>
      <c r="GWC67" s="170"/>
      <c r="GWD67" s="170"/>
      <c r="GWE67" s="170"/>
      <c r="GWF67" s="170"/>
      <c r="GWG67" s="170"/>
      <c r="GWH67" s="170"/>
      <c r="GWI67" s="170"/>
      <c r="GWJ67" s="170"/>
      <c r="GWK67" s="170"/>
      <c r="GWL67" s="170"/>
      <c r="GWM67" s="170"/>
      <c r="GWN67" s="170"/>
      <c r="GWO67" s="170"/>
      <c r="GWP67" s="170"/>
      <c r="GWQ67" s="170"/>
      <c r="GWR67" s="170"/>
      <c r="GWS67" s="170"/>
      <c r="GWT67" s="170"/>
      <c r="GWU67" s="170"/>
      <c r="GWV67" s="170"/>
      <c r="GWW67" s="170"/>
      <c r="GWX67" s="170"/>
      <c r="GWY67" s="170"/>
      <c r="GWZ67" s="170"/>
      <c r="GXA67" s="170"/>
      <c r="GXB67" s="170"/>
      <c r="GXC67" s="170"/>
      <c r="GXD67" s="170"/>
      <c r="GXE67" s="170"/>
      <c r="GXF67" s="170"/>
      <c r="GXG67" s="170"/>
      <c r="GXH67" s="170"/>
      <c r="GXI67" s="170"/>
      <c r="GXJ67" s="170"/>
      <c r="GXK67" s="170"/>
      <c r="GXL67" s="170"/>
      <c r="GXM67" s="170"/>
      <c r="GXN67" s="170"/>
      <c r="GXO67" s="170"/>
      <c r="GXP67" s="170"/>
      <c r="GXQ67" s="170"/>
      <c r="GXR67" s="170"/>
      <c r="GXS67" s="170"/>
      <c r="GXT67" s="170"/>
      <c r="GXU67" s="170"/>
      <c r="GXV67" s="170"/>
      <c r="GXW67" s="170"/>
      <c r="GXX67" s="170"/>
      <c r="GXY67" s="170"/>
      <c r="GXZ67" s="170"/>
      <c r="GYA67" s="170"/>
      <c r="GYB67" s="170"/>
      <c r="GYC67" s="170"/>
      <c r="GYD67" s="170"/>
      <c r="GYE67" s="170"/>
      <c r="GYF67" s="170"/>
      <c r="GYG67" s="170"/>
      <c r="GYH67" s="170"/>
      <c r="GYI67" s="170"/>
      <c r="GYJ67" s="170"/>
      <c r="GYK67" s="170"/>
      <c r="GYL67" s="170"/>
      <c r="GYM67" s="170"/>
      <c r="GYN67" s="170"/>
      <c r="GYO67" s="170"/>
      <c r="GYP67" s="170"/>
      <c r="GYQ67" s="170"/>
      <c r="GYR67" s="170"/>
      <c r="GYS67" s="170"/>
      <c r="GYT67" s="170"/>
      <c r="GYU67" s="170"/>
      <c r="GYV67" s="170"/>
      <c r="GYW67" s="170"/>
      <c r="GYX67" s="170"/>
      <c r="GYY67" s="170"/>
      <c r="GYZ67" s="170"/>
      <c r="GZA67" s="170"/>
      <c r="GZB67" s="170"/>
      <c r="GZC67" s="170"/>
      <c r="GZD67" s="170"/>
      <c r="GZE67" s="170"/>
      <c r="GZF67" s="170"/>
      <c r="GZG67" s="170"/>
      <c r="GZH67" s="170"/>
      <c r="GZI67" s="170"/>
      <c r="GZJ67" s="170"/>
      <c r="GZK67" s="170"/>
      <c r="GZL67" s="170"/>
      <c r="GZM67" s="170"/>
      <c r="GZN67" s="170"/>
      <c r="GZO67" s="170"/>
      <c r="GZP67" s="170"/>
      <c r="GZQ67" s="170"/>
      <c r="GZR67" s="170"/>
      <c r="GZS67" s="170"/>
      <c r="GZT67" s="170"/>
      <c r="GZU67" s="170"/>
      <c r="GZV67" s="170"/>
      <c r="GZW67" s="170"/>
      <c r="GZX67" s="170"/>
      <c r="GZY67" s="170"/>
      <c r="GZZ67" s="170"/>
      <c r="HAA67" s="170"/>
      <c r="HAB67" s="170"/>
      <c r="HAC67" s="170"/>
      <c r="HAD67" s="170"/>
      <c r="HAE67" s="170"/>
      <c r="HAF67" s="170"/>
      <c r="HAG67" s="170"/>
      <c r="HAH67" s="170"/>
      <c r="HAI67" s="170"/>
      <c r="HAJ67" s="170"/>
      <c r="HAK67" s="170"/>
      <c r="HAL67" s="170"/>
      <c r="HAM67" s="170"/>
      <c r="HAN67" s="170"/>
      <c r="HAO67" s="170"/>
      <c r="HAP67" s="170"/>
      <c r="HAQ67" s="170"/>
      <c r="HAR67" s="170"/>
      <c r="HAS67" s="170"/>
      <c r="HAT67" s="170"/>
      <c r="HAU67" s="170"/>
      <c r="HAV67" s="170"/>
      <c r="HAW67" s="170"/>
      <c r="HAX67" s="170"/>
      <c r="HAY67" s="170"/>
      <c r="HAZ67" s="170"/>
      <c r="HBA67" s="170"/>
      <c r="HBB67" s="170"/>
      <c r="HBC67" s="170"/>
      <c r="HBD67" s="170"/>
      <c r="HBE67" s="170"/>
      <c r="HBF67" s="170"/>
      <c r="HBG67" s="170"/>
      <c r="HBH67" s="170"/>
      <c r="HBI67" s="170"/>
      <c r="HBJ67" s="170"/>
      <c r="HBK67" s="170"/>
      <c r="HBL67" s="170"/>
      <c r="HBM67" s="170"/>
      <c r="HBN67" s="170"/>
      <c r="HBO67" s="170"/>
      <c r="HBP67" s="170"/>
      <c r="HBQ67" s="170"/>
      <c r="HBR67" s="170"/>
      <c r="HBS67" s="170"/>
      <c r="HBT67" s="170"/>
      <c r="HBU67" s="170"/>
      <c r="HBV67" s="170"/>
      <c r="HBW67" s="170"/>
      <c r="HBX67" s="170"/>
      <c r="HBY67" s="170"/>
      <c r="HBZ67" s="170"/>
      <c r="HCA67" s="170"/>
      <c r="HCB67" s="170"/>
      <c r="HCC67" s="170"/>
      <c r="HCD67" s="170"/>
      <c r="HCE67" s="170"/>
      <c r="HCF67" s="170"/>
      <c r="HCG67" s="170"/>
      <c r="HCH67" s="170"/>
      <c r="HCI67" s="170"/>
      <c r="HCJ67" s="170"/>
      <c r="HCK67" s="170"/>
      <c r="HCL67" s="170"/>
      <c r="HCM67" s="170"/>
      <c r="HCN67" s="170"/>
      <c r="HCO67" s="170"/>
      <c r="HCP67" s="170"/>
      <c r="HCQ67" s="170"/>
      <c r="HCR67" s="170"/>
      <c r="HCS67" s="170"/>
      <c r="HCT67" s="170"/>
      <c r="HCU67" s="170"/>
      <c r="HCV67" s="170"/>
      <c r="HCW67" s="170"/>
      <c r="HCX67" s="170"/>
      <c r="HCY67" s="170"/>
      <c r="HCZ67" s="170"/>
      <c r="HDA67" s="170"/>
      <c r="HDB67" s="170"/>
      <c r="HDC67" s="170"/>
      <c r="HDD67" s="170"/>
      <c r="HDE67" s="170"/>
      <c r="HDF67" s="170"/>
      <c r="HDG67" s="170"/>
      <c r="HDH67" s="170"/>
      <c r="HDI67" s="170"/>
      <c r="HDJ67" s="170"/>
      <c r="HDK67" s="170"/>
      <c r="HDL67" s="170"/>
      <c r="HDM67" s="170"/>
      <c r="HDN67" s="170"/>
      <c r="HDO67" s="170"/>
      <c r="HDP67" s="170"/>
      <c r="HDQ67" s="170"/>
      <c r="HDR67" s="170"/>
      <c r="HDS67" s="170"/>
      <c r="HDT67" s="170"/>
      <c r="HDU67" s="170"/>
      <c r="HDV67" s="170"/>
      <c r="HDW67" s="170"/>
      <c r="HDX67" s="170"/>
      <c r="HDY67" s="170"/>
      <c r="HDZ67" s="170"/>
      <c r="HEA67" s="170"/>
      <c r="HEB67" s="170"/>
      <c r="HEC67" s="170"/>
      <c r="HED67" s="170"/>
      <c r="HEE67" s="170"/>
      <c r="HEF67" s="170"/>
      <c r="HEG67" s="170"/>
      <c r="HEH67" s="170"/>
      <c r="HEI67" s="170"/>
      <c r="HEJ67" s="170"/>
      <c r="HEK67" s="170"/>
      <c r="HEL67" s="170"/>
      <c r="HEM67" s="170"/>
      <c r="HEN67" s="170"/>
      <c r="HEO67" s="170"/>
      <c r="HEP67" s="170"/>
      <c r="HEQ67" s="170"/>
      <c r="HER67" s="170"/>
      <c r="HES67" s="170"/>
      <c r="HET67" s="170"/>
      <c r="HEU67" s="170"/>
      <c r="HEV67" s="170"/>
      <c r="HEW67" s="170"/>
      <c r="HEX67" s="170"/>
      <c r="HEY67" s="170"/>
      <c r="HEZ67" s="170"/>
      <c r="HFA67" s="170"/>
      <c r="HFB67" s="170"/>
      <c r="HFC67" s="170"/>
      <c r="HFD67" s="170"/>
      <c r="HFE67" s="170"/>
      <c r="HFF67" s="170"/>
      <c r="HFG67" s="170"/>
      <c r="HFH67" s="170"/>
      <c r="HFI67" s="170"/>
      <c r="HFJ67" s="170"/>
      <c r="HFK67" s="170"/>
      <c r="HFL67" s="170"/>
      <c r="HFM67" s="170"/>
      <c r="HFN67" s="170"/>
      <c r="HFO67" s="170"/>
      <c r="HFP67" s="170"/>
      <c r="HFQ67" s="170"/>
      <c r="HFR67" s="170"/>
      <c r="HFS67" s="170"/>
      <c r="HFT67" s="170"/>
      <c r="HFU67" s="170"/>
      <c r="HFV67" s="170"/>
      <c r="HFW67" s="170"/>
      <c r="HFX67" s="170"/>
      <c r="HFY67" s="170"/>
      <c r="HFZ67" s="170"/>
      <c r="HGA67" s="170"/>
      <c r="HGB67" s="170"/>
      <c r="HGC67" s="170"/>
      <c r="HGD67" s="170"/>
      <c r="HGE67" s="170"/>
      <c r="HGF67" s="170"/>
      <c r="HGG67" s="170"/>
      <c r="HGH67" s="170"/>
      <c r="HGI67" s="170"/>
      <c r="HGJ67" s="170"/>
      <c r="HGK67" s="170"/>
      <c r="HGL67" s="170"/>
      <c r="HGM67" s="170"/>
      <c r="HGN67" s="170"/>
      <c r="HGO67" s="170"/>
      <c r="HGP67" s="170"/>
      <c r="HGQ67" s="170"/>
      <c r="HGR67" s="170"/>
      <c r="HGS67" s="170"/>
      <c r="HGT67" s="170"/>
      <c r="HGU67" s="170"/>
      <c r="HGV67" s="170"/>
      <c r="HGW67" s="170"/>
      <c r="HGX67" s="170"/>
      <c r="HGY67" s="170"/>
      <c r="HGZ67" s="170"/>
      <c r="HHA67" s="170"/>
      <c r="HHB67" s="170"/>
      <c r="HHC67" s="170"/>
      <c r="HHD67" s="170"/>
      <c r="HHE67" s="170"/>
      <c r="HHF67" s="170"/>
      <c r="HHG67" s="170"/>
      <c r="HHH67" s="170"/>
      <c r="HHI67" s="170"/>
      <c r="HHJ67" s="170"/>
      <c r="HHK67" s="170"/>
      <c r="HHL67" s="170"/>
      <c r="HHM67" s="170"/>
      <c r="HHN67" s="170"/>
      <c r="HHO67" s="170"/>
      <c r="HHP67" s="170"/>
      <c r="HHQ67" s="170"/>
      <c r="HHR67" s="170"/>
      <c r="HHS67" s="170"/>
      <c r="HHT67" s="170"/>
      <c r="HHU67" s="170"/>
      <c r="HHV67" s="170"/>
      <c r="HHW67" s="170"/>
      <c r="HHX67" s="170"/>
      <c r="HHY67" s="170"/>
      <c r="HHZ67" s="170"/>
      <c r="HIA67" s="170"/>
      <c r="HIB67" s="170"/>
      <c r="HIC67" s="170"/>
      <c r="HID67" s="170"/>
      <c r="HIE67" s="170"/>
      <c r="HIF67" s="170"/>
      <c r="HIG67" s="170"/>
      <c r="HIH67" s="170"/>
      <c r="HII67" s="170"/>
      <c r="HIJ67" s="170"/>
      <c r="HIK67" s="170"/>
      <c r="HIL67" s="170"/>
      <c r="HIM67" s="170"/>
      <c r="HIN67" s="170"/>
      <c r="HIO67" s="170"/>
      <c r="HIP67" s="170"/>
      <c r="HIQ67" s="170"/>
      <c r="HIR67" s="170"/>
      <c r="HIS67" s="170"/>
      <c r="HIT67" s="170"/>
      <c r="HIU67" s="170"/>
      <c r="HIV67" s="170"/>
      <c r="HIW67" s="170"/>
      <c r="HIX67" s="170"/>
      <c r="HIY67" s="170"/>
      <c r="HIZ67" s="170"/>
      <c r="HJA67" s="170"/>
      <c r="HJB67" s="170"/>
      <c r="HJC67" s="170"/>
      <c r="HJD67" s="170"/>
      <c r="HJE67" s="170"/>
      <c r="HJF67" s="170"/>
      <c r="HJG67" s="170"/>
      <c r="HJH67" s="170"/>
      <c r="HJI67" s="170"/>
      <c r="HJJ67" s="170"/>
      <c r="HJK67" s="170"/>
      <c r="HJL67" s="170"/>
      <c r="HJM67" s="170"/>
      <c r="HJN67" s="170"/>
      <c r="HJO67" s="170"/>
      <c r="HJP67" s="170"/>
      <c r="HJQ67" s="170"/>
      <c r="HJR67" s="170"/>
      <c r="HJS67" s="170"/>
      <c r="HJT67" s="170"/>
      <c r="HJU67" s="170"/>
      <c r="HJV67" s="170"/>
      <c r="HJW67" s="170"/>
      <c r="HJX67" s="170"/>
      <c r="HJY67" s="170"/>
      <c r="HJZ67" s="170"/>
      <c r="HKA67" s="170"/>
      <c r="HKB67" s="170"/>
      <c r="HKC67" s="170"/>
      <c r="HKD67" s="170"/>
      <c r="HKE67" s="170"/>
      <c r="HKF67" s="170"/>
      <c r="HKG67" s="170"/>
      <c r="HKH67" s="170"/>
      <c r="HKI67" s="170"/>
      <c r="HKJ67" s="170"/>
      <c r="HKK67" s="170"/>
      <c r="HKL67" s="170"/>
      <c r="HKM67" s="170"/>
      <c r="HKN67" s="170"/>
      <c r="HKO67" s="170"/>
      <c r="HKP67" s="170"/>
      <c r="HKQ67" s="170"/>
      <c r="HKR67" s="170"/>
      <c r="HKS67" s="170"/>
      <c r="HKT67" s="170"/>
      <c r="HKU67" s="170"/>
      <c r="HKV67" s="170"/>
      <c r="HKW67" s="170"/>
      <c r="HKX67" s="170"/>
      <c r="HKY67" s="170"/>
      <c r="HKZ67" s="170"/>
      <c r="HLA67" s="170"/>
      <c r="HLB67" s="170"/>
      <c r="HLC67" s="170"/>
      <c r="HLD67" s="170"/>
      <c r="HLE67" s="170"/>
      <c r="HLF67" s="170"/>
      <c r="HLG67" s="170"/>
      <c r="HLH67" s="170"/>
      <c r="HLI67" s="170"/>
      <c r="HLJ67" s="170"/>
      <c r="HLK67" s="170"/>
      <c r="HLL67" s="170"/>
      <c r="HLM67" s="170"/>
      <c r="HLN67" s="170"/>
      <c r="HLO67" s="170"/>
      <c r="HLP67" s="170"/>
      <c r="HLQ67" s="170"/>
      <c r="HLR67" s="170"/>
      <c r="HLS67" s="170"/>
      <c r="HLT67" s="170"/>
      <c r="HLU67" s="170"/>
      <c r="HLV67" s="170"/>
      <c r="HLW67" s="170"/>
      <c r="HLX67" s="170"/>
      <c r="HLY67" s="170"/>
      <c r="HLZ67" s="170"/>
      <c r="HMA67" s="170"/>
      <c r="HMB67" s="170"/>
      <c r="HMC67" s="170"/>
      <c r="HMD67" s="170"/>
      <c r="HME67" s="170"/>
      <c r="HMF67" s="170"/>
      <c r="HMG67" s="170"/>
      <c r="HMH67" s="170"/>
      <c r="HMI67" s="170"/>
      <c r="HMJ67" s="170"/>
      <c r="HMK67" s="170"/>
      <c r="HML67" s="170"/>
      <c r="HMM67" s="170"/>
      <c r="HMN67" s="170"/>
      <c r="HMO67" s="170"/>
      <c r="HMP67" s="170"/>
      <c r="HMQ67" s="170"/>
      <c r="HMR67" s="170"/>
      <c r="HMS67" s="170"/>
      <c r="HMT67" s="170"/>
      <c r="HMU67" s="170"/>
      <c r="HMV67" s="170"/>
      <c r="HMW67" s="170"/>
      <c r="HMX67" s="170"/>
      <c r="HMY67" s="170"/>
      <c r="HMZ67" s="170"/>
      <c r="HNA67" s="170"/>
      <c r="HNB67" s="170"/>
      <c r="HNC67" s="170"/>
      <c r="HND67" s="170"/>
      <c r="HNE67" s="170"/>
      <c r="HNF67" s="170"/>
      <c r="HNG67" s="170"/>
      <c r="HNH67" s="170"/>
      <c r="HNI67" s="170"/>
      <c r="HNJ67" s="170"/>
      <c r="HNK67" s="170"/>
      <c r="HNL67" s="170"/>
      <c r="HNM67" s="170"/>
      <c r="HNN67" s="170"/>
      <c r="HNO67" s="170"/>
      <c r="HNP67" s="170"/>
      <c r="HNQ67" s="170"/>
      <c r="HNR67" s="170"/>
      <c r="HNS67" s="170"/>
      <c r="HNT67" s="170"/>
      <c r="HNU67" s="170"/>
      <c r="HNV67" s="170"/>
      <c r="HNW67" s="170"/>
      <c r="HNX67" s="170"/>
      <c r="HNY67" s="170"/>
      <c r="HNZ67" s="170"/>
      <c r="HOA67" s="170"/>
      <c r="HOB67" s="170"/>
      <c r="HOC67" s="170"/>
      <c r="HOD67" s="170"/>
      <c r="HOE67" s="170"/>
      <c r="HOF67" s="170"/>
      <c r="HOG67" s="170"/>
      <c r="HOH67" s="170"/>
      <c r="HOI67" s="170"/>
      <c r="HOJ67" s="170"/>
      <c r="HOK67" s="170"/>
      <c r="HOL67" s="170"/>
      <c r="HOM67" s="170"/>
      <c r="HON67" s="170"/>
      <c r="HOO67" s="170"/>
      <c r="HOP67" s="170"/>
      <c r="HOQ67" s="170"/>
      <c r="HOR67" s="170"/>
      <c r="HOS67" s="170"/>
      <c r="HOT67" s="170"/>
      <c r="HOU67" s="170"/>
      <c r="HOV67" s="170"/>
      <c r="HOW67" s="170"/>
      <c r="HOX67" s="170"/>
      <c r="HOY67" s="170"/>
      <c r="HOZ67" s="170"/>
      <c r="HPA67" s="170"/>
      <c r="HPB67" s="170"/>
      <c r="HPC67" s="170"/>
      <c r="HPD67" s="170"/>
      <c r="HPE67" s="170"/>
      <c r="HPF67" s="170"/>
      <c r="HPG67" s="170"/>
      <c r="HPH67" s="170"/>
      <c r="HPI67" s="170"/>
      <c r="HPJ67" s="170"/>
      <c r="HPK67" s="170"/>
      <c r="HPL67" s="170"/>
      <c r="HPM67" s="170"/>
      <c r="HPN67" s="170"/>
      <c r="HPO67" s="170"/>
      <c r="HPP67" s="170"/>
      <c r="HPQ67" s="170"/>
      <c r="HPR67" s="170"/>
      <c r="HPS67" s="170"/>
      <c r="HPT67" s="170"/>
      <c r="HPU67" s="170"/>
      <c r="HPV67" s="170"/>
      <c r="HPW67" s="170"/>
      <c r="HPX67" s="170"/>
      <c r="HPY67" s="170"/>
      <c r="HPZ67" s="170"/>
      <c r="HQA67" s="170"/>
      <c r="HQB67" s="170"/>
      <c r="HQC67" s="170"/>
      <c r="HQD67" s="170"/>
      <c r="HQE67" s="170"/>
      <c r="HQF67" s="170"/>
      <c r="HQG67" s="170"/>
      <c r="HQH67" s="170"/>
      <c r="HQI67" s="170"/>
      <c r="HQJ67" s="170"/>
      <c r="HQK67" s="170"/>
      <c r="HQL67" s="170"/>
      <c r="HQM67" s="170"/>
      <c r="HQN67" s="170"/>
      <c r="HQO67" s="170"/>
      <c r="HQP67" s="170"/>
      <c r="HQQ67" s="170"/>
      <c r="HQR67" s="170"/>
      <c r="HQS67" s="170"/>
      <c r="HQT67" s="170"/>
      <c r="HQU67" s="170"/>
      <c r="HQV67" s="170"/>
      <c r="HQW67" s="170"/>
      <c r="HQX67" s="170"/>
      <c r="HQY67" s="170"/>
      <c r="HQZ67" s="170"/>
      <c r="HRA67" s="170"/>
      <c r="HRB67" s="170"/>
      <c r="HRC67" s="170"/>
      <c r="HRD67" s="170"/>
      <c r="HRE67" s="170"/>
      <c r="HRF67" s="170"/>
      <c r="HRG67" s="170"/>
      <c r="HRH67" s="170"/>
      <c r="HRI67" s="170"/>
      <c r="HRJ67" s="170"/>
      <c r="HRK67" s="170"/>
      <c r="HRL67" s="170"/>
      <c r="HRM67" s="170"/>
      <c r="HRN67" s="170"/>
      <c r="HRO67" s="170"/>
      <c r="HRP67" s="170"/>
      <c r="HRQ67" s="170"/>
      <c r="HRR67" s="170"/>
      <c r="HRS67" s="170"/>
      <c r="HRT67" s="170"/>
      <c r="HRU67" s="170"/>
      <c r="HRV67" s="170"/>
      <c r="HRW67" s="170"/>
      <c r="HRX67" s="170"/>
      <c r="HRY67" s="170"/>
      <c r="HRZ67" s="170"/>
      <c r="HSA67" s="170"/>
      <c r="HSB67" s="170"/>
      <c r="HSC67" s="170"/>
      <c r="HSD67" s="170"/>
      <c r="HSE67" s="170"/>
      <c r="HSF67" s="170"/>
      <c r="HSG67" s="170"/>
      <c r="HSH67" s="170"/>
      <c r="HSI67" s="170"/>
      <c r="HSJ67" s="170"/>
      <c r="HSK67" s="170"/>
      <c r="HSL67" s="170"/>
      <c r="HSM67" s="170"/>
      <c r="HSN67" s="170"/>
      <c r="HSO67" s="170"/>
      <c r="HSP67" s="170"/>
      <c r="HSQ67" s="170"/>
      <c r="HSR67" s="170"/>
      <c r="HSS67" s="170"/>
      <c r="HST67" s="170"/>
      <c r="HSU67" s="170"/>
      <c r="HSV67" s="170"/>
      <c r="HSW67" s="170"/>
      <c r="HSX67" s="170"/>
      <c r="HSY67" s="170"/>
      <c r="HSZ67" s="170"/>
      <c r="HTA67" s="170"/>
      <c r="HTB67" s="170"/>
      <c r="HTC67" s="170"/>
      <c r="HTD67" s="170"/>
      <c r="HTE67" s="170"/>
      <c r="HTF67" s="170"/>
      <c r="HTG67" s="170"/>
      <c r="HTH67" s="170"/>
      <c r="HTI67" s="170"/>
      <c r="HTJ67" s="170"/>
      <c r="HTK67" s="170"/>
      <c r="HTL67" s="170"/>
      <c r="HTM67" s="170"/>
      <c r="HTN67" s="170"/>
      <c r="HTO67" s="170"/>
      <c r="HTP67" s="170"/>
      <c r="HTQ67" s="170"/>
      <c r="HTR67" s="170"/>
      <c r="HTS67" s="170"/>
      <c r="HTT67" s="170"/>
      <c r="HTU67" s="170"/>
      <c r="HTV67" s="170"/>
      <c r="HTW67" s="170"/>
      <c r="HTX67" s="170"/>
      <c r="HTY67" s="170"/>
      <c r="HTZ67" s="170"/>
      <c r="HUA67" s="170"/>
      <c r="HUB67" s="170"/>
      <c r="HUC67" s="170"/>
      <c r="HUD67" s="170"/>
      <c r="HUE67" s="170"/>
      <c r="HUF67" s="170"/>
      <c r="HUG67" s="170"/>
      <c r="HUH67" s="170"/>
      <c r="HUI67" s="170"/>
      <c r="HUJ67" s="170"/>
      <c r="HUK67" s="170"/>
      <c r="HUL67" s="170"/>
      <c r="HUM67" s="170"/>
      <c r="HUN67" s="170"/>
      <c r="HUO67" s="170"/>
      <c r="HUP67" s="170"/>
      <c r="HUQ67" s="170"/>
      <c r="HUR67" s="170"/>
      <c r="HUS67" s="170"/>
      <c r="HUT67" s="170"/>
      <c r="HUU67" s="170"/>
      <c r="HUV67" s="170"/>
      <c r="HUW67" s="170"/>
      <c r="HUX67" s="170"/>
      <c r="HUY67" s="170"/>
      <c r="HUZ67" s="170"/>
      <c r="HVA67" s="170"/>
      <c r="HVB67" s="170"/>
      <c r="HVC67" s="170"/>
      <c r="HVD67" s="170"/>
      <c r="HVE67" s="170"/>
      <c r="HVF67" s="170"/>
      <c r="HVG67" s="170"/>
      <c r="HVH67" s="170"/>
      <c r="HVI67" s="170"/>
      <c r="HVJ67" s="170"/>
      <c r="HVK67" s="170"/>
      <c r="HVL67" s="170"/>
      <c r="HVM67" s="170"/>
      <c r="HVN67" s="170"/>
      <c r="HVO67" s="170"/>
      <c r="HVP67" s="170"/>
      <c r="HVQ67" s="170"/>
      <c r="HVR67" s="170"/>
      <c r="HVS67" s="170"/>
      <c r="HVT67" s="170"/>
      <c r="HVU67" s="170"/>
      <c r="HVV67" s="170"/>
      <c r="HVW67" s="170"/>
      <c r="HVX67" s="170"/>
      <c r="HVY67" s="170"/>
      <c r="HVZ67" s="170"/>
      <c r="HWA67" s="170"/>
      <c r="HWB67" s="170"/>
      <c r="HWC67" s="170"/>
      <c r="HWD67" s="170"/>
      <c r="HWE67" s="170"/>
      <c r="HWF67" s="170"/>
      <c r="HWG67" s="170"/>
      <c r="HWH67" s="170"/>
      <c r="HWI67" s="170"/>
      <c r="HWJ67" s="170"/>
      <c r="HWK67" s="170"/>
      <c r="HWL67" s="170"/>
      <c r="HWM67" s="170"/>
      <c r="HWN67" s="170"/>
      <c r="HWO67" s="170"/>
      <c r="HWP67" s="170"/>
      <c r="HWQ67" s="170"/>
      <c r="HWR67" s="170"/>
      <c r="HWS67" s="170"/>
      <c r="HWT67" s="170"/>
      <c r="HWU67" s="170"/>
      <c r="HWV67" s="170"/>
      <c r="HWW67" s="170"/>
      <c r="HWX67" s="170"/>
      <c r="HWY67" s="170"/>
      <c r="HWZ67" s="170"/>
      <c r="HXA67" s="170"/>
      <c r="HXB67" s="170"/>
      <c r="HXC67" s="170"/>
      <c r="HXD67" s="170"/>
      <c r="HXE67" s="170"/>
      <c r="HXF67" s="170"/>
      <c r="HXG67" s="170"/>
      <c r="HXH67" s="170"/>
      <c r="HXI67" s="170"/>
      <c r="HXJ67" s="170"/>
      <c r="HXK67" s="170"/>
      <c r="HXL67" s="170"/>
      <c r="HXM67" s="170"/>
      <c r="HXN67" s="170"/>
      <c r="HXO67" s="170"/>
      <c r="HXP67" s="170"/>
      <c r="HXQ67" s="170"/>
      <c r="HXR67" s="170"/>
      <c r="HXS67" s="170"/>
      <c r="HXT67" s="170"/>
      <c r="HXU67" s="170"/>
      <c r="HXV67" s="170"/>
      <c r="HXW67" s="170"/>
      <c r="HXX67" s="170"/>
      <c r="HXY67" s="170"/>
      <c r="HXZ67" s="170"/>
      <c r="HYA67" s="170"/>
      <c r="HYB67" s="170"/>
      <c r="HYC67" s="170"/>
      <c r="HYD67" s="170"/>
      <c r="HYE67" s="170"/>
      <c r="HYF67" s="170"/>
      <c r="HYG67" s="170"/>
      <c r="HYH67" s="170"/>
      <c r="HYI67" s="170"/>
      <c r="HYJ67" s="170"/>
      <c r="HYK67" s="170"/>
      <c r="HYL67" s="170"/>
      <c r="HYM67" s="170"/>
      <c r="HYN67" s="170"/>
      <c r="HYO67" s="170"/>
      <c r="HYP67" s="170"/>
      <c r="HYQ67" s="170"/>
      <c r="HYR67" s="170"/>
      <c r="HYS67" s="170"/>
      <c r="HYT67" s="170"/>
      <c r="HYU67" s="170"/>
      <c r="HYV67" s="170"/>
      <c r="HYW67" s="170"/>
      <c r="HYX67" s="170"/>
      <c r="HYY67" s="170"/>
      <c r="HYZ67" s="170"/>
      <c r="HZA67" s="170"/>
      <c r="HZB67" s="170"/>
      <c r="HZC67" s="170"/>
      <c r="HZD67" s="170"/>
      <c r="HZE67" s="170"/>
      <c r="HZF67" s="170"/>
      <c r="HZG67" s="170"/>
      <c r="HZH67" s="170"/>
      <c r="HZI67" s="170"/>
      <c r="HZJ67" s="170"/>
      <c r="HZK67" s="170"/>
      <c r="HZL67" s="170"/>
      <c r="HZM67" s="170"/>
      <c r="HZN67" s="170"/>
      <c r="HZO67" s="170"/>
      <c r="HZP67" s="170"/>
      <c r="HZQ67" s="170"/>
      <c r="HZR67" s="170"/>
      <c r="HZS67" s="170"/>
      <c r="HZT67" s="170"/>
      <c r="HZU67" s="170"/>
      <c r="HZV67" s="170"/>
      <c r="HZW67" s="170"/>
      <c r="HZX67" s="170"/>
      <c r="HZY67" s="170"/>
      <c r="HZZ67" s="170"/>
      <c r="IAA67" s="170"/>
      <c r="IAB67" s="170"/>
      <c r="IAC67" s="170"/>
      <c r="IAD67" s="170"/>
      <c r="IAE67" s="170"/>
      <c r="IAF67" s="170"/>
      <c r="IAG67" s="170"/>
      <c r="IAH67" s="170"/>
      <c r="IAI67" s="170"/>
      <c r="IAJ67" s="170"/>
      <c r="IAK67" s="170"/>
      <c r="IAL67" s="170"/>
      <c r="IAM67" s="170"/>
      <c r="IAN67" s="170"/>
      <c r="IAO67" s="170"/>
      <c r="IAP67" s="170"/>
      <c r="IAQ67" s="170"/>
      <c r="IAR67" s="170"/>
      <c r="IAS67" s="170"/>
      <c r="IAT67" s="170"/>
      <c r="IAU67" s="170"/>
      <c r="IAV67" s="170"/>
      <c r="IAW67" s="170"/>
      <c r="IAX67" s="170"/>
      <c r="IAY67" s="170"/>
      <c r="IAZ67" s="170"/>
      <c r="IBA67" s="170"/>
      <c r="IBB67" s="170"/>
      <c r="IBC67" s="170"/>
      <c r="IBD67" s="170"/>
      <c r="IBE67" s="170"/>
      <c r="IBF67" s="170"/>
      <c r="IBG67" s="170"/>
      <c r="IBH67" s="170"/>
      <c r="IBI67" s="170"/>
      <c r="IBJ67" s="170"/>
      <c r="IBK67" s="170"/>
      <c r="IBL67" s="170"/>
      <c r="IBM67" s="170"/>
      <c r="IBN67" s="170"/>
      <c r="IBO67" s="170"/>
      <c r="IBP67" s="170"/>
      <c r="IBQ67" s="170"/>
      <c r="IBR67" s="170"/>
      <c r="IBS67" s="170"/>
      <c r="IBT67" s="170"/>
      <c r="IBU67" s="170"/>
      <c r="IBV67" s="170"/>
      <c r="IBW67" s="170"/>
      <c r="IBX67" s="170"/>
      <c r="IBY67" s="170"/>
      <c r="IBZ67" s="170"/>
      <c r="ICA67" s="170"/>
      <c r="ICB67" s="170"/>
      <c r="ICC67" s="170"/>
      <c r="ICD67" s="170"/>
      <c r="ICE67" s="170"/>
      <c r="ICF67" s="170"/>
      <c r="ICG67" s="170"/>
      <c r="ICH67" s="170"/>
      <c r="ICI67" s="170"/>
      <c r="ICJ67" s="170"/>
      <c r="ICK67" s="170"/>
      <c r="ICL67" s="170"/>
      <c r="ICM67" s="170"/>
      <c r="ICN67" s="170"/>
      <c r="ICO67" s="170"/>
      <c r="ICP67" s="170"/>
      <c r="ICQ67" s="170"/>
      <c r="ICR67" s="170"/>
      <c r="ICS67" s="170"/>
      <c r="ICT67" s="170"/>
      <c r="ICU67" s="170"/>
      <c r="ICV67" s="170"/>
      <c r="ICW67" s="170"/>
      <c r="ICX67" s="170"/>
      <c r="ICY67" s="170"/>
      <c r="ICZ67" s="170"/>
      <c r="IDA67" s="170"/>
      <c r="IDB67" s="170"/>
      <c r="IDC67" s="170"/>
      <c r="IDD67" s="170"/>
      <c r="IDE67" s="170"/>
      <c r="IDF67" s="170"/>
      <c r="IDG67" s="170"/>
      <c r="IDH67" s="170"/>
      <c r="IDI67" s="170"/>
      <c r="IDJ67" s="170"/>
      <c r="IDK67" s="170"/>
      <c r="IDL67" s="170"/>
      <c r="IDM67" s="170"/>
      <c r="IDN67" s="170"/>
      <c r="IDO67" s="170"/>
      <c r="IDP67" s="170"/>
      <c r="IDQ67" s="170"/>
      <c r="IDR67" s="170"/>
      <c r="IDS67" s="170"/>
      <c r="IDT67" s="170"/>
      <c r="IDU67" s="170"/>
      <c r="IDV67" s="170"/>
      <c r="IDW67" s="170"/>
      <c r="IDX67" s="170"/>
      <c r="IDY67" s="170"/>
      <c r="IDZ67" s="170"/>
      <c r="IEA67" s="170"/>
      <c r="IEB67" s="170"/>
      <c r="IEC67" s="170"/>
      <c r="IED67" s="170"/>
      <c r="IEE67" s="170"/>
      <c r="IEF67" s="170"/>
      <c r="IEG67" s="170"/>
      <c r="IEH67" s="170"/>
      <c r="IEI67" s="170"/>
      <c r="IEJ67" s="170"/>
      <c r="IEK67" s="170"/>
      <c r="IEL67" s="170"/>
      <c r="IEM67" s="170"/>
      <c r="IEN67" s="170"/>
      <c r="IEO67" s="170"/>
      <c r="IEP67" s="170"/>
      <c r="IEQ67" s="170"/>
      <c r="IER67" s="170"/>
      <c r="IES67" s="170"/>
      <c r="IET67" s="170"/>
      <c r="IEU67" s="170"/>
      <c r="IEV67" s="170"/>
      <c r="IEW67" s="170"/>
      <c r="IEX67" s="170"/>
      <c r="IEY67" s="170"/>
      <c r="IEZ67" s="170"/>
      <c r="IFA67" s="170"/>
      <c r="IFB67" s="170"/>
      <c r="IFC67" s="170"/>
      <c r="IFD67" s="170"/>
      <c r="IFE67" s="170"/>
      <c r="IFF67" s="170"/>
      <c r="IFG67" s="170"/>
      <c r="IFH67" s="170"/>
      <c r="IFI67" s="170"/>
      <c r="IFJ67" s="170"/>
      <c r="IFK67" s="170"/>
      <c r="IFL67" s="170"/>
      <c r="IFM67" s="170"/>
      <c r="IFN67" s="170"/>
      <c r="IFO67" s="170"/>
      <c r="IFP67" s="170"/>
      <c r="IFQ67" s="170"/>
      <c r="IFR67" s="170"/>
      <c r="IFS67" s="170"/>
      <c r="IFT67" s="170"/>
      <c r="IFU67" s="170"/>
      <c r="IFV67" s="170"/>
      <c r="IFW67" s="170"/>
      <c r="IFX67" s="170"/>
      <c r="IFY67" s="170"/>
      <c r="IFZ67" s="170"/>
      <c r="IGA67" s="170"/>
      <c r="IGB67" s="170"/>
      <c r="IGC67" s="170"/>
      <c r="IGD67" s="170"/>
      <c r="IGE67" s="170"/>
      <c r="IGF67" s="170"/>
      <c r="IGG67" s="170"/>
      <c r="IGH67" s="170"/>
      <c r="IGI67" s="170"/>
      <c r="IGJ67" s="170"/>
      <c r="IGK67" s="170"/>
      <c r="IGL67" s="170"/>
      <c r="IGM67" s="170"/>
      <c r="IGN67" s="170"/>
      <c r="IGO67" s="170"/>
      <c r="IGP67" s="170"/>
      <c r="IGQ67" s="170"/>
      <c r="IGR67" s="170"/>
      <c r="IGS67" s="170"/>
      <c r="IGT67" s="170"/>
      <c r="IGU67" s="170"/>
      <c r="IGV67" s="170"/>
      <c r="IGW67" s="170"/>
      <c r="IGX67" s="170"/>
      <c r="IGY67" s="170"/>
      <c r="IGZ67" s="170"/>
      <c r="IHA67" s="170"/>
      <c r="IHB67" s="170"/>
      <c r="IHC67" s="170"/>
      <c r="IHD67" s="170"/>
      <c r="IHE67" s="170"/>
      <c r="IHF67" s="170"/>
      <c r="IHG67" s="170"/>
      <c r="IHH67" s="170"/>
      <c r="IHI67" s="170"/>
      <c r="IHJ67" s="170"/>
      <c r="IHK67" s="170"/>
      <c r="IHL67" s="170"/>
      <c r="IHM67" s="170"/>
      <c r="IHN67" s="170"/>
      <c r="IHO67" s="170"/>
      <c r="IHP67" s="170"/>
      <c r="IHQ67" s="170"/>
      <c r="IHR67" s="170"/>
      <c r="IHS67" s="170"/>
      <c r="IHT67" s="170"/>
      <c r="IHU67" s="170"/>
      <c r="IHV67" s="170"/>
      <c r="IHW67" s="170"/>
      <c r="IHX67" s="170"/>
      <c r="IHY67" s="170"/>
      <c r="IHZ67" s="170"/>
      <c r="IIA67" s="170"/>
      <c r="IIB67" s="170"/>
      <c r="IIC67" s="170"/>
      <c r="IID67" s="170"/>
      <c r="IIE67" s="170"/>
      <c r="IIF67" s="170"/>
      <c r="IIG67" s="170"/>
      <c r="IIH67" s="170"/>
      <c r="III67" s="170"/>
      <c r="IIJ67" s="170"/>
      <c r="IIK67" s="170"/>
      <c r="IIL67" s="170"/>
      <c r="IIM67" s="170"/>
      <c r="IIN67" s="170"/>
      <c r="IIO67" s="170"/>
      <c r="IIP67" s="170"/>
      <c r="IIQ67" s="170"/>
      <c r="IIR67" s="170"/>
      <c r="IIS67" s="170"/>
      <c r="IIT67" s="170"/>
      <c r="IIU67" s="170"/>
      <c r="IIV67" s="170"/>
      <c r="IIW67" s="170"/>
      <c r="IIX67" s="170"/>
      <c r="IIY67" s="170"/>
      <c r="IIZ67" s="170"/>
      <c r="IJA67" s="170"/>
      <c r="IJB67" s="170"/>
      <c r="IJC67" s="170"/>
      <c r="IJD67" s="170"/>
      <c r="IJE67" s="170"/>
      <c r="IJF67" s="170"/>
      <c r="IJG67" s="170"/>
      <c r="IJH67" s="170"/>
      <c r="IJI67" s="170"/>
      <c r="IJJ67" s="170"/>
      <c r="IJK67" s="170"/>
      <c r="IJL67" s="170"/>
      <c r="IJM67" s="170"/>
      <c r="IJN67" s="170"/>
      <c r="IJO67" s="170"/>
      <c r="IJP67" s="170"/>
      <c r="IJQ67" s="170"/>
      <c r="IJR67" s="170"/>
      <c r="IJS67" s="170"/>
      <c r="IJT67" s="170"/>
      <c r="IJU67" s="170"/>
      <c r="IJV67" s="170"/>
      <c r="IJW67" s="170"/>
      <c r="IJX67" s="170"/>
      <c r="IJY67" s="170"/>
      <c r="IJZ67" s="170"/>
      <c r="IKA67" s="170"/>
      <c r="IKB67" s="170"/>
      <c r="IKC67" s="170"/>
      <c r="IKD67" s="170"/>
      <c r="IKE67" s="170"/>
      <c r="IKF67" s="170"/>
      <c r="IKG67" s="170"/>
      <c r="IKH67" s="170"/>
      <c r="IKI67" s="170"/>
      <c r="IKJ67" s="170"/>
      <c r="IKK67" s="170"/>
      <c r="IKL67" s="170"/>
      <c r="IKM67" s="170"/>
      <c r="IKN67" s="170"/>
      <c r="IKO67" s="170"/>
      <c r="IKP67" s="170"/>
      <c r="IKQ67" s="170"/>
      <c r="IKR67" s="170"/>
      <c r="IKS67" s="170"/>
      <c r="IKT67" s="170"/>
      <c r="IKU67" s="170"/>
      <c r="IKV67" s="170"/>
      <c r="IKW67" s="170"/>
      <c r="IKX67" s="170"/>
      <c r="IKY67" s="170"/>
      <c r="IKZ67" s="170"/>
      <c r="ILA67" s="170"/>
      <c r="ILB67" s="170"/>
      <c r="ILC67" s="170"/>
      <c r="ILD67" s="170"/>
      <c r="ILE67" s="170"/>
      <c r="ILF67" s="170"/>
      <c r="ILG67" s="170"/>
      <c r="ILH67" s="170"/>
      <c r="ILI67" s="170"/>
      <c r="ILJ67" s="170"/>
      <c r="ILK67" s="170"/>
      <c r="ILL67" s="170"/>
      <c r="ILM67" s="170"/>
      <c r="ILN67" s="170"/>
      <c r="ILO67" s="170"/>
      <c r="ILP67" s="170"/>
      <c r="ILQ67" s="170"/>
      <c r="ILR67" s="170"/>
      <c r="ILS67" s="170"/>
      <c r="ILT67" s="170"/>
      <c r="ILU67" s="170"/>
      <c r="ILV67" s="170"/>
      <c r="ILW67" s="170"/>
      <c r="ILX67" s="170"/>
      <c r="ILY67" s="170"/>
      <c r="ILZ67" s="170"/>
      <c r="IMA67" s="170"/>
      <c r="IMB67" s="170"/>
      <c r="IMC67" s="170"/>
      <c r="IMD67" s="170"/>
      <c r="IME67" s="170"/>
      <c r="IMF67" s="170"/>
      <c r="IMG67" s="170"/>
      <c r="IMH67" s="170"/>
      <c r="IMI67" s="170"/>
      <c r="IMJ67" s="170"/>
      <c r="IMK67" s="170"/>
      <c r="IML67" s="170"/>
      <c r="IMM67" s="170"/>
      <c r="IMN67" s="170"/>
      <c r="IMO67" s="170"/>
      <c r="IMP67" s="170"/>
      <c r="IMQ67" s="170"/>
      <c r="IMR67" s="170"/>
      <c r="IMS67" s="170"/>
      <c r="IMT67" s="170"/>
      <c r="IMU67" s="170"/>
      <c r="IMV67" s="170"/>
      <c r="IMW67" s="170"/>
      <c r="IMX67" s="170"/>
      <c r="IMY67" s="170"/>
      <c r="IMZ67" s="170"/>
      <c r="INA67" s="170"/>
      <c r="INB67" s="170"/>
      <c r="INC67" s="170"/>
      <c r="IND67" s="170"/>
      <c r="INE67" s="170"/>
      <c r="INF67" s="170"/>
      <c r="ING67" s="170"/>
      <c r="INH67" s="170"/>
      <c r="INI67" s="170"/>
      <c r="INJ67" s="170"/>
      <c r="INK67" s="170"/>
      <c r="INL67" s="170"/>
      <c r="INM67" s="170"/>
      <c r="INN67" s="170"/>
      <c r="INO67" s="170"/>
      <c r="INP67" s="170"/>
      <c r="INQ67" s="170"/>
      <c r="INR67" s="170"/>
      <c r="INS67" s="170"/>
      <c r="INT67" s="170"/>
      <c r="INU67" s="170"/>
      <c r="INV67" s="170"/>
      <c r="INW67" s="170"/>
      <c r="INX67" s="170"/>
      <c r="INY67" s="170"/>
      <c r="INZ67" s="170"/>
      <c r="IOA67" s="170"/>
      <c r="IOB67" s="170"/>
      <c r="IOC67" s="170"/>
      <c r="IOD67" s="170"/>
      <c r="IOE67" s="170"/>
      <c r="IOF67" s="170"/>
      <c r="IOG67" s="170"/>
      <c r="IOH67" s="170"/>
      <c r="IOI67" s="170"/>
      <c r="IOJ67" s="170"/>
      <c r="IOK67" s="170"/>
      <c r="IOL67" s="170"/>
      <c r="IOM67" s="170"/>
      <c r="ION67" s="170"/>
      <c r="IOO67" s="170"/>
      <c r="IOP67" s="170"/>
      <c r="IOQ67" s="170"/>
      <c r="IOR67" s="170"/>
      <c r="IOS67" s="170"/>
      <c r="IOT67" s="170"/>
      <c r="IOU67" s="170"/>
      <c r="IOV67" s="170"/>
      <c r="IOW67" s="170"/>
      <c r="IOX67" s="170"/>
      <c r="IOY67" s="170"/>
      <c r="IOZ67" s="170"/>
      <c r="IPA67" s="170"/>
      <c r="IPB67" s="170"/>
      <c r="IPC67" s="170"/>
      <c r="IPD67" s="170"/>
      <c r="IPE67" s="170"/>
      <c r="IPF67" s="170"/>
      <c r="IPG67" s="170"/>
      <c r="IPH67" s="170"/>
      <c r="IPI67" s="170"/>
      <c r="IPJ67" s="170"/>
      <c r="IPK67" s="170"/>
      <c r="IPL67" s="170"/>
      <c r="IPM67" s="170"/>
      <c r="IPN67" s="170"/>
      <c r="IPO67" s="170"/>
      <c r="IPP67" s="170"/>
      <c r="IPQ67" s="170"/>
      <c r="IPR67" s="170"/>
      <c r="IPS67" s="170"/>
      <c r="IPT67" s="170"/>
      <c r="IPU67" s="170"/>
      <c r="IPV67" s="170"/>
      <c r="IPW67" s="170"/>
      <c r="IPX67" s="170"/>
      <c r="IPY67" s="170"/>
      <c r="IPZ67" s="170"/>
      <c r="IQA67" s="170"/>
      <c r="IQB67" s="170"/>
      <c r="IQC67" s="170"/>
      <c r="IQD67" s="170"/>
      <c r="IQE67" s="170"/>
      <c r="IQF67" s="170"/>
      <c r="IQG67" s="170"/>
      <c r="IQH67" s="170"/>
      <c r="IQI67" s="170"/>
      <c r="IQJ67" s="170"/>
      <c r="IQK67" s="170"/>
      <c r="IQL67" s="170"/>
      <c r="IQM67" s="170"/>
      <c r="IQN67" s="170"/>
      <c r="IQO67" s="170"/>
      <c r="IQP67" s="170"/>
      <c r="IQQ67" s="170"/>
      <c r="IQR67" s="170"/>
      <c r="IQS67" s="170"/>
      <c r="IQT67" s="170"/>
      <c r="IQU67" s="170"/>
      <c r="IQV67" s="170"/>
      <c r="IQW67" s="170"/>
      <c r="IQX67" s="170"/>
      <c r="IQY67" s="170"/>
      <c r="IQZ67" s="170"/>
      <c r="IRA67" s="170"/>
      <c r="IRB67" s="170"/>
      <c r="IRC67" s="170"/>
      <c r="IRD67" s="170"/>
      <c r="IRE67" s="170"/>
      <c r="IRF67" s="170"/>
      <c r="IRG67" s="170"/>
      <c r="IRH67" s="170"/>
      <c r="IRI67" s="170"/>
      <c r="IRJ67" s="170"/>
      <c r="IRK67" s="170"/>
      <c r="IRL67" s="170"/>
      <c r="IRM67" s="170"/>
      <c r="IRN67" s="170"/>
      <c r="IRO67" s="170"/>
      <c r="IRP67" s="170"/>
      <c r="IRQ67" s="170"/>
      <c r="IRR67" s="170"/>
      <c r="IRS67" s="170"/>
      <c r="IRT67" s="170"/>
      <c r="IRU67" s="170"/>
      <c r="IRV67" s="170"/>
      <c r="IRW67" s="170"/>
      <c r="IRX67" s="170"/>
      <c r="IRY67" s="170"/>
      <c r="IRZ67" s="170"/>
      <c r="ISA67" s="170"/>
      <c r="ISB67" s="170"/>
      <c r="ISC67" s="170"/>
      <c r="ISD67" s="170"/>
      <c r="ISE67" s="170"/>
      <c r="ISF67" s="170"/>
      <c r="ISG67" s="170"/>
      <c r="ISH67" s="170"/>
      <c r="ISI67" s="170"/>
      <c r="ISJ67" s="170"/>
      <c r="ISK67" s="170"/>
      <c r="ISL67" s="170"/>
      <c r="ISM67" s="170"/>
      <c r="ISN67" s="170"/>
      <c r="ISO67" s="170"/>
      <c r="ISP67" s="170"/>
      <c r="ISQ67" s="170"/>
      <c r="ISR67" s="170"/>
      <c r="ISS67" s="170"/>
      <c r="IST67" s="170"/>
      <c r="ISU67" s="170"/>
      <c r="ISV67" s="170"/>
      <c r="ISW67" s="170"/>
      <c r="ISX67" s="170"/>
      <c r="ISY67" s="170"/>
      <c r="ISZ67" s="170"/>
      <c r="ITA67" s="170"/>
      <c r="ITB67" s="170"/>
      <c r="ITC67" s="170"/>
      <c r="ITD67" s="170"/>
      <c r="ITE67" s="170"/>
      <c r="ITF67" s="170"/>
      <c r="ITG67" s="170"/>
      <c r="ITH67" s="170"/>
      <c r="ITI67" s="170"/>
      <c r="ITJ67" s="170"/>
      <c r="ITK67" s="170"/>
      <c r="ITL67" s="170"/>
      <c r="ITM67" s="170"/>
      <c r="ITN67" s="170"/>
      <c r="ITO67" s="170"/>
      <c r="ITP67" s="170"/>
      <c r="ITQ67" s="170"/>
      <c r="ITR67" s="170"/>
      <c r="ITS67" s="170"/>
      <c r="ITT67" s="170"/>
      <c r="ITU67" s="170"/>
      <c r="ITV67" s="170"/>
      <c r="ITW67" s="170"/>
      <c r="ITX67" s="170"/>
      <c r="ITY67" s="170"/>
      <c r="ITZ67" s="170"/>
      <c r="IUA67" s="170"/>
      <c r="IUB67" s="170"/>
      <c r="IUC67" s="170"/>
      <c r="IUD67" s="170"/>
      <c r="IUE67" s="170"/>
      <c r="IUF67" s="170"/>
      <c r="IUG67" s="170"/>
      <c r="IUH67" s="170"/>
      <c r="IUI67" s="170"/>
      <c r="IUJ67" s="170"/>
      <c r="IUK67" s="170"/>
      <c r="IUL67" s="170"/>
      <c r="IUM67" s="170"/>
      <c r="IUN67" s="170"/>
      <c r="IUO67" s="170"/>
      <c r="IUP67" s="170"/>
      <c r="IUQ67" s="170"/>
      <c r="IUR67" s="170"/>
      <c r="IUS67" s="170"/>
      <c r="IUT67" s="170"/>
      <c r="IUU67" s="170"/>
      <c r="IUV67" s="170"/>
      <c r="IUW67" s="170"/>
      <c r="IUX67" s="170"/>
      <c r="IUY67" s="170"/>
      <c r="IUZ67" s="170"/>
      <c r="IVA67" s="170"/>
      <c r="IVB67" s="170"/>
      <c r="IVC67" s="170"/>
      <c r="IVD67" s="170"/>
      <c r="IVE67" s="170"/>
      <c r="IVF67" s="170"/>
      <c r="IVG67" s="170"/>
      <c r="IVH67" s="170"/>
      <c r="IVI67" s="170"/>
      <c r="IVJ67" s="170"/>
      <c r="IVK67" s="170"/>
      <c r="IVL67" s="170"/>
      <c r="IVM67" s="170"/>
      <c r="IVN67" s="170"/>
      <c r="IVO67" s="170"/>
      <c r="IVP67" s="170"/>
      <c r="IVQ67" s="170"/>
      <c r="IVR67" s="170"/>
      <c r="IVS67" s="170"/>
      <c r="IVT67" s="170"/>
      <c r="IVU67" s="170"/>
      <c r="IVV67" s="170"/>
      <c r="IVW67" s="170"/>
      <c r="IVX67" s="170"/>
      <c r="IVY67" s="170"/>
      <c r="IVZ67" s="170"/>
      <c r="IWA67" s="170"/>
      <c r="IWB67" s="170"/>
      <c r="IWC67" s="170"/>
      <c r="IWD67" s="170"/>
      <c r="IWE67" s="170"/>
      <c r="IWF67" s="170"/>
      <c r="IWG67" s="170"/>
      <c r="IWH67" s="170"/>
      <c r="IWI67" s="170"/>
      <c r="IWJ67" s="170"/>
      <c r="IWK67" s="170"/>
      <c r="IWL67" s="170"/>
      <c r="IWM67" s="170"/>
      <c r="IWN67" s="170"/>
      <c r="IWO67" s="170"/>
      <c r="IWP67" s="170"/>
      <c r="IWQ67" s="170"/>
      <c r="IWR67" s="170"/>
      <c r="IWS67" s="170"/>
      <c r="IWT67" s="170"/>
      <c r="IWU67" s="170"/>
      <c r="IWV67" s="170"/>
      <c r="IWW67" s="170"/>
      <c r="IWX67" s="170"/>
      <c r="IWY67" s="170"/>
      <c r="IWZ67" s="170"/>
      <c r="IXA67" s="170"/>
      <c r="IXB67" s="170"/>
      <c r="IXC67" s="170"/>
      <c r="IXD67" s="170"/>
      <c r="IXE67" s="170"/>
      <c r="IXF67" s="170"/>
      <c r="IXG67" s="170"/>
      <c r="IXH67" s="170"/>
      <c r="IXI67" s="170"/>
      <c r="IXJ67" s="170"/>
      <c r="IXK67" s="170"/>
      <c r="IXL67" s="170"/>
      <c r="IXM67" s="170"/>
      <c r="IXN67" s="170"/>
      <c r="IXO67" s="170"/>
      <c r="IXP67" s="170"/>
      <c r="IXQ67" s="170"/>
      <c r="IXR67" s="170"/>
      <c r="IXS67" s="170"/>
      <c r="IXT67" s="170"/>
      <c r="IXU67" s="170"/>
      <c r="IXV67" s="170"/>
      <c r="IXW67" s="170"/>
      <c r="IXX67" s="170"/>
      <c r="IXY67" s="170"/>
      <c r="IXZ67" s="170"/>
      <c r="IYA67" s="170"/>
      <c r="IYB67" s="170"/>
      <c r="IYC67" s="170"/>
      <c r="IYD67" s="170"/>
      <c r="IYE67" s="170"/>
      <c r="IYF67" s="170"/>
      <c r="IYG67" s="170"/>
      <c r="IYH67" s="170"/>
      <c r="IYI67" s="170"/>
      <c r="IYJ67" s="170"/>
      <c r="IYK67" s="170"/>
      <c r="IYL67" s="170"/>
      <c r="IYM67" s="170"/>
      <c r="IYN67" s="170"/>
      <c r="IYO67" s="170"/>
      <c r="IYP67" s="170"/>
      <c r="IYQ67" s="170"/>
      <c r="IYR67" s="170"/>
      <c r="IYS67" s="170"/>
      <c r="IYT67" s="170"/>
      <c r="IYU67" s="170"/>
      <c r="IYV67" s="170"/>
      <c r="IYW67" s="170"/>
      <c r="IYX67" s="170"/>
      <c r="IYY67" s="170"/>
      <c r="IYZ67" s="170"/>
      <c r="IZA67" s="170"/>
      <c r="IZB67" s="170"/>
      <c r="IZC67" s="170"/>
      <c r="IZD67" s="170"/>
      <c r="IZE67" s="170"/>
      <c r="IZF67" s="170"/>
      <c r="IZG67" s="170"/>
      <c r="IZH67" s="170"/>
      <c r="IZI67" s="170"/>
      <c r="IZJ67" s="170"/>
      <c r="IZK67" s="170"/>
      <c r="IZL67" s="170"/>
      <c r="IZM67" s="170"/>
      <c r="IZN67" s="170"/>
      <c r="IZO67" s="170"/>
      <c r="IZP67" s="170"/>
      <c r="IZQ67" s="170"/>
      <c r="IZR67" s="170"/>
      <c r="IZS67" s="170"/>
      <c r="IZT67" s="170"/>
      <c r="IZU67" s="170"/>
      <c r="IZV67" s="170"/>
      <c r="IZW67" s="170"/>
      <c r="IZX67" s="170"/>
      <c r="IZY67" s="170"/>
      <c r="IZZ67" s="170"/>
      <c r="JAA67" s="170"/>
      <c r="JAB67" s="170"/>
      <c r="JAC67" s="170"/>
      <c r="JAD67" s="170"/>
      <c r="JAE67" s="170"/>
      <c r="JAF67" s="170"/>
      <c r="JAG67" s="170"/>
      <c r="JAH67" s="170"/>
      <c r="JAI67" s="170"/>
      <c r="JAJ67" s="170"/>
      <c r="JAK67" s="170"/>
      <c r="JAL67" s="170"/>
      <c r="JAM67" s="170"/>
      <c r="JAN67" s="170"/>
      <c r="JAO67" s="170"/>
      <c r="JAP67" s="170"/>
      <c r="JAQ67" s="170"/>
      <c r="JAR67" s="170"/>
      <c r="JAS67" s="170"/>
      <c r="JAT67" s="170"/>
      <c r="JAU67" s="170"/>
      <c r="JAV67" s="170"/>
      <c r="JAW67" s="170"/>
      <c r="JAX67" s="170"/>
      <c r="JAY67" s="170"/>
      <c r="JAZ67" s="170"/>
      <c r="JBA67" s="170"/>
      <c r="JBB67" s="170"/>
      <c r="JBC67" s="170"/>
      <c r="JBD67" s="170"/>
      <c r="JBE67" s="170"/>
      <c r="JBF67" s="170"/>
      <c r="JBG67" s="170"/>
      <c r="JBH67" s="170"/>
      <c r="JBI67" s="170"/>
      <c r="JBJ67" s="170"/>
      <c r="JBK67" s="170"/>
      <c r="JBL67" s="170"/>
      <c r="JBM67" s="170"/>
      <c r="JBN67" s="170"/>
      <c r="JBO67" s="170"/>
      <c r="JBP67" s="170"/>
      <c r="JBQ67" s="170"/>
      <c r="JBR67" s="170"/>
      <c r="JBS67" s="170"/>
      <c r="JBT67" s="170"/>
      <c r="JBU67" s="170"/>
      <c r="JBV67" s="170"/>
      <c r="JBW67" s="170"/>
      <c r="JBX67" s="170"/>
      <c r="JBY67" s="170"/>
      <c r="JBZ67" s="170"/>
      <c r="JCA67" s="170"/>
      <c r="JCB67" s="170"/>
      <c r="JCC67" s="170"/>
      <c r="JCD67" s="170"/>
      <c r="JCE67" s="170"/>
      <c r="JCF67" s="170"/>
      <c r="JCG67" s="170"/>
      <c r="JCH67" s="170"/>
      <c r="JCI67" s="170"/>
      <c r="JCJ67" s="170"/>
      <c r="JCK67" s="170"/>
      <c r="JCL67" s="170"/>
      <c r="JCM67" s="170"/>
      <c r="JCN67" s="170"/>
      <c r="JCO67" s="170"/>
      <c r="JCP67" s="170"/>
      <c r="JCQ67" s="170"/>
      <c r="JCR67" s="170"/>
      <c r="JCS67" s="170"/>
      <c r="JCT67" s="170"/>
      <c r="JCU67" s="170"/>
      <c r="JCV67" s="170"/>
      <c r="JCW67" s="170"/>
      <c r="JCX67" s="170"/>
      <c r="JCY67" s="170"/>
      <c r="JCZ67" s="170"/>
      <c r="JDA67" s="170"/>
      <c r="JDB67" s="170"/>
      <c r="JDC67" s="170"/>
      <c r="JDD67" s="170"/>
      <c r="JDE67" s="170"/>
      <c r="JDF67" s="170"/>
      <c r="JDG67" s="170"/>
      <c r="JDH67" s="170"/>
      <c r="JDI67" s="170"/>
      <c r="JDJ67" s="170"/>
      <c r="JDK67" s="170"/>
      <c r="JDL67" s="170"/>
      <c r="JDM67" s="170"/>
      <c r="JDN67" s="170"/>
      <c r="JDO67" s="170"/>
      <c r="JDP67" s="170"/>
      <c r="JDQ67" s="170"/>
      <c r="JDR67" s="170"/>
      <c r="JDS67" s="170"/>
      <c r="JDT67" s="170"/>
      <c r="JDU67" s="170"/>
      <c r="JDV67" s="170"/>
      <c r="JDW67" s="170"/>
      <c r="JDX67" s="170"/>
      <c r="JDY67" s="170"/>
      <c r="JDZ67" s="170"/>
      <c r="JEA67" s="170"/>
      <c r="JEB67" s="170"/>
      <c r="JEC67" s="170"/>
      <c r="JED67" s="170"/>
      <c r="JEE67" s="170"/>
      <c r="JEF67" s="170"/>
      <c r="JEG67" s="170"/>
      <c r="JEH67" s="170"/>
      <c r="JEI67" s="170"/>
      <c r="JEJ67" s="170"/>
      <c r="JEK67" s="170"/>
      <c r="JEL67" s="170"/>
      <c r="JEM67" s="170"/>
      <c r="JEN67" s="170"/>
      <c r="JEO67" s="170"/>
      <c r="JEP67" s="170"/>
      <c r="JEQ67" s="170"/>
      <c r="JER67" s="170"/>
      <c r="JES67" s="170"/>
      <c r="JET67" s="170"/>
      <c r="JEU67" s="170"/>
      <c r="JEV67" s="170"/>
      <c r="JEW67" s="170"/>
      <c r="JEX67" s="170"/>
      <c r="JEY67" s="170"/>
      <c r="JEZ67" s="170"/>
      <c r="JFA67" s="170"/>
      <c r="JFB67" s="170"/>
      <c r="JFC67" s="170"/>
      <c r="JFD67" s="170"/>
      <c r="JFE67" s="170"/>
      <c r="JFF67" s="170"/>
      <c r="JFG67" s="170"/>
      <c r="JFH67" s="170"/>
      <c r="JFI67" s="170"/>
      <c r="JFJ67" s="170"/>
      <c r="JFK67" s="170"/>
      <c r="JFL67" s="170"/>
      <c r="JFM67" s="170"/>
      <c r="JFN67" s="170"/>
      <c r="JFO67" s="170"/>
      <c r="JFP67" s="170"/>
      <c r="JFQ67" s="170"/>
      <c r="JFR67" s="170"/>
      <c r="JFS67" s="170"/>
      <c r="JFT67" s="170"/>
      <c r="JFU67" s="170"/>
      <c r="JFV67" s="170"/>
      <c r="JFW67" s="170"/>
      <c r="JFX67" s="170"/>
      <c r="JFY67" s="170"/>
      <c r="JFZ67" s="170"/>
      <c r="JGA67" s="170"/>
      <c r="JGB67" s="170"/>
      <c r="JGC67" s="170"/>
      <c r="JGD67" s="170"/>
      <c r="JGE67" s="170"/>
      <c r="JGF67" s="170"/>
      <c r="JGG67" s="170"/>
      <c r="JGH67" s="170"/>
      <c r="JGI67" s="170"/>
      <c r="JGJ67" s="170"/>
      <c r="JGK67" s="170"/>
      <c r="JGL67" s="170"/>
      <c r="JGM67" s="170"/>
      <c r="JGN67" s="170"/>
      <c r="JGO67" s="170"/>
      <c r="JGP67" s="170"/>
      <c r="JGQ67" s="170"/>
      <c r="JGR67" s="170"/>
      <c r="JGS67" s="170"/>
      <c r="JGT67" s="170"/>
      <c r="JGU67" s="170"/>
      <c r="JGV67" s="170"/>
      <c r="JGW67" s="170"/>
      <c r="JGX67" s="170"/>
      <c r="JGY67" s="170"/>
      <c r="JGZ67" s="170"/>
      <c r="JHA67" s="170"/>
      <c r="JHB67" s="170"/>
      <c r="JHC67" s="170"/>
      <c r="JHD67" s="170"/>
      <c r="JHE67" s="170"/>
      <c r="JHF67" s="170"/>
      <c r="JHG67" s="170"/>
      <c r="JHH67" s="170"/>
      <c r="JHI67" s="170"/>
      <c r="JHJ67" s="170"/>
      <c r="JHK67" s="170"/>
      <c r="JHL67" s="170"/>
      <c r="JHM67" s="170"/>
      <c r="JHN67" s="170"/>
      <c r="JHO67" s="170"/>
      <c r="JHP67" s="170"/>
      <c r="JHQ67" s="170"/>
      <c r="JHR67" s="170"/>
      <c r="JHS67" s="170"/>
      <c r="JHT67" s="170"/>
      <c r="JHU67" s="170"/>
      <c r="JHV67" s="170"/>
      <c r="JHW67" s="170"/>
      <c r="JHX67" s="170"/>
      <c r="JHY67" s="170"/>
      <c r="JHZ67" s="170"/>
      <c r="JIA67" s="170"/>
      <c r="JIB67" s="170"/>
      <c r="JIC67" s="170"/>
      <c r="JID67" s="170"/>
      <c r="JIE67" s="170"/>
      <c r="JIF67" s="170"/>
      <c r="JIG67" s="170"/>
      <c r="JIH67" s="170"/>
      <c r="JII67" s="170"/>
      <c r="JIJ67" s="170"/>
      <c r="JIK67" s="170"/>
      <c r="JIL67" s="170"/>
      <c r="JIM67" s="170"/>
      <c r="JIN67" s="170"/>
      <c r="JIO67" s="170"/>
      <c r="JIP67" s="170"/>
      <c r="JIQ67" s="170"/>
      <c r="JIR67" s="170"/>
      <c r="JIS67" s="170"/>
      <c r="JIT67" s="170"/>
      <c r="JIU67" s="170"/>
      <c r="JIV67" s="170"/>
      <c r="JIW67" s="170"/>
      <c r="JIX67" s="170"/>
      <c r="JIY67" s="170"/>
      <c r="JIZ67" s="170"/>
      <c r="JJA67" s="170"/>
      <c r="JJB67" s="170"/>
      <c r="JJC67" s="170"/>
      <c r="JJD67" s="170"/>
      <c r="JJE67" s="170"/>
      <c r="JJF67" s="170"/>
      <c r="JJG67" s="170"/>
      <c r="JJH67" s="170"/>
      <c r="JJI67" s="170"/>
      <c r="JJJ67" s="170"/>
      <c r="JJK67" s="170"/>
      <c r="JJL67" s="170"/>
      <c r="JJM67" s="170"/>
      <c r="JJN67" s="170"/>
      <c r="JJO67" s="170"/>
      <c r="JJP67" s="170"/>
      <c r="JJQ67" s="170"/>
      <c r="JJR67" s="170"/>
      <c r="JJS67" s="170"/>
      <c r="JJT67" s="170"/>
      <c r="JJU67" s="170"/>
      <c r="JJV67" s="170"/>
      <c r="JJW67" s="170"/>
      <c r="JJX67" s="170"/>
      <c r="JJY67" s="170"/>
      <c r="JJZ67" s="170"/>
      <c r="JKA67" s="170"/>
      <c r="JKB67" s="170"/>
      <c r="JKC67" s="170"/>
      <c r="JKD67" s="170"/>
      <c r="JKE67" s="170"/>
      <c r="JKF67" s="170"/>
      <c r="JKG67" s="170"/>
      <c r="JKH67" s="170"/>
      <c r="JKI67" s="170"/>
      <c r="JKJ67" s="170"/>
      <c r="JKK67" s="170"/>
      <c r="JKL67" s="170"/>
      <c r="JKM67" s="170"/>
      <c r="JKN67" s="170"/>
      <c r="JKO67" s="170"/>
      <c r="JKP67" s="170"/>
      <c r="JKQ67" s="170"/>
      <c r="JKR67" s="170"/>
      <c r="JKS67" s="170"/>
      <c r="JKT67" s="170"/>
      <c r="JKU67" s="170"/>
      <c r="JKV67" s="170"/>
      <c r="JKW67" s="170"/>
      <c r="JKX67" s="170"/>
      <c r="JKY67" s="170"/>
      <c r="JKZ67" s="170"/>
      <c r="JLA67" s="170"/>
      <c r="JLB67" s="170"/>
      <c r="JLC67" s="170"/>
      <c r="JLD67" s="170"/>
      <c r="JLE67" s="170"/>
      <c r="JLF67" s="170"/>
      <c r="JLG67" s="170"/>
      <c r="JLH67" s="170"/>
      <c r="JLI67" s="170"/>
      <c r="JLJ67" s="170"/>
      <c r="JLK67" s="170"/>
      <c r="JLL67" s="170"/>
      <c r="JLM67" s="170"/>
      <c r="JLN67" s="170"/>
      <c r="JLO67" s="170"/>
      <c r="JLP67" s="170"/>
      <c r="JLQ67" s="170"/>
      <c r="JLR67" s="170"/>
      <c r="JLS67" s="170"/>
      <c r="JLT67" s="170"/>
      <c r="JLU67" s="170"/>
      <c r="JLV67" s="170"/>
      <c r="JLW67" s="170"/>
      <c r="JLX67" s="170"/>
      <c r="JLY67" s="170"/>
      <c r="JLZ67" s="170"/>
      <c r="JMA67" s="170"/>
      <c r="JMB67" s="170"/>
      <c r="JMC67" s="170"/>
      <c r="JMD67" s="170"/>
      <c r="JME67" s="170"/>
      <c r="JMF67" s="170"/>
      <c r="JMG67" s="170"/>
      <c r="JMH67" s="170"/>
      <c r="JMI67" s="170"/>
      <c r="JMJ67" s="170"/>
      <c r="JMK67" s="170"/>
      <c r="JML67" s="170"/>
      <c r="JMM67" s="170"/>
      <c r="JMN67" s="170"/>
      <c r="JMO67" s="170"/>
      <c r="JMP67" s="170"/>
      <c r="JMQ67" s="170"/>
      <c r="JMR67" s="170"/>
      <c r="JMS67" s="170"/>
      <c r="JMT67" s="170"/>
      <c r="JMU67" s="170"/>
      <c r="JMV67" s="170"/>
      <c r="JMW67" s="170"/>
      <c r="JMX67" s="170"/>
      <c r="JMY67" s="170"/>
      <c r="JMZ67" s="170"/>
      <c r="JNA67" s="170"/>
      <c r="JNB67" s="170"/>
      <c r="JNC67" s="170"/>
      <c r="JND67" s="170"/>
      <c r="JNE67" s="170"/>
      <c r="JNF67" s="170"/>
      <c r="JNG67" s="170"/>
      <c r="JNH67" s="170"/>
      <c r="JNI67" s="170"/>
      <c r="JNJ67" s="170"/>
      <c r="JNK67" s="170"/>
      <c r="JNL67" s="170"/>
      <c r="JNM67" s="170"/>
      <c r="JNN67" s="170"/>
      <c r="JNO67" s="170"/>
      <c r="JNP67" s="170"/>
      <c r="JNQ67" s="170"/>
      <c r="JNR67" s="170"/>
      <c r="JNS67" s="170"/>
      <c r="JNT67" s="170"/>
      <c r="JNU67" s="170"/>
      <c r="JNV67" s="170"/>
      <c r="JNW67" s="170"/>
      <c r="JNX67" s="170"/>
      <c r="JNY67" s="170"/>
      <c r="JNZ67" s="170"/>
      <c r="JOA67" s="170"/>
      <c r="JOB67" s="170"/>
      <c r="JOC67" s="170"/>
      <c r="JOD67" s="170"/>
      <c r="JOE67" s="170"/>
      <c r="JOF67" s="170"/>
      <c r="JOG67" s="170"/>
      <c r="JOH67" s="170"/>
      <c r="JOI67" s="170"/>
      <c r="JOJ67" s="170"/>
      <c r="JOK67" s="170"/>
      <c r="JOL67" s="170"/>
      <c r="JOM67" s="170"/>
      <c r="JON67" s="170"/>
      <c r="JOO67" s="170"/>
      <c r="JOP67" s="170"/>
      <c r="JOQ67" s="170"/>
      <c r="JOR67" s="170"/>
      <c r="JOS67" s="170"/>
      <c r="JOT67" s="170"/>
      <c r="JOU67" s="170"/>
      <c r="JOV67" s="170"/>
      <c r="JOW67" s="170"/>
      <c r="JOX67" s="170"/>
      <c r="JOY67" s="170"/>
      <c r="JOZ67" s="170"/>
      <c r="JPA67" s="170"/>
      <c r="JPB67" s="170"/>
      <c r="JPC67" s="170"/>
      <c r="JPD67" s="170"/>
      <c r="JPE67" s="170"/>
      <c r="JPF67" s="170"/>
      <c r="JPG67" s="170"/>
      <c r="JPH67" s="170"/>
      <c r="JPI67" s="170"/>
      <c r="JPJ67" s="170"/>
      <c r="JPK67" s="170"/>
      <c r="JPL67" s="170"/>
      <c r="JPM67" s="170"/>
      <c r="JPN67" s="170"/>
      <c r="JPO67" s="170"/>
      <c r="JPP67" s="170"/>
      <c r="JPQ67" s="170"/>
      <c r="JPR67" s="170"/>
      <c r="JPS67" s="170"/>
      <c r="JPT67" s="170"/>
      <c r="JPU67" s="170"/>
      <c r="JPV67" s="170"/>
      <c r="JPW67" s="170"/>
      <c r="JPX67" s="170"/>
      <c r="JPY67" s="170"/>
      <c r="JPZ67" s="170"/>
      <c r="JQA67" s="170"/>
      <c r="JQB67" s="170"/>
      <c r="JQC67" s="170"/>
      <c r="JQD67" s="170"/>
      <c r="JQE67" s="170"/>
      <c r="JQF67" s="170"/>
      <c r="JQG67" s="170"/>
      <c r="JQH67" s="170"/>
      <c r="JQI67" s="170"/>
      <c r="JQJ67" s="170"/>
      <c r="JQK67" s="170"/>
      <c r="JQL67" s="170"/>
      <c r="JQM67" s="170"/>
      <c r="JQN67" s="170"/>
      <c r="JQO67" s="170"/>
      <c r="JQP67" s="170"/>
      <c r="JQQ67" s="170"/>
      <c r="JQR67" s="170"/>
      <c r="JQS67" s="170"/>
      <c r="JQT67" s="170"/>
      <c r="JQU67" s="170"/>
      <c r="JQV67" s="170"/>
      <c r="JQW67" s="170"/>
      <c r="JQX67" s="170"/>
      <c r="JQY67" s="170"/>
      <c r="JQZ67" s="170"/>
      <c r="JRA67" s="170"/>
      <c r="JRB67" s="170"/>
      <c r="JRC67" s="170"/>
      <c r="JRD67" s="170"/>
      <c r="JRE67" s="170"/>
      <c r="JRF67" s="170"/>
      <c r="JRG67" s="170"/>
      <c r="JRH67" s="170"/>
      <c r="JRI67" s="170"/>
      <c r="JRJ67" s="170"/>
      <c r="JRK67" s="170"/>
      <c r="JRL67" s="170"/>
      <c r="JRM67" s="170"/>
      <c r="JRN67" s="170"/>
      <c r="JRO67" s="170"/>
      <c r="JRP67" s="170"/>
      <c r="JRQ67" s="170"/>
      <c r="JRR67" s="170"/>
      <c r="JRS67" s="170"/>
      <c r="JRT67" s="170"/>
      <c r="JRU67" s="170"/>
      <c r="JRV67" s="170"/>
      <c r="JRW67" s="170"/>
      <c r="JRX67" s="170"/>
      <c r="JRY67" s="170"/>
      <c r="JRZ67" s="170"/>
      <c r="JSA67" s="170"/>
      <c r="JSB67" s="170"/>
      <c r="JSC67" s="170"/>
      <c r="JSD67" s="170"/>
      <c r="JSE67" s="170"/>
      <c r="JSF67" s="170"/>
      <c r="JSG67" s="170"/>
      <c r="JSH67" s="170"/>
      <c r="JSI67" s="170"/>
      <c r="JSJ67" s="170"/>
      <c r="JSK67" s="170"/>
      <c r="JSL67" s="170"/>
      <c r="JSM67" s="170"/>
      <c r="JSN67" s="170"/>
      <c r="JSO67" s="170"/>
      <c r="JSP67" s="170"/>
      <c r="JSQ67" s="170"/>
      <c r="JSR67" s="170"/>
      <c r="JSS67" s="170"/>
      <c r="JST67" s="170"/>
      <c r="JSU67" s="170"/>
      <c r="JSV67" s="170"/>
      <c r="JSW67" s="170"/>
      <c r="JSX67" s="170"/>
      <c r="JSY67" s="170"/>
      <c r="JSZ67" s="170"/>
      <c r="JTA67" s="170"/>
      <c r="JTB67" s="170"/>
      <c r="JTC67" s="170"/>
      <c r="JTD67" s="170"/>
      <c r="JTE67" s="170"/>
      <c r="JTF67" s="170"/>
      <c r="JTG67" s="170"/>
      <c r="JTH67" s="170"/>
      <c r="JTI67" s="170"/>
      <c r="JTJ67" s="170"/>
      <c r="JTK67" s="170"/>
      <c r="JTL67" s="170"/>
      <c r="JTM67" s="170"/>
      <c r="JTN67" s="170"/>
      <c r="JTO67" s="170"/>
      <c r="JTP67" s="170"/>
      <c r="JTQ67" s="170"/>
      <c r="JTR67" s="170"/>
      <c r="JTS67" s="170"/>
      <c r="JTT67" s="170"/>
      <c r="JTU67" s="170"/>
      <c r="JTV67" s="170"/>
      <c r="JTW67" s="170"/>
      <c r="JTX67" s="170"/>
      <c r="JTY67" s="170"/>
      <c r="JTZ67" s="170"/>
      <c r="JUA67" s="170"/>
      <c r="JUB67" s="170"/>
      <c r="JUC67" s="170"/>
      <c r="JUD67" s="170"/>
      <c r="JUE67" s="170"/>
      <c r="JUF67" s="170"/>
      <c r="JUG67" s="170"/>
      <c r="JUH67" s="170"/>
      <c r="JUI67" s="170"/>
      <c r="JUJ67" s="170"/>
      <c r="JUK67" s="170"/>
      <c r="JUL67" s="170"/>
      <c r="JUM67" s="170"/>
      <c r="JUN67" s="170"/>
      <c r="JUO67" s="170"/>
      <c r="JUP67" s="170"/>
      <c r="JUQ67" s="170"/>
      <c r="JUR67" s="170"/>
      <c r="JUS67" s="170"/>
      <c r="JUT67" s="170"/>
      <c r="JUU67" s="170"/>
      <c r="JUV67" s="170"/>
      <c r="JUW67" s="170"/>
      <c r="JUX67" s="170"/>
      <c r="JUY67" s="170"/>
      <c r="JUZ67" s="170"/>
      <c r="JVA67" s="170"/>
      <c r="JVB67" s="170"/>
      <c r="JVC67" s="170"/>
      <c r="JVD67" s="170"/>
      <c r="JVE67" s="170"/>
      <c r="JVF67" s="170"/>
      <c r="JVG67" s="170"/>
      <c r="JVH67" s="170"/>
      <c r="JVI67" s="170"/>
      <c r="JVJ67" s="170"/>
      <c r="JVK67" s="170"/>
      <c r="JVL67" s="170"/>
      <c r="JVM67" s="170"/>
      <c r="JVN67" s="170"/>
      <c r="JVO67" s="170"/>
      <c r="JVP67" s="170"/>
      <c r="JVQ67" s="170"/>
      <c r="JVR67" s="170"/>
      <c r="JVS67" s="170"/>
      <c r="JVT67" s="170"/>
      <c r="JVU67" s="170"/>
      <c r="JVV67" s="170"/>
      <c r="JVW67" s="170"/>
      <c r="JVX67" s="170"/>
      <c r="JVY67" s="170"/>
      <c r="JVZ67" s="170"/>
      <c r="JWA67" s="170"/>
      <c r="JWB67" s="170"/>
      <c r="JWC67" s="170"/>
      <c r="JWD67" s="170"/>
      <c r="JWE67" s="170"/>
      <c r="JWF67" s="170"/>
      <c r="JWG67" s="170"/>
      <c r="JWH67" s="170"/>
      <c r="JWI67" s="170"/>
      <c r="JWJ67" s="170"/>
      <c r="JWK67" s="170"/>
      <c r="JWL67" s="170"/>
      <c r="JWM67" s="170"/>
      <c r="JWN67" s="170"/>
      <c r="JWO67" s="170"/>
      <c r="JWP67" s="170"/>
      <c r="JWQ67" s="170"/>
      <c r="JWR67" s="170"/>
      <c r="JWS67" s="170"/>
      <c r="JWT67" s="170"/>
      <c r="JWU67" s="170"/>
      <c r="JWV67" s="170"/>
      <c r="JWW67" s="170"/>
      <c r="JWX67" s="170"/>
      <c r="JWY67" s="170"/>
      <c r="JWZ67" s="170"/>
      <c r="JXA67" s="170"/>
      <c r="JXB67" s="170"/>
      <c r="JXC67" s="170"/>
      <c r="JXD67" s="170"/>
      <c r="JXE67" s="170"/>
      <c r="JXF67" s="170"/>
      <c r="JXG67" s="170"/>
      <c r="JXH67" s="170"/>
      <c r="JXI67" s="170"/>
      <c r="JXJ67" s="170"/>
      <c r="JXK67" s="170"/>
      <c r="JXL67" s="170"/>
      <c r="JXM67" s="170"/>
      <c r="JXN67" s="170"/>
      <c r="JXO67" s="170"/>
      <c r="JXP67" s="170"/>
      <c r="JXQ67" s="170"/>
      <c r="JXR67" s="170"/>
      <c r="JXS67" s="170"/>
      <c r="JXT67" s="170"/>
      <c r="JXU67" s="170"/>
      <c r="JXV67" s="170"/>
      <c r="JXW67" s="170"/>
      <c r="JXX67" s="170"/>
      <c r="JXY67" s="170"/>
      <c r="JXZ67" s="170"/>
      <c r="JYA67" s="170"/>
      <c r="JYB67" s="170"/>
      <c r="JYC67" s="170"/>
      <c r="JYD67" s="170"/>
      <c r="JYE67" s="170"/>
      <c r="JYF67" s="170"/>
      <c r="JYG67" s="170"/>
      <c r="JYH67" s="170"/>
      <c r="JYI67" s="170"/>
      <c r="JYJ67" s="170"/>
      <c r="JYK67" s="170"/>
      <c r="JYL67" s="170"/>
      <c r="JYM67" s="170"/>
      <c r="JYN67" s="170"/>
      <c r="JYO67" s="170"/>
      <c r="JYP67" s="170"/>
      <c r="JYQ67" s="170"/>
      <c r="JYR67" s="170"/>
      <c r="JYS67" s="170"/>
      <c r="JYT67" s="170"/>
      <c r="JYU67" s="170"/>
      <c r="JYV67" s="170"/>
      <c r="JYW67" s="170"/>
      <c r="JYX67" s="170"/>
      <c r="JYY67" s="170"/>
      <c r="JYZ67" s="170"/>
      <c r="JZA67" s="170"/>
      <c r="JZB67" s="170"/>
      <c r="JZC67" s="170"/>
      <c r="JZD67" s="170"/>
      <c r="JZE67" s="170"/>
      <c r="JZF67" s="170"/>
      <c r="JZG67" s="170"/>
      <c r="JZH67" s="170"/>
      <c r="JZI67" s="170"/>
      <c r="JZJ67" s="170"/>
      <c r="JZK67" s="170"/>
      <c r="JZL67" s="170"/>
      <c r="JZM67" s="170"/>
      <c r="JZN67" s="170"/>
      <c r="JZO67" s="170"/>
      <c r="JZP67" s="170"/>
      <c r="JZQ67" s="170"/>
      <c r="JZR67" s="170"/>
      <c r="JZS67" s="170"/>
      <c r="JZT67" s="170"/>
      <c r="JZU67" s="170"/>
      <c r="JZV67" s="170"/>
      <c r="JZW67" s="170"/>
      <c r="JZX67" s="170"/>
      <c r="JZY67" s="170"/>
      <c r="JZZ67" s="170"/>
      <c r="KAA67" s="170"/>
      <c r="KAB67" s="170"/>
      <c r="KAC67" s="170"/>
      <c r="KAD67" s="170"/>
      <c r="KAE67" s="170"/>
      <c r="KAF67" s="170"/>
      <c r="KAG67" s="170"/>
      <c r="KAH67" s="170"/>
      <c r="KAI67" s="170"/>
      <c r="KAJ67" s="170"/>
      <c r="KAK67" s="170"/>
      <c r="KAL67" s="170"/>
      <c r="KAM67" s="170"/>
      <c r="KAN67" s="170"/>
      <c r="KAO67" s="170"/>
      <c r="KAP67" s="170"/>
      <c r="KAQ67" s="170"/>
      <c r="KAR67" s="170"/>
      <c r="KAS67" s="170"/>
      <c r="KAT67" s="170"/>
      <c r="KAU67" s="170"/>
      <c r="KAV67" s="170"/>
      <c r="KAW67" s="170"/>
      <c r="KAX67" s="170"/>
      <c r="KAY67" s="170"/>
      <c r="KAZ67" s="170"/>
      <c r="KBA67" s="170"/>
      <c r="KBB67" s="170"/>
      <c r="KBC67" s="170"/>
      <c r="KBD67" s="170"/>
      <c r="KBE67" s="170"/>
      <c r="KBF67" s="170"/>
      <c r="KBG67" s="170"/>
      <c r="KBH67" s="170"/>
      <c r="KBI67" s="170"/>
      <c r="KBJ67" s="170"/>
      <c r="KBK67" s="170"/>
      <c r="KBL67" s="170"/>
      <c r="KBM67" s="170"/>
      <c r="KBN67" s="170"/>
      <c r="KBO67" s="170"/>
      <c r="KBP67" s="170"/>
      <c r="KBQ67" s="170"/>
      <c r="KBR67" s="170"/>
      <c r="KBS67" s="170"/>
      <c r="KBT67" s="170"/>
      <c r="KBU67" s="170"/>
      <c r="KBV67" s="170"/>
      <c r="KBW67" s="170"/>
      <c r="KBX67" s="170"/>
      <c r="KBY67" s="170"/>
      <c r="KBZ67" s="170"/>
      <c r="KCA67" s="170"/>
      <c r="KCB67" s="170"/>
      <c r="KCC67" s="170"/>
      <c r="KCD67" s="170"/>
      <c r="KCE67" s="170"/>
      <c r="KCF67" s="170"/>
      <c r="KCG67" s="170"/>
      <c r="KCH67" s="170"/>
      <c r="KCI67" s="170"/>
      <c r="KCJ67" s="170"/>
      <c r="KCK67" s="170"/>
      <c r="KCL67" s="170"/>
      <c r="KCM67" s="170"/>
      <c r="KCN67" s="170"/>
      <c r="KCO67" s="170"/>
      <c r="KCP67" s="170"/>
      <c r="KCQ67" s="170"/>
      <c r="KCR67" s="170"/>
      <c r="KCS67" s="170"/>
      <c r="KCT67" s="170"/>
      <c r="KCU67" s="170"/>
      <c r="KCV67" s="170"/>
      <c r="KCW67" s="170"/>
      <c r="KCX67" s="170"/>
      <c r="KCY67" s="170"/>
      <c r="KCZ67" s="170"/>
      <c r="KDA67" s="170"/>
      <c r="KDB67" s="170"/>
      <c r="KDC67" s="170"/>
      <c r="KDD67" s="170"/>
      <c r="KDE67" s="170"/>
      <c r="KDF67" s="170"/>
      <c r="KDG67" s="170"/>
      <c r="KDH67" s="170"/>
      <c r="KDI67" s="170"/>
      <c r="KDJ67" s="170"/>
      <c r="KDK67" s="170"/>
      <c r="KDL67" s="170"/>
      <c r="KDM67" s="170"/>
      <c r="KDN67" s="170"/>
      <c r="KDO67" s="170"/>
      <c r="KDP67" s="170"/>
      <c r="KDQ67" s="170"/>
      <c r="KDR67" s="170"/>
      <c r="KDS67" s="170"/>
      <c r="KDT67" s="170"/>
      <c r="KDU67" s="170"/>
      <c r="KDV67" s="170"/>
      <c r="KDW67" s="170"/>
      <c r="KDX67" s="170"/>
      <c r="KDY67" s="170"/>
      <c r="KDZ67" s="170"/>
      <c r="KEA67" s="170"/>
      <c r="KEB67" s="170"/>
      <c r="KEC67" s="170"/>
      <c r="KED67" s="170"/>
      <c r="KEE67" s="170"/>
      <c r="KEF67" s="170"/>
      <c r="KEG67" s="170"/>
      <c r="KEH67" s="170"/>
      <c r="KEI67" s="170"/>
      <c r="KEJ67" s="170"/>
      <c r="KEK67" s="170"/>
      <c r="KEL67" s="170"/>
      <c r="KEM67" s="170"/>
      <c r="KEN67" s="170"/>
      <c r="KEO67" s="170"/>
      <c r="KEP67" s="170"/>
      <c r="KEQ67" s="170"/>
      <c r="KER67" s="170"/>
      <c r="KES67" s="170"/>
      <c r="KET67" s="170"/>
      <c r="KEU67" s="170"/>
      <c r="KEV67" s="170"/>
      <c r="KEW67" s="170"/>
      <c r="KEX67" s="170"/>
      <c r="KEY67" s="170"/>
      <c r="KEZ67" s="170"/>
      <c r="KFA67" s="170"/>
      <c r="KFB67" s="170"/>
      <c r="KFC67" s="170"/>
      <c r="KFD67" s="170"/>
      <c r="KFE67" s="170"/>
      <c r="KFF67" s="170"/>
      <c r="KFG67" s="170"/>
      <c r="KFH67" s="170"/>
      <c r="KFI67" s="170"/>
      <c r="KFJ67" s="170"/>
      <c r="KFK67" s="170"/>
      <c r="KFL67" s="170"/>
      <c r="KFM67" s="170"/>
      <c r="KFN67" s="170"/>
      <c r="KFO67" s="170"/>
      <c r="KFP67" s="170"/>
      <c r="KFQ67" s="170"/>
      <c r="KFR67" s="170"/>
      <c r="KFS67" s="170"/>
      <c r="KFT67" s="170"/>
      <c r="KFU67" s="170"/>
      <c r="KFV67" s="170"/>
      <c r="KFW67" s="170"/>
      <c r="KFX67" s="170"/>
      <c r="KFY67" s="170"/>
      <c r="KFZ67" s="170"/>
      <c r="KGA67" s="170"/>
      <c r="KGB67" s="170"/>
      <c r="KGC67" s="170"/>
      <c r="KGD67" s="170"/>
      <c r="KGE67" s="170"/>
      <c r="KGF67" s="170"/>
      <c r="KGG67" s="170"/>
      <c r="KGH67" s="170"/>
      <c r="KGI67" s="170"/>
      <c r="KGJ67" s="170"/>
      <c r="KGK67" s="170"/>
      <c r="KGL67" s="170"/>
      <c r="KGM67" s="170"/>
      <c r="KGN67" s="170"/>
      <c r="KGO67" s="170"/>
      <c r="KGP67" s="170"/>
      <c r="KGQ67" s="170"/>
      <c r="KGR67" s="170"/>
      <c r="KGS67" s="170"/>
      <c r="KGT67" s="170"/>
      <c r="KGU67" s="170"/>
      <c r="KGV67" s="170"/>
      <c r="KGW67" s="170"/>
      <c r="KGX67" s="170"/>
      <c r="KGY67" s="170"/>
      <c r="KGZ67" s="170"/>
      <c r="KHA67" s="170"/>
      <c r="KHB67" s="170"/>
      <c r="KHC67" s="170"/>
      <c r="KHD67" s="170"/>
      <c r="KHE67" s="170"/>
      <c r="KHF67" s="170"/>
      <c r="KHG67" s="170"/>
      <c r="KHH67" s="170"/>
      <c r="KHI67" s="170"/>
      <c r="KHJ67" s="170"/>
      <c r="KHK67" s="170"/>
      <c r="KHL67" s="170"/>
      <c r="KHM67" s="170"/>
      <c r="KHN67" s="170"/>
      <c r="KHO67" s="170"/>
      <c r="KHP67" s="170"/>
      <c r="KHQ67" s="170"/>
      <c r="KHR67" s="170"/>
      <c r="KHS67" s="170"/>
      <c r="KHT67" s="170"/>
      <c r="KHU67" s="170"/>
      <c r="KHV67" s="170"/>
      <c r="KHW67" s="170"/>
      <c r="KHX67" s="170"/>
      <c r="KHY67" s="170"/>
      <c r="KHZ67" s="170"/>
      <c r="KIA67" s="170"/>
      <c r="KIB67" s="170"/>
      <c r="KIC67" s="170"/>
      <c r="KID67" s="170"/>
      <c r="KIE67" s="170"/>
      <c r="KIF67" s="170"/>
      <c r="KIG67" s="170"/>
      <c r="KIH67" s="170"/>
      <c r="KII67" s="170"/>
      <c r="KIJ67" s="170"/>
      <c r="KIK67" s="170"/>
      <c r="KIL67" s="170"/>
      <c r="KIM67" s="170"/>
      <c r="KIN67" s="170"/>
      <c r="KIO67" s="170"/>
      <c r="KIP67" s="170"/>
      <c r="KIQ67" s="170"/>
      <c r="KIR67" s="170"/>
      <c r="KIS67" s="170"/>
      <c r="KIT67" s="170"/>
      <c r="KIU67" s="170"/>
      <c r="KIV67" s="170"/>
      <c r="KIW67" s="170"/>
      <c r="KIX67" s="170"/>
      <c r="KIY67" s="170"/>
      <c r="KIZ67" s="170"/>
      <c r="KJA67" s="170"/>
      <c r="KJB67" s="170"/>
      <c r="KJC67" s="170"/>
      <c r="KJD67" s="170"/>
      <c r="KJE67" s="170"/>
      <c r="KJF67" s="170"/>
      <c r="KJG67" s="170"/>
      <c r="KJH67" s="170"/>
      <c r="KJI67" s="170"/>
      <c r="KJJ67" s="170"/>
      <c r="KJK67" s="170"/>
      <c r="KJL67" s="170"/>
      <c r="KJM67" s="170"/>
      <c r="KJN67" s="170"/>
      <c r="KJO67" s="170"/>
      <c r="KJP67" s="170"/>
      <c r="KJQ67" s="170"/>
      <c r="KJR67" s="170"/>
      <c r="KJS67" s="170"/>
      <c r="KJT67" s="170"/>
      <c r="KJU67" s="170"/>
      <c r="KJV67" s="170"/>
      <c r="KJW67" s="170"/>
      <c r="KJX67" s="170"/>
      <c r="KJY67" s="170"/>
      <c r="KJZ67" s="170"/>
      <c r="KKA67" s="170"/>
      <c r="KKB67" s="170"/>
      <c r="KKC67" s="170"/>
      <c r="KKD67" s="170"/>
      <c r="KKE67" s="170"/>
      <c r="KKF67" s="170"/>
      <c r="KKG67" s="170"/>
      <c r="KKH67" s="170"/>
      <c r="KKI67" s="170"/>
      <c r="KKJ67" s="170"/>
      <c r="KKK67" s="170"/>
      <c r="KKL67" s="170"/>
      <c r="KKM67" s="170"/>
      <c r="KKN67" s="170"/>
      <c r="KKO67" s="170"/>
      <c r="KKP67" s="170"/>
      <c r="KKQ67" s="170"/>
      <c r="KKR67" s="170"/>
      <c r="KKS67" s="170"/>
      <c r="KKT67" s="170"/>
      <c r="KKU67" s="170"/>
      <c r="KKV67" s="170"/>
      <c r="KKW67" s="170"/>
      <c r="KKX67" s="170"/>
      <c r="KKY67" s="170"/>
      <c r="KKZ67" s="170"/>
      <c r="KLA67" s="170"/>
      <c r="KLB67" s="170"/>
      <c r="KLC67" s="170"/>
      <c r="KLD67" s="170"/>
      <c r="KLE67" s="170"/>
      <c r="KLF67" s="170"/>
      <c r="KLG67" s="170"/>
      <c r="KLH67" s="170"/>
      <c r="KLI67" s="170"/>
      <c r="KLJ67" s="170"/>
      <c r="KLK67" s="170"/>
      <c r="KLL67" s="170"/>
      <c r="KLM67" s="170"/>
      <c r="KLN67" s="170"/>
      <c r="KLO67" s="170"/>
      <c r="KLP67" s="170"/>
      <c r="KLQ67" s="170"/>
      <c r="KLR67" s="170"/>
      <c r="KLS67" s="170"/>
      <c r="KLT67" s="170"/>
      <c r="KLU67" s="170"/>
      <c r="KLV67" s="170"/>
      <c r="KLW67" s="170"/>
      <c r="KLX67" s="170"/>
      <c r="KLY67" s="170"/>
      <c r="KLZ67" s="170"/>
      <c r="KMA67" s="170"/>
      <c r="KMB67" s="170"/>
      <c r="KMC67" s="170"/>
      <c r="KMD67" s="170"/>
      <c r="KME67" s="170"/>
      <c r="KMF67" s="170"/>
      <c r="KMG67" s="170"/>
      <c r="KMH67" s="170"/>
      <c r="KMI67" s="170"/>
      <c r="KMJ67" s="170"/>
      <c r="KMK67" s="170"/>
      <c r="KML67" s="170"/>
      <c r="KMM67" s="170"/>
      <c r="KMN67" s="170"/>
      <c r="KMO67" s="170"/>
      <c r="KMP67" s="170"/>
      <c r="KMQ67" s="170"/>
      <c r="KMR67" s="170"/>
      <c r="KMS67" s="170"/>
      <c r="KMT67" s="170"/>
      <c r="KMU67" s="170"/>
      <c r="KMV67" s="170"/>
      <c r="KMW67" s="170"/>
      <c r="KMX67" s="170"/>
      <c r="KMY67" s="170"/>
      <c r="KMZ67" s="170"/>
      <c r="KNA67" s="170"/>
      <c r="KNB67" s="170"/>
      <c r="KNC67" s="170"/>
      <c r="KND67" s="170"/>
      <c r="KNE67" s="170"/>
      <c r="KNF67" s="170"/>
      <c r="KNG67" s="170"/>
      <c r="KNH67" s="170"/>
      <c r="KNI67" s="170"/>
      <c r="KNJ67" s="170"/>
      <c r="KNK67" s="170"/>
      <c r="KNL67" s="170"/>
      <c r="KNM67" s="170"/>
      <c r="KNN67" s="170"/>
      <c r="KNO67" s="170"/>
      <c r="KNP67" s="170"/>
      <c r="KNQ67" s="170"/>
      <c r="KNR67" s="170"/>
      <c r="KNS67" s="170"/>
      <c r="KNT67" s="170"/>
      <c r="KNU67" s="170"/>
      <c r="KNV67" s="170"/>
      <c r="KNW67" s="170"/>
      <c r="KNX67" s="170"/>
      <c r="KNY67" s="170"/>
      <c r="KNZ67" s="170"/>
      <c r="KOA67" s="170"/>
      <c r="KOB67" s="170"/>
      <c r="KOC67" s="170"/>
      <c r="KOD67" s="170"/>
      <c r="KOE67" s="170"/>
      <c r="KOF67" s="170"/>
      <c r="KOG67" s="170"/>
      <c r="KOH67" s="170"/>
      <c r="KOI67" s="170"/>
      <c r="KOJ67" s="170"/>
      <c r="KOK67" s="170"/>
      <c r="KOL67" s="170"/>
      <c r="KOM67" s="170"/>
      <c r="KON67" s="170"/>
      <c r="KOO67" s="170"/>
      <c r="KOP67" s="170"/>
      <c r="KOQ67" s="170"/>
      <c r="KOR67" s="170"/>
      <c r="KOS67" s="170"/>
      <c r="KOT67" s="170"/>
      <c r="KOU67" s="170"/>
      <c r="KOV67" s="170"/>
      <c r="KOW67" s="170"/>
      <c r="KOX67" s="170"/>
      <c r="KOY67" s="170"/>
      <c r="KOZ67" s="170"/>
      <c r="KPA67" s="170"/>
      <c r="KPB67" s="170"/>
      <c r="KPC67" s="170"/>
      <c r="KPD67" s="170"/>
      <c r="KPE67" s="170"/>
      <c r="KPF67" s="170"/>
      <c r="KPG67" s="170"/>
      <c r="KPH67" s="170"/>
      <c r="KPI67" s="170"/>
      <c r="KPJ67" s="170"/>
      <c r="KPK67" s="170"/>
      <c r="KPL67" s="170"/>
      <c r="KPM67" s="170"/>
      <c r="KPN67" s="170"/>
      <c r="KPO67" s="170"/>
      <c r="KPP67" s="170"/>
      <c r="KPQ67" s="170"/>
      <c r="KPR67" s="170"/>
      <c r="KPS67" s="170"/>
      <c r="KPT67" s="170"/>
      <c r="KPU67" s="170"/>
      <c r="KPV67" s="170"/>
      <c r="KPW67" s="170"/>
      <c r="KPX67" s="170"/>
      <c r="KPY67" s="170"/>
      <c r="KPZ67" s="170"/>
      <c r="KQA67" s="170"/>
      <c r="KQB67" s="170"/>
      <c r="KQC67" s="170"/>
      <c r="KQD67" s="170"/>
      <c r="KQE67" s="170"/>
      <c r="KQF67" s="170"/>
      <c r="KQG67" s="170"/>
      <c r="KQH67" s="170"/>
      <c r="KQI67" s="170"/>
      <c r="KQJ67" s="170"/>
      <c r="KQK67" s="170"/>
      <c r="KQL67" s="170"/>
      <c r="KQM67" s="170"/>
      <c r="KQN67" s="170"/>
      <c r="KQO67" s="170"/>
      <c r="KQP67" s="170"/>
      <c r="KQQ67" s="170"/>
      <c r="KQR67" s="170"/>
      <c r="KQS67" s="170"/>
      <c r="KQT67" s="170"/>
      <c r="KQU67" s="170"/>
      <c r="KQV67" s="170"/>
      <c r="KQW67" s="170"/>
      <c r="KQX67" s="170"/>
      <c r="KQY67" s="170"/>
      <c r="KQZ67" s="170"/>
      <c r="KRA67" s="170"/>
      <c r="KRB67" s="170"/>
      <c r="KRC67" s="170"/>
      <c r="KRD67" s="170"/>
      <c r="KRE67" s="170"/>
      <c r="KRF67" s="170"/>
      <c r="KRG67" s="170"/>
      <c r="KRH67" s="170"/>
      <c r="KRI67" s="170"/>
      <c r="KRJ67" s="170"/>
      <c r="KRK67" s="170"/>
      <c r="KRL67" s="170"/>
      <c r="KRM67" s="170"/>
      <c r="KRN67" s="170"/>
      <c r="KRO67" s="170"/>
      <c r="KRP67" s="170"/>
      <c r="KRQ67" s="170"/>
      <c r="KRR67" s="170"/>
      <c r="KRS67" s="170"/>
      <c r="KRT67" s="170"/>
      <c r="KRU67" s="170"/>
      <c r="KRV67" s="170"/>
      <c r="KRW67" s="170"/>
      <c r="KRX67" s="170"/>
      <c r="KRY67" s="170"/>
      <c r="KRZ67" s="170"/>
      <c r="KSA67" s="170"/>
      <c r="KSB67" s="170"/>
      <c r="KSC67" s="170"/>
      <c r="KSD67" s="170"/>
      <c r="KSE67" s="170"/>
      <c r="KSF67" s="170"/>
      <c r="KSG67" s="170"/>
      <c r="KSH67" s="170"/>
      <c r="KSI67" s="170"/>
      <c r="KSJ67" s="170"/>
      <c r="KSK67" s="170"/>
      <c r="KSL67" s="170"/>
      <c r="KSM67" s="170"/>
      <c r="KSN67" s="170"/>
      <c r="KSO67" s="170"/>
      <c r="KSP67" s="170"/>
      <c r="KSQ67" s="170"/>
      <c r="KSR67" s="170"/>
      <c r="KSS67" s="170"/>
      <c r="KST67" s="170"/>
      <c r="KSU67" s="170"/>
      <c r="KSV67" s="170"/>
      <c r="KSW67" s="170"/>
      <c r="KSX67" s="170"/>
      <c r="KSY67" s="170"/>
      <c r="KSZ67" s="170"/>
      <c r="KTA67" s="170"/>
      <c r="KTB67" s="170"/>
      <c r="KTC67" s="170"/>
      <c r="KTD67" s="170"/>
      <c r="KTE67" s="170"/>
      <c r="KTF67" s="170"/>
      <c r="KTG67" s="170"/>
      <c r="KTH67" s="170"/>
      <c r="KTI67" s="170"/>
      <c r="KTJ67" s="170"/>
      <c r="KTK67" s="170"/>
      <c r="KTL67" s="170"/>
      <c r="KTM67" s="170"/>
      <c r="KTN67" s="170"/>
      <c r="KTO67" s="170"/>
      <c r="KTP67" s="170"/>
      <c r="KTQ67" s="170"/>
      <c r="KTR67" s="170"/>
      <c r="KTS67" s="170"/>
      <c r="KTT67" s="170"/>
      <c r="KTU67" s="170"/>
      <c r="KTV67" s="170"/>
      <c r="KTW67" s="170"/>
      <c r="KTX67" s="170"/>
      <c r="KTY67" s="170"/>
      <c r="KTZ67" s="170"/>
      <c r="KUA67" s="170"/>
      <c r="KUB67" s="170"/>
      <c r="KUC67" s="170"/>
      <c r="KUD67" s="170"/>
      <c r="KUE67" s="170"/>
      <c r="KUF67" s="170"/>
      <c r="KUG67" s="170"/>
      <c r="KUH67" s="170"/>
      <c r="KUI67" s="170"/>
      <c r="KUJ67" s="170"/>
      <c r="KUK67" s="170"/>
      <c r="KUL67" s="170"/>
      <c r="KUM67" s="170"/>
      <c r="KUN67" s="170"/>
      <c r="KUO67" s="170"/>
      <c r="KUP67" s="170"/>
      <c r="KUQ67" s="170"/>
      <c r="KUR67" s="170"/>
      <c r="KUS67" s="170"/>
      <c r="KUT67" s="170"/>
      <c r="KUU67" s="170"/>
      <c r="KUV67" s="170"/>
      <c r="KUW67" s="170"/>
      <c r="KUX67" s="170"/>
      <c r="KUY67" s="170"/>
      <c r="KUZ67" s="170"/>
      <c r="KVA67" s="170"/>
      <c r="KVB67" s="170"/>
      <c r="KVC67" s="170"/>
      <c r="KVD67" s="170"/>
      <c r="KVE67" s="170"/>
      <c r="KVF67" s="170"/>
      <c r="KVG67" s="170"/>
      <c r="KVH67" s="170"/>
      <c r="KVI67" s="170"/>
      <c r="KVJ67" s="170"/>
      <c r="KVK67" s="170"/>
      <c r="KVL67" s="170"/>
      <c r="KVM67" s="170"/>
      <c r="KVN67" s="170"/>
      <c r="KVO67" s="170"/>
      <c r="KVP67" s="170"/>
      <c r="KVQ67" s="170"/>
      <c r="KVR67" s="170"/>
      <c r="KVS67" s="170"/>
      <c r="KVT67" s="170"/>
      <c r="KVU67" s="170"/>
      <c r="KVV67" s="170"/>
      <c r="KVW67" s="170"/>
      <c r="KVX67" s="170"/>
      <c r="KVY67" s="170"/>
      <c r="KVZ67" s="170"/>
      <c r="KWA67" s="170"/>
      <c r="KWB67" s="170"/>
      <c r="KWC67" s="170"/>
      <c r="KWD67" s="170"/>
      <c r="KWE67" s="170"/>
      <c r="KWF67" s="170"/>
      <c r="KWG67" s="170"/>
      <c r="KWH67" s="170"/>
      <c r="KWI67" s="170"/>
      <c r="KWJ67" s="170"/>
      <c r="KWK67" s="170"/>
      <c r="KWL67" s="170"/>
      <c r="KWM67" s="170"/>
      <c r="KWN67" s="170"/>
      <c r="KWO67" s="170"/>
      <c r="KWP67" s="170"/>
      <c r="KWQ67" s="170"/>
      <c r="KWR67" s="170"/>
      <c r="KWS67" s="170"/>
      <c r="KWT67" s="170"/>
      <c r="KWU67" s="170"/>
      <c r="KWV67" s="170"/>
      <c r="KWW67" s="170"/>
      <c r="KWX67" s="170"/>
      <c r="KWY67" s="170"/>
      <c r="KWZ67" s="170"/>
      <c r="KXA67" s="170"/>
      <c r="KXB67" s="170"/>
      <c r="KXC67" s="170"/>
      <c r="KXD67" s="170"/>
      <c r="KXE67" s="170"/>
      <c r="KXF67" s="170"/>
      <c r="KXG67" s="170"/>
      <c r="KXH67" s="170"/>
      <c r="KXI67" s="170"/>
      <c r="KXJ67" s="170"/>
      <c r="KXK67" s="170"/>
      <c r="KXL67" s="170"/>
      <c r="KXM67" s="170"/>
      <c r="KXN67" s="170"/>
      <c r="KXO67" s="170"/>
      <c r="KXP67" s="170"/>
      <c r="KXQ67" s="170"/>
      <c r="KXR67" s="170"/>
      <c r="KXS67" s="170"/>
      <c r="KXT67" s="170"/>
      <c r="KXU67" s="170"/>
      <c r="KXV67" s="170"/>
      <c r="KXW67" s="170"/>
      <c r="KXX67" s="170"/>
      <c r="KXY67" s="170"/>
      <c r="KXZ67" s="170"/>
      <c r="KYA67" s="170"/>
      <c r="KYB67" s="170"/>
      <c r="KYC67" s="170"/>
      <c r="KYD67" s="170"/>
      <c r="KYE67" s="170"/>
      <c r="KYF67" s="170"/>
      <c r="KYG67" s="170"/>
      <c r="KYH67" s="170"/>
      <c r="KYI67" s="170"/>
      <c r="KYJ67" s="170"/>
      <c r="KYK67" s="170"/>
      <c r="KYL67" s="170"/>
      <c r="KYM67" s="170"/>
      <c r="KYN67" s="170"/>
      <c r="KYO67" s="170"/>
      <c r="KYP67" s="170"/>
      <c r="KYQ67" s="170"/>
      <c r="KYR67" s="170"/>
      <c r="KYS67" s="170"/>
      <c r="KYT67" s="170"/>
      <c r="KYU67" s="170"/>
      <c r="KYV67" s="170"/>
      <c r="KYW67" s="170"/>
      <c r="KYX67" s="170"/>
      <c r="KYY67" s="170"/>
      <c r="KYZ67" s="170"/>
      <c r="KZA67" s="170"/>
      <c r="KZB67" s="170"/>
      <c r="KZC67" s="170"/>
      <c r="KZD67" s="170"/>
      <c r="KZE67" s="170"/>
      <c r="KZF67" s="170"/>
      <c r="KZG67" s="170"/>
      <c r="KZH67" s="170"/>
      <c r="KZI67" s="170"/>
      <c r="KZJ67" s="170"/>
      <c r="KZK67" s="170"/>
      <c r="KZL67" s="170"/>
      <c r="KZM67" s="170"/>
      <c r="KZN67" s="170"/>
      <c r="KZO67" s="170"/>
      <c r="KZP67" s="170"/>
      <c r="KZQ67" s="170"/>
      <c r="KZR67" s="170"/>
      <c r="KZS67" s="170"/>
      <c r="KZT67" s="170"/>
      <c r="KZU67" s="170"/>
      <c r="KZV67" s="170"/>
      <c r="KZW67" s="170"/>
      <c r="KZX67" s="170"/>
      <c r="KZY67" s="170"/>
      <c r="KZZ67" s="170"/>
      <c r="LAA67" s="170"/>
      <c r="LAB67" s="170"/>
      <c r="LAC67" s="170"/>
      <c r="LAD67" s="170"/>
      <c r="LAE67" s="170"/>
      <c r="LAF67" s="170"/>
      <c r="LAG67" s="170"/>
      <c r="LAH67" s="170"/>
      <c r="LAI67" s="170"/>
      <c r="LAJ67" s="170"/>
      <c r="LAK67" s="170"/>
      <c r="LAL67" s="170"/>
      <c r="LAM67" s="170"/>
      <c r="LAN67" s="170"/>
      <c r="LAO67" s="170"/>
      <c r="LAP67" s="170"/>
      <c r="LAQ67" s="170"/>
      <c r="LAR67" s="170"/>
      <c r="LAS67" s="170"/>
      <c r="LAT67" s="170"/>
      <c r="LAU67" s="170"/>
      <c r="LAV67" s="170"/>
      <c r="LAW67" s="170"/>
      <c r="LAX67" s="170"/>
      <c r="LAY67" s="170"/>
      <c r="LAZ67" s="170"/>
      <c r="LBA67" s="170"/>
      <c r="LBB67" s="170"/>
      <c r="LBC67" s="170"/>
      <c r="LBD67" s="170"/>
      <c r="LBE67" s="170"/>
      <c r="LBF67" s="170"/>
      <c r="LBG67" s="170"/>
      <c r="LBH67" s="170"/>
      <c r="LBI67" s="170"/>
      <c r="LBJ67" s="170"/>
      <c r="LBK67" s="170"/>
      <c r="LBL67" s="170"/>
      <c r="LBM67" s="170"/>
      <c r="LBN67" s="170"/>
      <c r="LBO67" s="170"/>
      <c r="LBP67" s="170"/>
      <c r="LBQ67" s="170"/>
      <c r="LBR67" s="170"/>
      <c r="LBS67" s="170"/>
      <c r="LBT67" s="170"/>
      <c r="LBU67" s="170"/>
      <c r="LBV67" s="170"/>
      <c r="LBW67" s="170"/>
      <c r="LBX67" s="170"/>
      <c r="LBY67" s="170"/>
      <c r="LBZ67" s="170"/>
      <c r="LCA67" s="170"/>
      <c r="LCB67" s="170"/>
      <c r="LCC67" s="170"/>
      <c r="LCD67" s="170"/>
      <c r="LCE67" s="170"/>
      <c r="LCF67" s="170"/>
      <c r="LCG67" s="170"/>
      <c r="LCH67" s="170"/>
      <c r="LCI67" s="170"/>
      <c r="LCJ67" s="170"/>
      <c r="LCK67" s="170"/>
      <c r="LCL67" s="170"/>
      <c r="LCM67" s="170"/>
      <c r="LCN67" s="170"/>
      <c r="LCO67" s="170"/>
      <c r="LCP67" s="170"/>
      <c r="LCQ67" s="170"/>
      <c r="LCR67" s="170"/>
      <c r="LCS67" s="170"/>
      <c r="LCT67" s="170"/>
      <c r="LCU67" s="170"/>
      <c r="LCV67" s="170"/>
      <c r="LCW67" s="170"/>
      <c r="LCX67" s="170"/>
      <c r="LCY67" s="170"/>
      <c r="LCZ67" s="170"/>
      <c r="LDA67" s="170"/>
      <c r="LDB67" s="170"/>
      <c r="LDC67" s="170"/>
      <c r="LDD67" s="170"/>
      <c r="LDE67" s="170"/>
      <c r="LDF67" s="170"/>
      <c r="LDG67" s="170"/>
      <c r="LDH67" s="170"/>
      <c r="LDI67" s="170"/>
      <c r="LDJ67" s="170"/>
      <c r="LDK67" s="170"/>
      <c r="LDL67" s="170"/>
      <c r="LDM67" s="170"/>
      <c r="LDN67" s="170"/>
      <c r="LDO67" s="170"/>
      <c r="LDP67" s="170"/>
      <c r="LDQ67" s="170"/>
      <c r="LDR67" s="170"/>
      <c r="LDS67" s="170"/>
      <c r="LDT67" s="170"/>
      <c r="LDU67" s="170"/>
      <c r="LDV67" s="170"/>
      <c r="LDW67" s="170"/>
      <c r="LDX67" s="170"/>
      <c r="LDY67" s="170"/>
      <c r="LDZ67" s="170"/>
      <c r="LEA67" s="170"/>
      <c r="LEB67" s="170"/>
      <c r="LEC67" s="170"/>
      <c r="LED67" s="170"/>
      <c r="LEE67" s="170"/>
      <c r="LEF67" s="170"/>
      <c r="LEG67" s="170"/>
      <c r="LEH67" s="170"/>
      <c r="LEI67" s="170"/>
      <c r="LEJ67" s="170"/>
      <c r="LEK67" s="170"/>
      <c r="LEL67" s="170"/>
      <c r="LEM67" s="170"/>
      <c r="LEN67" s="170"/>
      <c r="LEO67" s="170"/>
      <c r="LEP67" s="170"/>
      <c r="LEQ67" s="170"/>
      <c r="LER67" s="170"/>
      <c r="LES67" s="170"/>
      <c r="LET67" s="170"/>
      <c r="LEU67" s="170"/>
      <c r="LEV67" s="170"/>
      <c r="LEW67" s="170"/>
      <c r="LEX67" s="170"/>
      <c r="LEY67" s="170"/>
      <c r="LEZ67" s="170"/>
      <c r="LFA67" s="170"/>
      <c r="LFB67" s="170"/>
      <c r="LFC67" s="170"/>
      <c r="LFD67" s="170"/>
      <c r="LFE67" s="170"/>
      <c r="LFF67" s="170"/>
      <c r="LFG67" s="170"/>
      <c r="LFH67" s="170"/>
      <c r="LFI67" s="170"/>
      <c r="LFJ67" s="170"/>
      <c r="LFK67" s="170"/>
      <c r="LFL67" s="170"/>
      <c r="LFM67" s="170"/>
      <c r="LFN67" s="170"/>
      <c r="LFO67" s="170"/>
      <c r="LFP67" s="170"/>
      <c r="LFQ67" s="170"/>
      <c r="LFR67" s="170"/>
      <c r="LFS67" s="170"/>
      <c r="LFT67" s="170"/>
      <c r="LFU67" s="170"/>
      <c r="LFV67" s="170"/>
      <c r="LFW67" s="170"/>
      <c r="LFX67" s="170"/>
      <c r="LFY67" s="170"/>
      <c r="LFZ67" s="170"/>
      <c r="LGA67" s="170"/>
      <c r="LGB67" s="170"/>
      <c r="LGC67" s="170"/>
      <c r="LGD67" s="170"/>
      <c r="LGE67" s="170"/>
      <c r="LGF67" s="170"/>
      <c r="LGG67" s="170"/>
      <c r="LGH67" s="170"/>
      <c r="LGI67" s="170"/>
      <c r="LGJ67" s="170"/>
      <c r="LGK67" s="170"/>
      <c r="LGL67" s="170"/>
      <c r="LGM67" s="170"/>
      <c r="LGN67" s="170"/>
      <c r="LGO67" s="170"/>
      <c r="LGP67" s="170"/>
      <c r="LGQ67" s="170"/>
      <c r="LGR67" s="170"/>
      <c r="LGS67" s="170"/>
      <c r="LGT67" s="170"/>
      <c r="LGU67" s="170"/>
      <c r="LGV67" s="170"/>
      <c r="LGW67" s="170"/>
      <c r="LGX67" s="170"/>
      <c r="LGY67" s="170"/>
      <c r="LGZ67" s="170"/>
      <c r="LHA67" s="170"/>
      <c r="LHB67" s="170"/>
      <c r="LHC67" s="170"/>
      <c r="LHD67" s="170"/>
      <c r="LHE67" s="170"/>
      <c r="LHF67" s="170"/>
      <c r="LHG67" s="170"/>
      <c r="LHH67" s="170"/>
      <c r="LHI67" s="170"/>
      <c r="LHJ67" s="170"/>
      <c r="LHK67" s="170"/>
      <c r="LHL67" s="170"/>
      <c r="LHM67" s="170"/>
      <c r="LHN67" s="170"/>
      <c r="LHO67" s="170"/>
      <c r="LHP67" s="170"/>
      <c r="LHQ67" s="170"/>
      <c r="LHR67" s="170"/>
      <c r="LHS67" s="170"/>
      <c r="LHT67" s="170"/>
      <c r="LHU67" s="170"/>
      <c r="LHV67" s="170"/>
      <c r="LHW67" s="170"/>
      <c r="LHX67" s="170"/>
      <c r="LHY67" s="170"/>
      <c r="LHZ67" s="170"/>
      <c r="LIA67" s="170"/>
      <c r="LIB67" s="170"/>
      <c r="LIC67" s="170"/>
      <c r="LID67" s="170"/>
      <c r="LIE67" s="170"/>
      <c r="LIF67" s="170"/>
      <c r="LIG67" s="170"/>
      <c r="LIH67" s="170"/>
      <c r="LII67" s="170"/>
      <c r="LIJ67" s="170"/>
      <c r="LIK67" s="170"/>
      <c r="LIL67" s="170"/>
      <c r="LIM67" s="170"/>
      <c r="LIN67" s="170"/>
      <c r="LIO67" s="170"/>
      <c r="LIP67" s="170"/>
      <c r="LIQ67" s="170"/>
      <c r="LIR67" s="170"/>
      <c r="LIS67" s="170"/>
      <c r="LIT67" s="170"/>
      <c r="LIU67" s="170"/>
      <c r="LIV67" s="170"/>
      <c r="LIW67" s="170"/>
      <c r="LIX67" s="170"/>
      <c r="LIY67" s="170"/>
      <c r="LIZ67" s="170"/>
      <c r="LJA67" s="170"/>
      <c r="LJB67" s="170"/>
      <c r="LJC67" s="170"/>
      <c r="LJD67" s="170"/>
      <c r="LJE67" s="170"/>
      <c r="LJF67" s="170"/>
      <c r="LJG67" s="170"/>
      <c r="LJH67" s="170"/>
      <c r="LJI67" s="170"/>
      <c r="LJJ67" s="170"/>
      <c r="LJK67" s="170"/>
      <c r="LJL67" s="170"/>
      <c r="LJM67" s="170"/>
      <c r="LJN67" s="170"/>
      <c r="LJO67" s="170"/>
      <c r="LJP67" s="170"/>
      <c r="LJQ67" s="170"/>
      <c r="LJR67" s="170"/>
      <c r="LJS67" s="170"/>
      <c r="LJT67" s="170"/>
      <c r="LJU67" s="170"/>
      <c r="LJV67" s="170"/>
      <c r="LJW67" s="170"/>
      <c r="LJX67" s="170"/>
      <c r="LJY67" s="170"/>
      <c r="LJZ67" s="170"/>
      <c r="LKA67" s="170"/>
      <c r="LKB67" s="170"/>
      <c r="LKC67" s="170"/>
      <c r="LKD67" s="170"/>
      <c r="LKE67" s="170"/>
      <c r="LKF67" s="170"/>
      <c r="LKG67" s="170"/>
      <c r="LKH67" s="170"/>
      <c r="LKI67" s="170"/>
      <c r="LKJ67" s="170"/>
      <c r="LKK67" s="170"/>
      <c r="LKL67" s="170"/>
      <c r="LKM67" s="170"/>
      <c r="LKN67" s="170"/>
      <c r="LKO67" s="170"/>
      <c r="LKP67" s="170"/>
      <c r="LKQ67" s="170"/>
      <c r="LKR67" s="170"/>
      <c r="LKS67" s="170"/>
      <c r="LKT67" s="170"/>
      <c r="LKU67" s="170"/>
      <c r="LKV67" s="170"/>
      <c r="LKW67" s="170"/>
      <c r="LKX67" s="170"/>
      <c r="LKY67" s="170"/>
      <c r="LKZ67" s="170"/>
      <c r="LLA67" s="170"/>
      <c r="LLB67" s="170"/>
      <c r="LLC67" s="170"/>
      <c r="LLD67" s="170"/>
      <c r="LLE67" s="170"/>
      <c r="LLF67" s="170"/>
      <c r="LLG67" s="170"/>
      <c r="LLH67" s="170"/>
      <c r="LLI67" s="170"/>
      <c r="LLJ67" s="170"/>
      <c r="LLK67" s="170"/>
      <c r="LLL67" s="170"/>
      <c r="LLM67" s="170"/>
      <c r="LLN67" s="170"/>
      <c r="LLO67" s="170"/>
      <c r="LLP67" s="170"/>
      <c r="LLQ67" s="170"/>
      <c r="LLR67" s="170"/>
      <c r="LLS67" s="170"/>
      <c r="LLT67" s="170"/>
      <c r="LLU67" s="170"/>
      <c r="LLV67" s="170"/>
      <c r="LLW67" s="170"/>
      <c r="LLX67" s="170"/>
      <c r="LLY67" s="170"/>
      <c r="LLZ67" s="170"/>
      <c r="LMA67" s="170"/>
      <c r="LMB67" s="170"/>
      <c r="LMC67" s="170"/>
      <c r="LMD67" s="170"/>
      <c r="LME67" s="170"/>
      <c r="LMF67" s="170"/>
      <c r="LMG67" s="170"/>
      <c r="LMH67" s="170"/>
      <c r="LMI67" s="170"/>
      <c r="LMJ67" s="170"/>
      <c r="LMK67" s="170"/>
      <c r="LML67" s="170"/>
      <c r="LMM67" s="170"/>
      <c r="LMN67" s="170"/>
      <c r="LMO67" s="170"/>
      <c r="LMP67" s="170"/>
      <c r="LMQ67" s="170"/>
      <c r="LMR67" s="170"/>
      <c r="LMS67" s="170"/>
      <c r="LMT67" s="170"/>
      <c r="LMU67" s="170"/>
      <c r="LMV67" s="170"/>
      <c r="LMW67" s="170"/>
      <c r="LMX67" s="170"/>
      <c r="LMY67" s="170"/>
      <c r="LMZ67" s="170"/>
      <c r="LNA67" s="170"/>
      <c r="LNB67" s="170"/>
      <c r="LNC67" s="170"/>
      <c r="LND67" s="170"/>
      <c r="LNE67" s="170"/>
      <c r="LNF67" s="170"/>
      <c r="LNG67" s="170"/>
      <c r="LNH67" s="170"/>
      <c r="LNI67" s="170"/>
      <c r="LNJ67" s="170"/>
      <c r="LNK67" s="170"/>
      <c r="LNL67" s="170"/>
      <c r="LNM67" s="170"/>
      <c r="LNN67" s="170"/>
      <c r="LNO67" s="170"/>
      <c r="LNP67" s="170"/>
      <c r="LNQ67" s="170"/>
      <c r="LNR67" s="170"/>
      <c r="LNS67" s="170"/>
      <c r="LNT67" s="170"/>
      <c r="LNU67" s="170"/>
      <c r="LNV67" s="170"/>
      <c r="LNW67" s="170"/>
      <c r="LNX67" s="170"/>
      <c r="LNY67" s="170"/>
      <c r="LNZ67" s="170"/>
      <c r="LOA67" s="170"/>
      <c r="LOB67" s="170"/>
      <c r="LOC67" s="170"/>
      <c r="LOD67" s="170"/>
      <c r="LOE67" s="170"/>
      <c r="LOF67" s="170"/>
      <c r="LOG67" s="170"/>
      <c r="LOH67" s="170"/>
      <c r="LOI67" s="170"/>
      <c r="LOJ67" s="170"/>
      <c r="LOK67" s="170"/>
      <c r="LOL67" s="170"/>
      <c r="LOM67" s="170"/>
      <c r="LON67" s="170"/>
      <c r="LOO67" s="170"/>
      <c r="LOP67" s="170"/>
      <c r="LOQ67" s="170"/>
      <c r="LOR67" s="170"/>
      <c r="LOS67" s="170"/>
      <c r="LOT67" s="170"/>
      <c r="LOU67" s="170"/>
      <c r="LOV67" s="170"/>
      <c r="LOW67" s="170"/>
      <c r="LOX67" s="170"/>
      <c r="LOY67" s="170"/>
      <c r="LOZ67" s="170"/>
      <c r="LPA67" s="170"/>
      <c r="LPB67" s="170"/>
      <c r="LPC67" s="170"/>
      <c r="LPD67" s="170"/>
      <c r="LPE67" s="170"/>
      <c r="LPF67" s="170"/>
      <c r="LPG67" s="170"/>
      <c r="LPH67" s="170"/>
      <c r="LPI67" s="170"/>
      <c r="LPJ67" s="170"/>
      <c r="LPK67" s="170"/>
      <c r="LPL67" s="170"/>
      <c r="LPM67" s="170"/>
      <c r="LPN67" s="170"/>
      <c r="LPO67" s="170"/>
      <c r="LPP67" s="170"/>
      <c r="LPQ67" s="170"/>
      <c r="LPR67" s="170"/>
      <c r="LPS67" s="170"/>
      <c r="LPT67" s="170"/>
      <c r="LPU67" s="170"/>
      <c r="LPV67" s="170"/>
      <c r="LPW67" s="170"/>
      <c r="LPX67" s="170"/>
      <c r="LPY67" s="170"/>
      <c r="LPZ67" s="170"/>
      <c r="LQA67" s="170"/>
      <c r="LQB67" s="170"/>
      <c r="LQC67" s="170"/>
      <c r="LQD67" s="170"/>
      <c r="LQE67" s="170"/>
      <c r="LQF67" s="170"/>
      <c r="LQG67" s="170"/>
      <c r="LQH67" s="170"/>
      <c r="LQI67" s="170"/>
      <c r="LQJ67" s="170"/>
      <c r="LQK67" s="170"/>
      <c r="LQL67" s="170"/>
      <c r="LQM67" s="170"/>
      <c r="LQN67" s="170"/>
      <c r="LQO67" s="170"/>
      <c r="LQP67" s="170"/>
      <c r="LQQ67" s="170"/>
      <c r="LQR67" s="170"/>
      <c r="LQS67" s="170"/>
      <c r="LQT67" s="170"/>
      <c r="LQU67" s="170"/>
      <c r="LQV67" s="170"/>
      <c r="LQW67" s="170"/>
      <c r="LQX67" s="170"/>
      <c r="LQY67" s="170"/>
      <c r="LQZ67" s="170"/>
      <c r="LRA67" s="170"/>
      <c r="LRB67" s="170"/>
      <c r="LRC67" s="170"/>
      <c r="LRD67" s="170"/>
      <c r="LRE67" s="170"/>
      <c r="LRF67" s="170"/>
      <c r="LRG67" s="170"/>
      <c r="LRH67" s="170"/>
      <c r="LRI67" s="170"/>
      <c r="LRJ67" s="170"/>
      <c r="LRK67" s="170"/>
      <c r="LRL67" s="170"/>
      <c r="LRM67" s="170"/>
      <c r="LRN67" s="170"/>
      <c r="LRO67" s="170"/>
      <c r="LRP67" s="170"/>
      <c r="LRQ67" s="170"/>
      <c r="LRR67" s="170"/>
      <c r="LRS67" s="170"/>
      <c r="LRT67" s="170"/>
      <c r="LRU67" s="170"/>
      <c r="LRV67" s="170"/>
      <c r="LRW67" s="170"/>
      <c r="LRX67" s="170"/>
      <c r="LRY67" s="170"/>
      <c r="LRZ67" s="170"/>
      <c r="LSA67" s="170"/>
      <c r="LSB67" s="170"/>
      <c r="LSC67" s="170"/>
      <c r="LSD67" s="170"/>
      <c r="LSE67" s="170"/>
      <c r="LSF67" s="170"/>
      <c r="LSG67" s="170"/>
      <c r="LSH67" s="170"/>
      <c r="LSI67" s="170"/>
      <c r="LSJ67" s="170"/>
      <c r="LSK67" s="170"/>
      <c r="LSL67" s="170"/>
      <c r="LSM67" s="170"/>
      <c r="LSN67" s="170"/>
      <c r="LSO67" s="170"/>
      <c r="LSP67" s="170"/>
      <c r="LSQ67" s="170"/>
      <c r="LSR67" s="170"/>
      <c r="LSS67" s="170"/>
      <c r="LST67" s="170"/>
      <c r="LSU67" s="170"/>
      <c r="LSV67" s="170"/>
      <c r="LSW67" s="170"/>
      <c r="LSX67" s="170"/>
      <c r="LSY67" s="170"/>
      <c r="LSZ67" s="170"/>
      <c r="LTA67" s="170"/>
      <c r="LTB67" s="170"/>
      <c r="LTC67" s="170"/>
      <c r="LTD67" s="170"/>
      <c r="LTE67" s="170"/>
      <c r="LTF67" s="170"/>
      <c r="LTG67" s="170"/>
      <c r="LTH67" s="170"/>
      <c r="LTI67" s="170"/>
      <c r="LTJ67" s="170"/>
      <c r="LTK67" s="170"/>
      <c r="LTL67" s="170"/>
      <c r="LTM67" s="170"/>
      <c r="LTN67" s="170"/>
      <c r="LTO67" s="170"/>
      <c r="LTP67" s="170"/>
      <c r="LTQ67" s="170"/>
      <c r="LTR67" s="170"/>
      <c r="LTS67" s="170"/>
      <c r="LTT67" s="170"/>
      <c r="LTU67" s="170"/>
      <c r="LTV67" s="170"/>
      <c r="LTW67" s="170"/>
      <c r="LTX67" s="170"/>
      <c r="LTY67" s="170"/>
      <c r="LTZ67" s="170"/>
      <c r="LUA67" s="170"/>
      <c r="LUB67" s="170"/>
      <c r="LUC67" s="170"/>
      <c r="LUD67" s="170"/>
      <c r="LUE67" s="170"/>
      <c r="LUF67" s="170"/>
      <c r="LUG67" s="170"/>
      <c r="LUH67" s="170"/>
      <c r="LUI67" s="170"/>
      <c r="LUJ67" s="170"/>
      <c r="LUK67" s="170"/>
      <c r="LUL67" s="170"/>
      <c r="LUM67" s="170"/>
      <c r="LUN67" s="170"/>
      <c r="LUO67" s="170"/>
      <c r="LUP67" s="170"/>
      <c r="LUQ67" s="170"/>
      <c r="LUR67" s="170"/>
      <c r="LUS67" s="170"/>
      <c r="LUT67" s="170"/>
      <c r="LUU67" s="170"/>
      <c r="LUV67" s="170"/>
      <c r="LUW67" s="170"/>
      <c r="LUX67" s="170"/>
      <c r="LUY67" s="170"/>
      <c r="LUZ67" s="170"/>
      <c r="LVA67" s="170"/>
      <c r="LVB67" s="170"/>
      <c r="LVC67" s="170"/>
      <c r="LVD67" s="170"/>
      <c r="LVE67" s="170"/>
      <c r="LVF67" s="170"/>
      <c r="LVG67" s="170"/>
      <c r="LVH67" s="170"/>
      <c r="LVI67" s="170"/>
      <c r="LVJ67" s="170"/>
      <c r="LVK67" s="170"/>
      <c r="LVL67" s="170"/>
      <c r="LVM67" s="170"/>
      <c r="LVN67" s="170"/>
      <c r="LVO67" s="170"/>
      <c r="LVP67" s="170"/>
      <c r="LVQ67" s="170"/>
      <c r="LVR67" s="170"/>
      <c r="LVS67" s="170"/>
      <c r="LVT67" s="170"/>
      <c r="LVU67" s="170"/>
      <c r="LVV67" s="170"/>
      <c r="LVW67" s="170"/>
      <c r="LVX67" s="170"/>
      <c r="LVY67" s="170"/>
      <c r="LVZ67" s="170"/>
      <c r="LWA67" s="170"/>
      <c r="LWB67" s="170"/>
      <c r="LWC67" s="170"/>
      <c r="LWD67" s="170"/>
      <c r="LWE67" s="170"/>
      <c r="LWF67" s="170"/>
      <c r="LWG67" s="170"/>
      <c r="LWH67" s="170"/>
      <c r="LWI67" s="170"/>
      <c r="LWJ67" s="170"/>
      <c r="LWK67" s="170"/>
      <c r="LWL67" s="170"/>
      <c r="LWM67" s="170"/>
      <c r="LWN67" s="170"/>
      <c r="LWO67" s="170"/>
      <c r="LWP67" s="170"/>
      <c r="LWQ67" s="170"/>
      <c r="LWR67" s="170"/>
      <c r="LWS67" s="170"/>
      <c r="LWT67" s="170"/>
      <c r="LWU67" s="170"/>
      <c r="LWV67" s="170"/>
      <c r="LWW67" s="170"/>
      <c r="LWX67" s="170"/>
      <c r="LWY67" s="170"/>
      <c r="LWZ67" s="170"/>
      <c r="LXA67" s="170"/>
      <c r="LXB67" s="170"/>
      <c r="LXC67" s="170"/>
      <c r="LXD67" s="170"/>
      <c r="LXE67" s="170"/>
      <c r="LXF67" s="170"/>
      <c r="LXG67" s="170"/>
      <c r="LXH67" s="170"/>
      <c r="LXI67" s="170"/>
      <c r="LXJ67" s="170"/>
      <c r="LXK67" s="170"/>
      <c r="LXL67" s="170"/>
      <c r="LXM67" s="170"/>
      <c r="LXN67" s="170"/>
      <c r="LXO67" s="170"/>
      <c r="LXP67" s="170"/>
      <c r="LXQ67" s="170"/>
      <c r="LXR67" s="170"/>
      <c r="LXS67" s="170"/>
      <c r="LXT67" s="170"/>
      <c r="LXU67" s="170"/>
      <c r="LXV67" s="170"/>
      <c r="LXW67" s="170"/>
      <c r="LXX67" s="170"/>
      <c r="LXY67" s="170"/>
      <c r="LXZ67" s="170"/>
      <c r="LYA67" s="170"/>
      <c r="LYB67" s="170"/>
      <c r="LYC67" s="170"/>
      <c r="LYD67" s="170"/>
      <c r="LYE67" s="170"/>
      <c r="LYF67" s="170"/>
      <c r="LYG67" s="170"/>
      <c r="LYH67" s="170"/>
      <c r="LYI67" s="170"/>
      <c r="LYJ67" s="170"/>
      <c r="LYK67" s="170"/>
      <c r="LYL67" s="170"/>
      <c r="LYM67" s="170"/>
      <c r="LYN67" s="170"/>
      <c r="LYO67" s="170"/>
      <c r="LYP67" s="170"/>
      <c r="LYQ67" s="170"/>
      <c r="LYR67" s="170"/>
      <c r="LYS67" s="170"/>
      <c r="LYT67" s="170"/>
      <c r="LYU67" s="170"/>
      <c r="LYV67" s="170"/>
      <c r="LYW67" s="170"/>
      <c r="LYX67" s="170"/>
      <c r="LYY67" s="170"/>
      <c r="LYZ67" s="170"/>
      <c r="LZA67" s="170"/>
      <c r="LZB67" s="170"/>
      <c r="LZC67" s="170"/>
      <c r="LZD67" s="170"/>
      <c r="LZE67" s="170"/>
      <c r="LZF67" s="170"/>
      <c r="LZG67" s="170"/>
      <c r="LZH67" s="170"/>
      <c r="LZI67" s="170"/>
      <c r="LZJ67" s="170"/>
      <c r="LZK67" s="170"/>
      <c r="LZL67" s="170"/>
      <c r="LZM67" s="170"/>
      <c r="LZN67" s="170"/>
      <c r="LZO67" s="170"/>
      <c r="LZP67" s="170"/>
      <c r="LZQ67" s="170"/>
      <c r="LZR67" s="170"/>
      <c r="LZS67" s="170"/>
      <c r="LZT67" s="170"/>
      <c r="LZU67" s="170"/>
      <c r="LZV67" s="170"/>
      <c r="LZW67" s="170"/>
      <c r="LZX67" s="170"/>
      <c r="LZY67" s="170"/>
      <c r="LZZ67" s="170"/>
      <c r="MAA67" s="170"/>
      <c r="MAB67" s="170"/>
      <c r="MAC67" s="170"/>
      <c r="MAD67" s="170"/>
      <c r="MAE67" s="170"/>
      <c r="MAF67" s="170"/>
      <c r="MAG67" s="170"/>
      <c r="MAH67" s="170"/>
      <c r="MAI67" s="170"/>
      <c r="MAJ67" s="170"/>
      <c r="MAK67" s="170"/>
      <c r="MAL67" s="170"/>
      <c r="MAM67" s="170"/>
      <c r="MAN67" s="170"/>
      <c r="MAO67" s="170"/>
      <c r="MAP67" s="170"/>
      <c r="MAQ67" s="170"/>
      <c r="MAR67" s="170"/>
      <c r="MAS67" s="170"/>
      <c r="MAT67" s="170"/>
      <c r="MAU67" s="170"/>
      <c r="MAV67" s="170"/>
      <c r="MAW67" s="170"/>
      <c r="MAX67" s="170"/>
      <c r="MAY67" s="170"/>
      <c r="MAZ67" s="170"/>
      <c r="MBA67" s="170"/>
      <c r="MBB67" s="170"/>
      <c r="MBC67" s="170"/>
      <c r="MBD67" s="170"/>
      <c r="MBE67" s="170"/>
      <c r="MBF67" s="170"/>
      <c r="MBG67" s="170"/>
      <c r="MBH67" s="170"/>
      <c r="MBI67" s="170"/>
      <c r="MBJ67" s="170"/>
      <c r="MBK67" s="170"/>
      <c r="MBL67" s="170"/>
      <c r="MBM67" s="170"/>
      <c r="MBN67" s="170"/>
      <c r="MBO67" s="170"/>
      <c r="MBP67" s="170"/>
      <c r="MBQ67" s="170"/>
      <c r="MBR67" s="170"/>
      <c r="MBS67" s="170"/>
      <c r="MBT67" s="170"/>
      <c r="MBU67" s="170"/>
      <c r="MBV67" s="170"/>
      <c r="MBW67" s="170"/>
      <c r="MBX67" s="170"/>
      <c r="MBY67" s="170"/>
      <c r="MBZ67" s="170"/>
      <c r="MCA67" s="170"/>
      <c r="MCB67" s="170"/>
      <c r="MCC67" s="170"/>
      <c r="MCD67" s="170"/>
      <c r="MCE67" s="170"/>
      <c r="MCF67" s="170"/>
      <c r="MCG67" s="170"/>
      <c r="MCH67" s="170"/>
      <c r="MCI67" s="170"/>
      <c r="MCJ67" s="170"/>
      <c r="MCK67" s="170"/>
      <c r="MCL67" s="170"/>
      <c r="MCM67" s="170"/>
      <c r="MCN67" s="170"/>
      <c r="MCO67" s="170"/>
      <c r="MCP67" s="170"/>
      <c r="MCQ67" s="170"/>
      <c r="MCR67" s="170"/>
      <c r="MCS67" s="170"/>
      <c r="MCT67" s="170"/>
      <c r="MCU67" s="170"/>
      <c r="MCV67" s="170"/>
      <c r="MCW67" s="170"/>
      <c r="MCX67" s="170"/>
      <c r="MCY67" s="170"/>
      <c r="MCZ67" s="170"/>
      <c r="MDA67" s="170"/>
      <c r="MDB67" s="170"/>
      <c r="MDC67" s="170"/>
      <c r="MDD67" s="170"/>
      <c r="MDE67" s="170"/>
      <c r="MDF67" s="170"/>
      <c r="MDG67" s="170"/>
      <c r="MDH67" s="170"/>
      <c r="MDI67" s="170"/>
      <c r="MDJ67" s="170"/>
      <c r="MDK67" s="170"/>
      <c r="MDL67" s="170"/>
      <c r="MDM67" s="170"/>
      <c r="MDN67" s="170"/>
      <c r="MDO67" s="170"/>
      <c r="MDP67" s="170"/>
      <c r="MDQ67" s="170"/>
      <c r="MDR67" s="170"/>
      <c r="MDS67" s="170"/>
      <c r="MDT67" s="170"/>
      <c r="MDU67" s="170"/>
      <c r="MDV67" s="170"/>
      <c r="MDW67" s="170"/>
      <c r="MDX67" s="170"/>
      <c r="MDY67" s="170"/>
      <c r="MDZ67" s="170"/>
      <c r="MEA67" s="170"/>
      <c r="MEB67" s="170"/>
      <c r="MEC67" s="170"/>
      <c r="MED67" s="170"/>
      <c r="MEE67" s="170"/>
      <c r="MEF67" s="170"/>
      <c r="MEG67" s="170"/>
      <c r="MEH67" s="170"/>
      <c r="MEI67" s="170"/>
      <c r="MEJ67" s="170"/>
      <c r="MEK67" s="170"/>
      <c r="MEL67" s="170"/>
      <c r="MEM67" s="170"/>
      <c r="MEN67" s="170"/>
      <c r="MEO67" s="170"/>
      <c r="MEP67" s="170"/>
      <c r="MEQ67" s="170"/>
      <c r="MER67" s="170"/>
      <c r="MES67" s="170"/>
      <c r="MET67" s="170"/>
      <c r="MEU67" s="170"/>
      <c r="MEV67" s="170"/>
      <c r="MEW67" s="170"/>
      <c r="MEX67" s="170"/>
      <c r="MEY67" s="170"/>
      <c r="MEZ67" s="170"/>
      <c r="MFA67" s="170"/>
      <c r="MFB67" s="170"/>
      <c r="MFC67" s="170"/>
      <c r="MFD67" s="170"/>
      <c r="MFE67" s="170"/>
      <c r="MFF67" s="170"/>
      <c r="MFG67" s="170"/>
      <c r="MFH67" s="170"/>
      <c r="MFI67" s="170"/>
      <c r="MFJ67" s="170"/>
      <c r="MFK67" s="170"/>
      <c r="MFL67" s="170"/>
      <c r="MFM67" s="170"/>
      <c r="MFN67" s="170"/>
      <c r="MFO67" s="170"/>
      <c r="MFP67" s="170"/>
      <c r="MFQ67" s="170"/>
      <c r="MFR67" s="170"/>
      <c r="MFS67" s="170"/>
      <c r="MFT67" s="170"/>
      <c r="MFU67" s="170"/>
      <c r="MFV67" s="170"/>
      <c r="MFW67" s="170"/>
      <c r="MFX67" s="170"/>
      <c r="MFY67" s="170"/>
      <c r="MFZ67" s="170"/>
      <c r="MGA67" s="170"/>
      <c r="MGB67" s="170"/>
      <c r="MGC67" s="170"/>
      <c r="MGD67" s="170"/>
      <c r="MGE67" s="170"/>
      <c r="MGF67" s="170"/>
      <c r="MGG67" s="170"/>
      <c r="MGH67" s="170"/>
      <c r="MGI67" s="170"/>
      <c r="MGJ67" s="170"/>
      <c r="MGK67" s="170"/>
      <c r="MGL67" s="170"/>
      <c r="MGM67" s="170"/>
      <c r="MGN67" s="170"/>
      <c r="MGO67" s="170"/>
      <c r="MGP67" s="170"/>
      <c r="MGQ67" s="170"/>
      <c r="MGR67" s="170"/>
      <c r="MGS67" s="170"/>
      <c r="MGT67" s="170"/>
      <c r="MGU67" s="170"/>
      <c r="MGV67" s="170"/>
      <c r="MGW67" s="170"/>
      <c r="MGX67" s="170"/>
      <c r="MGY67" s="170"/>
      <c r="MGZ67" s="170"/>
      <c r="MHA67" s="170"/>
      <c r="MHB67" s="170"/>
      <c r="MHC67" s="170"/>
      <c r="MHD67" s="170"/>
      <c r="MHE67" s="170"/>
      <c r="MHF67" s="170"/>
      <c r="MHG67" s="170"/>
      <c r="MHH67" s="170"/>
      <c r="MHI67" s="170"/>
      <c r="MHJ67" s="170"/>
      <c r="MHK67" s="170"/>
      <c r="MHL67" s="170"/>
      <c r="MHM67" s="170"/>
      <c r="MHN67" s="170"/>
      <c r="MHO67" s="170"/>
      <c r="MHP67" s="170"/>
      <c r="MHQ67" s="170"/>
      <c r="MHR67" s="170"/>
      <c r="MHS67" s="170"/>
      <c r="MHT67" s="170"/>
      <c r="MHU67" s="170"/>
      <c r="MHV67" s="170"/>
      <c r="MHW67" s="170"/>
      <c r="MHX67" s="170"/>
      <c r="MHY67" s="170"/>
      <c r="MHZ67" s="170"/>
      <c r="MIA67" s="170"/>
      <c r="MIB67" s="170"/>
      <c r="MIC67" s="170"/>
      <c r="MID67" s="170"/>
      <c r="MIE67" s="170"/>
      <c r="MIF67" s="170"/>
      <c r="MIG67" s="170"/>
      <c r="MIH67" s="170"/>
      <c r="MII67" s="170"/>
      <c r="MIJ67" s="170"/>
      <c r="MIK67" s="170"/>
      <c r="MIL67" s="170"/>
      <c r="MIM67" s="170"/>
      <c r="MIN67" s="170"/>
      <c r="MIO67" s="170"/>
      <c r="MIP67" s="170"/>
      <c r="MIQ67" s="170"/>
      <c r="MIR67" s="170"/>
      <c r="MIS67" s="170"/>
      <c r="MIT67" s="170"/>
      <c r="MIU67" s="170"/>
      <c r="MIV67" s="170"/>
      <c r="MIW67" s="170"/>
      <c r="MIX67" s="170"/>
      <c r="MIY67" s="170"/>
      <c r="MIZ67" s="170"/>
      <c r="MJA67" s="170"/>
      <c r="MJB67" s="170"/>
      <c r="MJC67" s="170"/>
      <c r="MJD67" s="170"/>
      <c r="MJE67" s="170"/>
      <c r="MJF67" s="170"/>
      <c r="MJG67" s="170"/>
      <c r="MJH67" s="170"/>
      <c r="MJI67" s="170"/>
      <c r="MJJ67" s="170"/>
      <c r="MJK67" s="170"/>
      <c r="MJL67" s="170"/>
      <c r="MJM67" s="170"/>
      <c r="MJN67" s="170"/>
      <c r="MJO67" s="170"/>
      <c r="MJP67" s="170"/>
      <c r="MJQ67" s="170"/>
      <c r="MJR67" s="170"/>
      <c r="MJS67" s="170"/>
      <c r="MJT67" s="170"/>
      <c r="MJU67" s="170"/>
      <c r="MJV67" s="170"/>
      <c r="MJW67" s="170"/>
      <c r="MJX67" s="170"/>
      <c r="MJY67" s="170"/>
      <c r="MJZ67" s="170"/>
      <c r="MKA67" s="170"/>
      <c r="MKB67" s="170"/>
      <c r="MKC67" s="170"/>
      <c r="MKD67" s="170"/>
      <c r="MKE67" s="170"/>
      <c r="MKF67" s="170"/>
      <c r="MKG67" s="170"/>
      <c r="MKH67" s="170"/>
      <c r="MKI67" s="170"/>
      <c r="MKJ67" s="170"/>
      <c r="MKK67" s="170"/>
      <c r="MKL67" s="170"/>
      <c r="MKM67" s="170"/>
      <c r="MKN67" s="170"/>
      <c r="MKO67" s="170"/>
      <c r="MKP67" s="170"/>
      <c r="MKQ67" s="170"/>
      <c r="MKR67" s="170"/>
      <c r="MKS67" s="170"/>
      <c r="MKT67" s="170"/>
      <c r="MKU67" s="170"/>
      <c r="MKV67" s="170"/>
      <c r="MKW67" s="170"/>
      <c r="MKX67" s="170"/>
      <c r="MKY67" s="170"/>
      <c r="MKZ67" s="170"/>
      <c r="MLA67" s="170"/>
      <c r="MLB67" s="170"/>
      <c r="MLC67" s="170"/>
      <c r="MLD67" s="170"/>
      <c r="MLE67" s="170"/>
      <c r="MLF67" s="170"/>
      <c r="MLG67" s="170"/>
      <c r="MLH67" s="170"/>
      <c r="MLI67" s="170"/>
      <c r="MLJ67" s="170"/>
      <c r="MLK67" s="170"/>
      <c r="MLL67" s="170"/>
      <c r="MLM67" s="170"/>
      <c r="MLN67" s="170"/>
      <c r="MLO67" s="170"/>
      <c r="MLP67" s="170"/>
      <c r="MLQ67" s="170"/>
      <c r="MLR67" s="170"/>
      <c r="MLS67" s="170"/>
      <c r="MLT67" s="170"/>
      <c r="MLU67" s="170"/>
      <c r="MLV67" s="170"/>
      <c r="MLW67" s="170"/>
      <c r="MLX67" s="170"/>
      <c r="MLY67" s="170"/>
      <c r="MLZ67" s="170"/>
      <c r="MMA67" s="170"/>
      <c r="MMB67" s="170"/>
      <c r="MMC67" s="170"/>
      <c r="MMD67" s="170"/>
      <c r="MME67" s="170"/>
      <c r="MMF67" s="170"/>
      <c r="MMG67" s="170"/>
      <c r="MMH67" s="170"/>
      <c r="MMI67" s="170"/>
      <c r="MMJ67" s="170"/>
      <c r="MMK67" s="170"/>
      <c r="MML67" s="170"/>
      <c r="MMM67" s="170"/>
      <c r="MMN67" s="170"/>
      <c r="MMO67" s="170"/>
      <c r="MMP67" s="170"/>
      <c r="MMQ67" s="170"/>
      <c r="MMR67" s="170"/>
      <c r="MMS67" s="170"/>
      <c r="MMT67" s="170"/>
      <c r="MMU67" s="170"/>
      <c r="MMV67" s="170"/>
      <c r="MMW67" s="170"/>
      <c r="MMX67" s="170"/>
      <c r="MMY67" s="170"/>
      <c r="MMZ67" s="170"/>
      <c r="MNA67" s="170"/>
      <c r="MNB67" s="170"/>
      <c r="MNC67" s="170"/>
      <c r="MND67" s="170"/>
      <c r="MNE67" s="170"/>
      <c r="MNF67" s="170"/>
      <c r="MNG67" s="170"/>
      <c r="MNH67" s="170"/>
      <c r="MNI67" s="170"/>
      <c r="MNJ67" s="170"/>
      <c r="MNK67" s="170"/>
      <c r="MNL67" s="170"/>
      <c r="MNM67" s="170"/>
      <c r="MNN67" s="170"/>
      <c r="MNO67" s="170"/>
      <c r="MNP67" s="170"/>
      <c r="MNQ67" s="170"/>
      <c r="MNR67" s="170"/>
      <c r="MNS67" s="170"/>
      <c r="MNT67" s="170"/>
      <c r="MNU67" s="170"/>
      <c r="MNV67" s="170"/>
      <c r="MNW67" s="170"/>
      <c r="MNX67" s="170"/>
      <c r="MNY67" s="170"/>
      <c r="MNZ67" s="170"/>
      <c r="MOA67" s="170"/>
      <c r="MOB67" s="170"/>
      <c r="MOC67" s="170"/>
      <c r="MOD67" s="170"/>
      <c r="MOE67" s="170"/>
      <c r="MOF67" s="170"/>
      <c r="MOG67" s="170"/>
      <c r="MOH67" s="170"/>
      <c r="MOI67" s="170"/>
      <c r="MOJ67" s="170"/>
      <c r="MOK67" s="170"/>
      <c r="MOL67" s="170"/>
      <c r="MOM67" s="170"/>
      <c r="MON67" s="170"/>
      <c r="MOO67" s="170"/>
      <c r="MOP67" s="170"/>
      <c r="MOQ67" s="170"/>
      <c r="MOR67" s="170"/>
      <c r="MOS67" s="170"/>
      <c r="MOT67" s="170"/>
      <c r="MOU67" s="170"/>
      <c r="MOV67" s="170"/>
      <c r="MOW67" s="170"/>
      <c r="MOX67" s="170"/>
      <c r="MOY67" s="170"/>
      <c r="MOZ67" s="170"/>
      <c r="MPA67" s="170"/>
      <c r="MPB67" s="170"/>
      <c r="MPC67" s="170"/>
      <c r="MPD67" s="170"/>
      <c r="MPE67" s="170"/>
      <c r="MPF67" s="170"/>
      <c r="MPG67" s="170"/>
      <c r="MPH67" s="170"/>
      <c r="MPI67" s="170"/>
      <c r="MPJ67" s="170"/>
      <c r="MPK67" s="170"/>
      <c r="MPL67" s="170"/>
      <c r="MPM67" s="170"/>
      <c r="MPN67" s="170"/>
      <c r="MPO67" s="170"/>
      <c r="MPP67" s="170"/>
      <c r="MPQ67" s="170"/>
      <c r="MPR67" s="170"/>
      <c r="MPS67" s="170"/>
      <c r="MPT67" s="170"/>
      <c r="MPU67" s="170"/>
      <c r="MPV67" s="170"/>
      <c r="MPW67" s="170"/>
      <c r="MPX67" s="170"/>
      <c r="MPY67" s="170"/>
      <c r="MPZ67" s="170"/>
      <c r="MQA67" s="170"/>
      <c r="MQB67" s="170"/>
      <c r="MQC67" s="170"/>
      <c r="MQD67" s="170"/>
      <c r="MQE67" s="170"/>
      <c r="MQF67" s="170"/>
      <c r="MQG67" s="170"/>
      <c r="MQH67" s="170"/>
      <c r="MQI67" s="170"/>
      <c r="MQJ67" s="170"/>
      <c r="MQK67" s="170"/>
      <c r="MQL67" s="170"/>
      <c r="MQM67" s="170"/>
      <c r="MQN67" s="170"/>
      <c r="MQO67" s="170"/>
      <c r="MQP67" s="170"/>
      <c r="MQQ67" s="170"/>
      <c r="MQR67" s="170"/>
      <c r="MQS67" s="170"/>
      <c r="MQT67" s="170"/>
      <c r="MQU67" s="170"/>
      <c r="MQV67" s="170"/>
      <c r="MQW67" s="170"/>
      <c r="MQX67" s="170"/>
      <c r="MQY67" s="170"/>
      <c r="MQZ67" s="170"/>
      <c r="MRA67" s="170"/>
      <c r="MRB67" s="170"/>
      <c r="MRC67" s="170"/>
      <c r="MRD67" s="170"/>
      <c r="MRE67" s="170"/>
      <c r="MRF67" s="170"/>
      <c r="MRG67" s="170"/>
      <c r="MRH67" s="170"/>
      <c r="MRI67" s="170"/>
      <c r="MRJ67" s="170"/>
      <c r="MRK67" s="170"/>
      <c r="MRL67" s="170"/>
      <c r="MRM67" s="170"/>
      <c r="MRN67" s="170"/>
      <c r="MRO67" s="170"/>
      <c r="MRP67" s="170"/>
      <c r="MRQ67" s="170"/>
      <c r="MRR67" s="170"/>
      <c r="MRS67" s="170"/>
      <c r="MRT67" s="170"/>
      <c r="MRU67" s="170"/>
      <c r="MRV67" s="170"/>
      <c r="MRW67" s="170"/>
      <c r="MRX67" s="170"/>
      <c r="MRY67" s="170"/>
      <c r="MRZ67" s="170"/>
      <c r="MSA67" s="170"/>
      <c r="MSB67" s="170"/>
      <c r="MSC67" s="170"/>
      <c r="MSD67" s="170"/>
      <c r="MSE67" s="170"/>
      <c r="MSF67" s="170"/>
      <c r="MSG67" s="170"/>
      <c r="MSH67" s="170"/>
      <c r="MSI67" s="170"/>
      <c r="MSJ67" s="170"/>
      <c r="MSK67" s="170"/>
      <c r="MSL67" s="170"/>
      <c r="MSM67" s="170"/>
      <c r="MSN67" s="170"/>
      <c r="MSO67" s="170"/>
      <c r="MSP67" s="170"/>
      <c r="MSQ67" s="170"/>
      <c r="MSR67" s="170"/>
      <c r="MSS67" s="170"/>
      <c r="MST67" s="170"/>
      <c r="MSU67" s="170"/>
      <c r="MSV67" s="170"/>
      <c r="MSW67" s="170"/>
      <c r="MSX67" s="170"/>
      <c r="MSY67" s="170"/>
      <c r="MSZ67" s="170"/>
      <c r="MTA67" s="170"/>
      <c r="MTB67" s="170"/>
      <c r="MTC67" s="170"/>
      <c r="MTD67" s="170"/>
      <c r="MTE67" s="170"/>
      <c r="MTF67" s="170"/>
      <c r="MTG67" s="170"/>
      <c r="MTH67" s="170"/>
      <c r="MTI67" s="170"/>
      <c r="MTJ67" s="170"/>
      <c r="MTK67" s="170"/>
      <c r="MTL67" s="170"/>
      <c r="MTM67" s="170"/>
      <c r="MTN67" s="170"/>
      <c r="MTO67" s="170"/>
      <c r="MTP67" s="170"/>
      <c r="MTQ67" s="170"/>
      <c r="MTR67" s="170"/>
      <c r="MTS67" s="170"/>
      <c r="MTT67" s="170"/>
      <c r="MTU67" s="170"/>
      <c r="MTV67" s="170"/>
      <c r="MTW67" s="170"/>
      <c r="MTX67" s="170"/>
      <c r="MTY67" s="170"/>
      <c r="MTZ67" s="170"/>
      <c r="MUA67" s="170"/>
      <c r="MUB67" s="170"/>
      <c r="MUC67" s="170"/>
      <c r="MUD67" s="170"/>
      <c r="MUE67" s="170"/>
      <c r="MUF67" s="170"/>
      <c r="MUG67" s="170"/>
      <c r="MUH67" s="170"/>
      <c r="MUI67" s="170"/>
      <c r="MUJ67" s="170"/>
      <c r="MUK67" s="170"/>
      <c r="MUL67" s="170"/>
      <c r="MUM67" s="170"/>
      <c r="MUN67" s="170"/>
      <c r="MUO67" s="170"/>
      <c r="MUP67" s="170"/>
      <c r="MUQ67" s="170"/>
      <c r="MUR67" s="170"/>
      <c r="MUS67" s="170"/>
      <c r="MUT67" s="170"/>
      <c r="MUU67" s="170"/>
      <c r="MUV67" s="170"/>
      <c r="MUW67" s="170"/>
      <c r="MUX67" s="170"/>
      <c r="MUY67" s="170"/>
      <c r="MUZ67" s="170"/>
      <c r="MVA67" s="170"/>
      <c r="MVB67" s="170"/>
      <c r="MVC67" s="170"/>
      <c r="MVD67" s="170"/>
      <c r="MVE67" s="170"/>
      <c r="MVF67" s="170"/>
      <c r="MVG67" s="170"/>
      <c r="MVH67" s="170"/>
      <c r="MVI67" s="170"/>
      <c r="MVJ67" s="170"/>
      <c r="MVK67" s="170"/>
      <c r="MVL67" s="170"/>
      <c r="MVM67" s="170"/>
      <c r="MVN67" s="170"/>
      <c r="MVO67" s="170"/>
      <c r="MVP67" s="170"/>
      <c r="MVQ67" s="170"/>
      <c r="MVR67" s="170"/>
      <c r="MVS67" s="170"/>
      <c r="MVT67" s="170"/>
      <c r="MVU67" s="170"/>
      <c r="MVV67" s="170"/>
      <c r="MVW67" s="170"/>
      <c r="MVX67" s="170"/>
      <c r="MVY67" s="170"/>
      <c r="MVZ67" s="170"/>
      <c r="MWA67" s="170"/>
      <c r="MWB67" s="170"/>
      <c r="MWC67" s="170"/>
      <c r="MWD67" s="170"/>
      <c r="MWE67" s="170"/>
      <c r="MWF67" s="170"/>
      <c r="MWG67" s="170"/>
      <c r="MWH67" s="170"/>
      <c r="MWI67" s="170"/>
      <c r="MWJ67" s="170"/>
      <c r="MWK67" s="170"/>
      <c r="MWL67" s="170"/>
      <c r="MWM67" s="170"/>
      <c r="MWN67" s="170"/>
      <c r="MWO67" s="170"/>
      <c r="MWP67" s="170"/>
      <c r="MWQ67" s="170"/>
      <c r="MWR67" s="170"/>
      <c r="MWS67" s="170"/>
      <c r="MWT67" s="170"/>
      <c r="MWU67" s="170"/>
      <c r="MWV67" s="170"/>
      <c r="MWW67" s="170"/>
      <c r="MWX67" s="170"/>
      <c r="MWY67" s="170"/>
      <c r="MWZ67" s="170"/>
      <c r="MXA67" s="170"/>
      <c r="MXB67" s="170"/>
      <c r="MXC67" s="170"/>
      <c r="MXD67" s="170"/>
      <c r="MXE67" s="170"/>
      <c r="MXF67" s="170"/>
      <c r="MXG67" s="170"/>
      <c r="MXH67" s="170"/>
      <c r="MXI67" s="170"/>
      <c r="MXJ67" s="170"/>
      <c r="MXK67" s="170"/>
      <c r="MXL67" s="170"/>
      <c r="MXM67" s="170"/>
      <c r="MXN67" s="170"/>
      <c r="MXO67" s="170"/>
      <c r="MXP67" s="170"/>
      <c r="MXQ67" s="170"/>
      <c r="MXR67" s="170"/>
      <c r="MXS67" s="170"/>
      <c r="MXT67" s="170"/>
      <c r="MXU67" s="170"/>
      <c r="MXV67" s="170"/>
      <c r="MXW67" s="170"/>
      <c r="MXX67" s="170"/>
      <c r="MXY67" s="170"/>
      <c r="MXZ67" s="170"/>
      <c r="MYA67" s="170"/>
      <c r="MYB67" s="170"/>
      <c r="MYC67" s="170"/>
      <c r="MYD67" s="170"/>
      <c r="MYE67" s="170"/>
      <c r="MYF67" s="170"/>
      <c r="MYG67" s="170"/>
      <c r="MYH67" s="170"/>
      <c r="MYI67" s="170"/>
      <c r="MYJ67" s="170"/>
      <c r="MYK67" s="170"/>
      <c r="MYL67" s="170"/>
      <c r="MYM67" s="170"/>
      <c r="MYN67" s="170"/>
      <c r="MYO67" s="170"/>
      <c r="MYP67" s="170"/>
      <c r="MYQ67" s="170"/>
      <c r="MYR67" s="170"/>
      <c r="MYS67" s="170"/>
      <c r="MYT67" s="170"/>
      <c r="MYU67" s="170"/>
      <c r="MYV67" s="170"/>
      <c r="MYW67" s="170"/>
      <c r="MYX67" s="170"/>
      <c r="MYY67" s="170"/>
      <c r="MYZ67" s="170"/>
      <c r="MZA67" s="170"/>
      <c r="MZB67" s="170"/>
      <c r="MZC67" s="170"/>
      <c r="MZD67" s="170"/>
      <c r="MZE67" s="170"/>
      <c r="MZF67" s="170"/>
      <c r="MZG67" s="170"/>
      <c r="MZH67" s="170"/>
      <c r="MZI67" s="170"/>
      <c r="MZJ67" s="170"/>
      <c r="MZK67" s="170"/>
      <c r="MZL67" s="170"/>
      <c r="MZM67" s="170"/>
      <c r="MZN67" s="170"/>
      <c r="MZO67" s="170"/>
      <c r="MZP67" s="170"/>
      <c r="MZQ67" s="170"/>
      <c r="MZR67" s="170"/>
      <c r="MZS67" s="170"/>
      <c r="MZT67" s="170"/>
      <c r="MZU67" s="170"/>
      <c r="MZV67" s="170"/>
      <c r="MZW67" s="170"/>
      <c r="MZX67" s="170"/>
      <c r="MZY67" s="170"/>
      <c r="MZZ67" s="170"/>
      <c r="NAA67" s="170"/>
      <c r="NAB67" s="170"/>
      <c r="NAC67" s="170"/>
      <c r="NAD67" s="170"/>
      <c r="NAE67" s="170"/>
      <c r="NAF67" s="170"/>
      <c r="NAG67" s="170"/>
      <c r="NAH67" s="170"/>
      <c r="NAI67" s="170"/>
      <c r="NAJ67" s="170"/>
      <c r="NAK67" s="170"/>
      <c r="NAL67" s="170"/>
      <c r="NAM67" s="170"/>
      <c r="NAN67" s="170"/>
      <c r="NAO67" s="170"/>
      <c r="NAP67" s="170"/>
      <c r="NAQ67" s="170"/>
      <c r="NAR67" s="170"/>
      <c r="NAS67" s="170"/>
      <c r="NAT67" s="170"/>
      <c r="NAU67" s="170"/>
      <c r="NAV67" s="170"/>
      <c r="NAW67" s="170"/>
      <c r="NAX67" s="170"/>
      <c r="NAY67" s="170"/>
      <c r="NAZ67" s="170"/>
      <c r="NBA67" s="170"/>
      <c r="NBB67" s="170"/>
      <c r="NBC67" s="170"/>
      <c r="NBD67" s="170"/>
      <c r="NBE67" s="170"/>
      <c r="NBF67" s="170"/>
      <c r="NBG67" s="170"/>
      <c r="NBH67" s="170"/>
      <c r="NBI67" s="170"/>
      <c r="NBJ67" s="170"/>
      <c r="NBK67" s="170"/>
      <c r="NBL67" s="170"/>
      <c r="NBM67" s="170"/>
      <c r="NBN67" s="170"/>
      <c r="NBO67" s="170"/>
      <c r="NBP67" s="170"/>
      <c r="NBQ67" s="170"/>
      <c r="NBR67" s="170"/>
      <c r="NBS67" s="170"/>
      <c r="NBT67" s="170"/>
      <c r="NBU67" s="170"/>
      <c r="NBV67" s="170"/>
      <c r="NBW67" s="170"/>
      <c r="NBX67" s="170"/>
      <c r="NBY67" s="170"/>
      <c r="NBZ67" s="170"/>
      <c r="NCA67" s="170"/>
      <c r="NCB67" s="170"/>
      <c r="NCC67" s="170"/>
      <c r="NCD67" s="170"/>
      <c r="NCE67" s="170"/>
      <c r="NCF67" s="170"/>
      <c r="NCG67" s="170"/>
      <c r="NCH67" s="170"/>
      <c r="NCI67" s="170"/>
      <c r="NCJ67" s="170"/>
      <c r="NCK67" s="170"/>
      <c r="NCL67" s="170"/>
      <c r="NCM67" s="170"/>
      <c r="NCN67" s="170"/>
      <c r="NCO67" s="170"/>
      <c r="NCP67" s="170"/>
      <c r="NCQ67" s="170"/>
      <c r="NCR67" s="170"/>
      <c r="NCS67" s="170"/>
      <c r="NCT67" s="170"/>
      <c r="NCU67" s="170"/>
      <c r="NCV67" s="170"/>
      <c r="NCW67" s="170"/>
      <c r="NCX67" s="170"/>
      <c r="NCY67" s="170"/>
      <c r="NCZ67" s="170"/>
      <c r="NDA67" s="170"/>
      <c r="NDB67" s="170"/>
      <c r="NDC67" s="170"/>
      <c r="NDD67" s="170"/>
      <c r="NDE67" s="170"/>
      <c r="NDF67" s="170"/>
      <c r="NDG67" s="170"/>
      <c r="NDH67" s="170"/>
      <c r="NDI67" s="170"/>
      <c r="NDJ67" s="170"/>
      <c r="NDK67" s="170"/>
      <c r="NDL67" s="170"/>
      <c r="NDM67" s="170"/>
      <c r="NDN67" s="170"/>
      <c r="NDO67" s="170"/>
      <c r="NDP67" s="170"/>
      <c r="NDQ67" s="170"/>
      <c r="NDR67" s="170"/>
      <c r="NDS67" s="170"/>
      <c r="NDT67" s="170"/>
      <c r="NDU67" s="170"/>
      <c r="NDV67" s="170"/>
      <c r="NDW67" s="170"/>
      <c r="NDX67" s="170"/>
      <c r="NDY67" s="170"/>
      <c r="NDZ67" s="170"/>
      <c r="NEA67" s="170"/>
      <c r="NEB67" s="170"/>
      <c r="NEC67" s="170"/>
      <c r="NED67" s="170"/>
      <c r="NEE67" s="170"/>
      <c r="NEF67" s="170"/>
      <c r="NEG67" s="170"/>
      <c r="NEH67" s="170"/>
      <c r="NEI67" s="170"/>
      <c r="NEJ67" s="170"/>
      <c r="NEK67" s="170"/>
      <c r="NEL67" s="170"/>
      <c r="NEM67" s="170"/>
      <c r="NEN67" s="170"/>
      <c r="NEO67" s="170"/>
      <c r="NEP67" s="170"/>
      <c r="NEQ67" s="170"/>
      <c r="NER67" s="170"/>
      <c r="NES67" s="170"/>
      <c r="NET67" s="170"/>
      <c r="NEU67" s="170"/>
      <c r="NEV67" s="170"/>
      <c r="NEW67" s="170"/>
      <c r="NEX67" s="170"/>
      <c r="NEY67" s="170"/>
      <c r="NEZ67" s="170"/>
      <c r="NFA67" s="170"/>
      <c r="NFB67" s="170"/>
      <c r="NFC67" s="170"/>
      <c r="NFD67" s="170"/>
      <c r="NFE67" s="170"/>
      <c r="NFF67" s="170"/>
      <c r="NFG67" s="170"/>
      <c r="NFH67" s="170"/>
      <c r="NFI67" s="170"/>
      <c r="NFJ67" s="170"/>
      <c r="NFK67" s="170"/>
      <c r="NFL67" s="170"/>
      <c r="NFM67" s="170"/>
      <c r="NFN67" s="170"/>
      <c r="NFO67" s="170"/>
      <c r="NFP67" s="170"/>
      <c r="NFQ67" s="170"/>
      <c r="NFR67" s="170"/>
      <c r="NFS67" s="170"/>
      <c r="NFT67" s="170"/>
      <c r="NFU67" s="170"/>
      <c r="NFV67" s="170"/>
      <c r="NFW67" s="170"/>
      <c r="NFX67" s="170"/>
      <c r="NFY67" s="170"/>
      <c r="NFZ67" s="170"/>
      <c r="NGA67" s="170"/>
      <c r="NGB67" s="170"/>
      <c r="NGC67" s="170"/>
      <c r="NGD67" s="170"/>
      <c r="NGE67" s="170"/>
      <c r="NGF67" s="170"/>
      <c r="NGG67" s="170"/>
      <c r="NGH67" s="170"/>
      <c r="NGI67" s="170"/>
      <c r="NGJ67" s="170"/>
      <c r="NGK67" s="170"/>
      <c r="NGL67" s="170"/>
      <c r="NGM67" s="170"/>
      <c r="NGN67" s="170"/>
      <c r="NGO67" s="170"/>
      <c r="NGP67" s="170"/>
      <c r="NGQ67" s="170"/>
      <c r="NGR67" s="170"/>
      <c r="NGS67" s="170"/>
      <c r="NGT67" s="170"/>
      <c r="NGU67" s="170"/>
      <c r="NGV67" s="170"/>
      <c r="NGW67" s="170"/>
      <c r="NGX67" s="170"/>
      <c r="NGY67" s="170"/>
      <c r="NGZ67" s="170"/>
      <c r="NHA67" s="170"/>
      <c r="NHB67" s="170"/>
      <c r="NHC67" s="170"/>
      <c r="NHD67" s="170"/>
      <c r="NHE67" s="170"/>
      <c r="NHF67" s="170"/>
      <c r="NHG67" s="170"/>
      <c r="NHH67" s="170"/>
      <c r="NHI67" s="170"/>
      <c r="NHJ67" s="170"/>
      <c r="NHK67" s="170"/>
      <c r="NHL67" s="170"/>
      <c r="NHM67" s="170"/>
      <c r="NHN67" s="170"/>
      <c r="NHO67" s="170"/>
      <c r="NHP67" s="170"/>
      <c r="NHQ67" s="170"/>
      <c r="NHR67" s="170"/>
      <c r="NHS67" s="170"/>
      <c r="NHT67" s="170"/>
      <c r="NHU67" s="170"/>
      <c r="NHV67" s="170"/>
      <c r="NHW67" s="170"/>
      <c r="NHX67" s="170"/>
      <c r="NHY67" s="170"/>
      <c r="NHZ67" s="170"/>
      <c r="NIA67" s="170"/>
      <c r="NIB67" s="170"/>
      <c r="NIC67" s="170"/>
      <c r="NID67" s="170"/>
      <c r="NIE67" s="170"/>
      <c r="NIF67" s="170"/>
      <c r="NIG67" s="170"/>
      <c r="NIH67" s="170"/>
      <c r="NII67" s="170"/>
      <c r="NIJ67" s="170"/>
      <c r="NIK67" s="170"/>
      <c r="NIL67" s="170"/>
      <c r="NIM67" s="170"/>
      <c r="NIN67" s="170"/>
      <c r="NIO67" s="170"/>
      <c r="NIP67" s="170"/>
      <c r="NIQ67" s="170"/>
      <c r="NIR67" s="170"/>
      <c r="NIS67" s="170"/>
      <c r="NIT67" s="170"/>
      <c r="NIU67" s="170"/>
      <c r="NIV67" s="170"/>
      <c r="NIW67" s="170"/>
      <c r="NIX67" s="170"/>
      <c r="NIY67" s="170"/>
      <c r="NIZ67" s="170"/>
      <c r="NJA67" s="170"/>
      <c r="NJB67" s="170"/>
      <c r="NJC67" s="170"/>
      <c r="NJD67" s="170"/>
      <c r="NJE67" s="170"/>
      <c r="NJF67" s="170"/>
      <c r="NJG67" s="170"/>
      <c r="NJH67" s="170"/>
      <c r="NJI67" s="170"/>
      <c r="NJJ67" s="170"/>
      <c r="NJK67" s="170"/>
      <c r="NJL67" s="170"/>
      <c r="NJM67" s="170"/>
      <c r="NJN67" s="170"/>
      <c r="NJO67" s="170"/>
      <c r="NJP67" s="170"/>
      <c r="NJQ67" s="170"/>
      <c r="NJR67" s="170"/>
      <c r="NJS67" s="170"/>
      <c r="NJT67" s="170"/>
      <c r="NJU67" s="170"/>
      <c r="NJV67" s="170"/>
      <c r="NJW67" s="170"/>
      <c r="NJX67" s="170"/>
      <c r="NJY67" s="170"/>
      <c r="NJZ67" s="170"/>
      <c r="NKA67" s="170"/>
      <c r="NKB67" s="170"/>
      <c r="NKC67" s="170"/>
      <c r="NKD67" s="170"/>
      <c r="NKE67" s="170"/>
      <c r="NKF67" s="170"/>
      <c r="NKG67" s="170"/>
      <c r="NKH67" s="170"/>
      <c r="NKI67" s="170"/>
      <c r="NKJ67" s="170"/>
      <c r="NKK67" s="170"/>
      <c r="NKL67" s="170"/>
      <c r="NKM67" s="170"/>
      <c r="NKN67" s="170"/>
      <c r="NKO67" s="170"/>
      <c r="NKP67" s="170"/>
      <c r="NKQ67" s="170"/>
      <c r="NKR67" s="170"/>
      <c r="NKS67" s="170"/>
      <c r="NKT67" s="170"/>
      <c r="NKU67" s="170"/>
      <c r="NKV67" s="170"/>
      <c r="NKW67" s="170"/>
      <c r="NKX67" s="170"/>
      <c r="NKY67" s="170"/>
      <c r="NKZ67" s="170"/>
      <c r="NLA67" s="170"/>
      <c r="NLB67" s="170"/>
      <c r="NLC67" s="170"/>
      <c r="NLD67" s="170"/>
      <c r="NLE67" s="170"/>
      <c r="NLF67" s="170"/>
      <c r="NLG67" s="170"/>
      <c r="NLH67" s="170"/>
      <c r="NLI67" s="170"/>
      <c r="NLJ67" s="170"/>
      <c r="NLK67" s="170"/>
      <c r="NLL67" s="170"/>
      <c r="NLM67" s="170"/>
      <c r="NLN67" s="170"/>
      <c r="NLO67" s="170"/>
      <c r="NLP67" s="170"/>
      <c r="NLQ67" s="170"/>
      <c r="NLR67" s="170"/>
      <c r="NLS67" s="170"/>
      <c r="NLT67" s="170"/>
      <c r="NLU67" s="170"/>
      <c r="NLV67" s="170"/>
      <c r="NLW67" s="170"/>
      <c r="NLX67" s="170"/>
      <c r="NLY67" s="170"/>
      <c r="NLZ67" s="170"/>
      <c r="NMA67" s="170"/>
      <c r="NMB67" s="170"/>
      <c r="NMC67" s="170"/>
      <c r="NMD67" s="170"/>
      <c r="NME67" s="170"/>
      <c r="NMF67" s="170"/>
      <c r="NMG67" s="170"/>
      <c r="NMH67" s="170"/>
      <c r="NMI67" s="170"/>
      <c r="NMJ67" s="170"/>
      <c r="NMK67" s="170"/>
      <c r="NML67" s="170"/>
      <c r="NMM67" s="170"/>
      <c r="NMN67" s="170"/>
      <c r="NMO67" s="170"/>
      <c r="NMP67" s="170"/>
      <c r="NMQ67" s="170"/>
      <c r="NMR67" s="170"/>
      <c r="NMS67" s="170"/>
      <c r="NMT67" s="170"/>
      <c r="NMU67" s="170"/>
      <c r="NMV67" s="170"/>
      <c r="NMW67" s="170"/>
      <c r="NMX67" s="170"/>
      <c r="NMY67" s="170"/>
      <c r="NMZ67" s="170"/>
      <c r="NNA67" s="170"/>
      <c r="NNB67" s="170"/>
      <c r="NNC67" s="170"/>
      <c r="NND67" s="170"/>
      <c r="NNE67" s="170"/>
      <c r="NNF67" s="170"/>
      <c r="NNG67" s="170"/>
      <c r="NNH67" s="170"/>
      <c r="NNI67" s="170"/>
      <c r="NNJ67" s="170"/>
      <c r="NNK67" s="170"/>
      <c r="NNL67" s="170"/>
      <c r="NNM67" s="170"/>
      <c r="NNN67" s="170"/>
      <c r="NNO67" s="170"/>
      <c r="NNP67" s="170"/>
      <c r="NNQ67" s="170"/>
      <c r="NNR67" s="170"/>
      <c r="NNS67" s="170"/>
      <c r="NNT67" s="170"/>
      <c r="NNU67" s="170"/>
      <c r="NNV67" s="170"/>
      <c r="NNW67" s="170"/>
      <c r="NNX67" s="170"/>
      <c r="NNY67" s="170"/>
      <c r="NNZ67" s="170"/>
      <c r="NOA67" s="170"/>
      <c r="NOB67" s="170"/>
      <c r="NOC67" s="170"/>
      <c r="NOD67" s="170"/>
      <c r="NOE67" s="170"/>
      <c r="NOF67" s="170"/>
      <c r="NOG67" s="170"/>
      <c r="NOH67" s="170"/>
      <c r="NOI67" s="170"/>
      <c r="NOJ67" s="170"/>
      <c r="NOK67" s="170"/>
      <c r="NOL67" s="170"/>
      <c r="NOM67" s="170"/>
      <c r="NON67" s="170"/>
      <c r="NOO67" s="170"/>
      <c r="NOP67" s="170"/>
      <c r="NOQ67" s="170"/>
      <c r="NOR67" s="170"/>
      <c r="NOS67" s="170"/>
      <c r="NOT67" s="170"/>
      <c r="NOU67" s="170"/>
      <c r="NOV67" s="170"/>
      <c r="NOW67" s="170"/>
      <c r="NOX67" s="170"/>
      <c r="NOY67" s="170"/>
      <c r="NOZ67" s="170"/>
      <c r="NPA67" s="170"/>
      <c r="NPB67" s="170"/>
      <c r="NPC67" s="170"/>
      <c r="NPD67" s="170"/>
      <c r="NPE67" s="170"/>
      <c r="NPF67" s="170"/>
      <c r="NPG67" s="170"/>
      <c r="NPH67" s="170"/>
      <c r="NPI67" s="170"/>
      <c r="NPJ67" s="170"/>
      <c r="NPK67" s="170"/>
      <c r="NPL67" s="170"/>
      <c r="NPM67" s="170"/>
      <c r="NPN67" s="170"/>
      <c r="NPO67" s="170"/>
      <c r="NPP67" s="170"/>
      <c r="NPQ67" s="170"/>
      <c r="NPR67" s="170"/>
      <c r="NPS67" s="170"/>
      <c r="NPT67" s="170"/>
      <c r="NPU67" s="170"/>
      <c r="NPV67" s="170"/>
      <c r="NPW67" s="170"/>
      <c r="NPX67" s="170"/>
      <c r="NPY67" s="170"/>
      <c r="NPZ67" s="170"/>
      <c r="NQA67" s="170"/>
      <c r="NQB67" s="170"/>
      <c r="NQC67" s="170"/>
      <c r="NQD67" s="170"/>
      <c r="NQE67" s="170"/>
      <c r="NQF67" s="170"/>
      <c r="NQG67" s="170"/>
      <c r="NQH67" s="170"/>
      <c r="NQI67" s="170"/>
      <c r="NQJ67" s="170"/>
      <c r="NQK67" s="170"/>
      <c r="NQL67" s="170"/>
      <c r="NQM67" s="170"/>
      <c r="NQN67" s="170"/>
      <c r="NQO67" s="170"/>
      <c r="NQP67" s="170"/>
      <c r="NQQ67" s="170"/>
      <c r="NQR67" s="170"/>
      <c r="NQS67" s="170"/>
      <c r="NQT67" s="170"/>
      <c r="NQU67" s="170"/>
      <c r="NQV67" s="170"/>
      <c r="NQW67" s="170"/>
      <c r="NQX67" s="170"/>
      <c r="NQY67" s="170"/>
      <c r="NQZ67" s="170"/>
      <c r="NRA67" s="170"/>
      <c r="NRB67" s="170"/>
      <c r="NRC67" s="170"/>
      <c r="NRD67" s="170"/>
      <c r="NRE67" s="170"/>
      <c r="NRF67" s="170"/>
      <c r="NRG67" s="170"/>
      <c r="NRH67" s="170"/>
      <c r="NRI67" s="170"/>
      <c r="NRJ67" s="170"/>
      <c r="NRK67" s="170"/>
      <c r="NRL67" s="170"/>
      <c r="NRM67" s="170"/>
      <c r="NRN67" s="170"/>
      <c r="NRO67" s="170"/>
      <c r="NRP67" s="170"/>
      <c r="NRQ67" s="170"/>
      <c r="NRR67" s="170"/>
      <c r="NRS67" s="170"/>
      <c r="NRT67" s="170"/>
      <c r="NRU67" s="170"/>
      <c r="NRV67" s="170"/>
      <c r="NRW67" s="170"/>
      <c r="NRX67" s="170"/>
      <c r="NRY67" s="170"/>
      <c r="NRZ67" s="170"/>
      <c r="NSA67" s="170"/>
      <c r="NSB67" s="170"/>
      <c r="NSC67" s="170"/>
      <c r="NSD67" s="170"/>
      <c r="NSE67" s="170"/>
      <c r="NSF67" s="170"/>
      <c r="NSG67" s="170"/>
      <c r="NSH67" s="170"/>
      <c r="NSI67" s="170"/>
      <c r="NSJ67" s="170"/>
      <c r="NSK67" s="170"/>
      <c r="NSL67" s="170"/>
      <c r="NSM67" s="170"/>
      <c r="NSN67" s="170"/>
      <c r="NSO67" s="170"/>
      <c r="NSP67" s="170"/>
      <c r="NSQ67" s="170"/>
      <c r="NSR67" s="170"/>
      <c r="NSS67" s="170"/>
      <c r="NST67" s="170"/>
      <c r="NSU67" s="170"/>
      <c r="NSV67" s="170"/>
      <c r="NSW67" s="170"/>
      <c r="NSX67" s="170"/>
      <c r="NSY67" s="170"/>
      <c r="NSZ67" s="170"/>
      <c r="NTA67" s="170"/>
      <c r="NTB67" s="170"/>
      <c r="NTC67" s="170"/>
      <c r="NTD67" s="170"/>
      <c r="NTE67" s="170"/>
      <c r="NTF67" s="170"/>
      <c r="NTG67" s="170"/>
      <c r="NTH67" s="170"/>
      <c r="NTI67" s="170"/>
      <c r="NTJ67" s="170"/>
      <c r="NTK67" s="170"/>
      <c r="NTL67" s="170"/>
      <c r="NTM67" s="170"/>
      <c r="NTN67" s="170"/>
      <c r="NTO67" s="170"/>
      <c r="NTP67" s="170"/>
      <c r="NTQ67" s="170"/>
      <c r="NTR67" s="170"/>
      <c r="NTS67" s="170"/>
      <c r="NTT67" s="170"/>
      <c r="NTU67" s="170"/>
      <c r="NTV67" s="170"/>
      <c r="NTW67" s="170"/>
      <c r="NTX67" s="170"/>
      <c r="NTY67" s="170"/>
      <c r="NTZ67" s="170"/>
      <c r="NUA67" s="170"/>
      <c r="NUB67" s="170"/>
      <c r="NUC67" s="170"/>
      <c r="NUD67" s="170"/>
      <c r="NUE67" s="170"/>
      <c r="NUF67" s="170"/>
      <c r="NUG67" s="170"/>
      <c r="NUH67" s="170"/>
      <c r="NUI67" s="170"/>
      <c r="NUJ67" s="170"/>
      <c r="NUK67" s="170"/>
      <c r="NUL67" s="170"/>
      <c r="NUM67" s="170"/>
      <c r="NUN67" s="170"/>
      <c r="NUO67" s="170"/>
      <c r="NUP67" s="170"/>
      <c r="NUQ67" s="170"/>
      <c r="NUR67" s="170"/>
      <c r="NUS67" s="170"/>
      <c r="NUT67" s="170"/>
      <c r="NUU67" s="170"/>
      <c r="NUV67" s="170"/>
      <c r="NUW67" s="170"/>
      <c r="NUX67" s="170"/>
      <c r="NUY67" s="170"/>
      <c r="NUZ67" s="170"/>
      <c r="NVA67" s="170"/>
      <c r="NVB67" s="170"/>
      <c r="NVC67" s="170"/>
      <c r="NVD67" s="170"/>
      <c r="NVE67" s="170"/>
      <c r="NVF67" s="170"/>
      <c r="NVG67" s="170"/>
      <c r="NVH67" s="170"/>
      <c r="NVI67" s="170"/>
      <c r="NVJ67" s="170"/>
      <c r="NVK67" s="170"/>
      <c r="NVL67" s="170"/>
      <c r="NVM67" s="170"/>
      <c r="NVN67" s="170"/>
      <c r="NVO67" s="170"/>
      <c r="NVP67" s="170"/>
      <c r="NVQ67" s="170"/>
      <c r="NVR67" s="170"/>
      <c r="NVS67" s="170"/>
      <c r="NVT67" s="170"/>
      <c r="NVU67" s="170"/>
      <c r="NVV67" s="170"/>
      <c r="NVW67" s="170"/>
      <c r="NVX67" s="170"/>
      <c r="NVY67" s="170"/>
      <c r="NVZ67" s="170"/>
      <c r="NWA67" s="170"/>
      <c r="NWB67" s="170"/>
      <c r="NWC67" s="170"/>
      <c r="NWD67" s="170"/>
      <c r="NWE67" s="170"/>
      <c r="NWF67" s="170"/>
      <c r="NWG67" s="170"/>
      <c r="NWH67" s="170"/>
      <c r="NWI67" s="170"/>
      <c r="NWJ67" s="170"/>
      <c r="NWK67" s="170"/>
      <c r="NWL67" s="170"/>
      <c r="NWM67" s="170"/>
      <c r="NWN67" s="170"/>
      <c r="NWO67" s="170"/>
      <c r="NWP67" s="170"/>
      <c r="NWQ67" s="170"/>
      <c r="NWR67" s="170"/>
      <c r="NWS67" s="170"/>
      <c r="NWT67" s="170"/>
      <c r="NWU67" s="170"/>
      <c r="NWV67" s="170"/>
      <c r="NWW67" s="170"/>
      <c r="NWX67" s="170"/>
      <c r="NWY67" s="170"/>
      <c r="NWZ67" s="170"/>
      <c r="NXA67" s="170"/>
      <c r="NXB67" s="170"/>
      <c r="NXC67" s="170"/>
      <c r="NXD67" s="170"/>
      <c r="NXE67" s="170"/>
      <c r="NXF67" s="170"/>
      <c r="NXG67" s="170"/>
      <c r="NXH67" s="170"/>
      <c r="NXI67" s="170"/>
      <c r="NXJ67" s="170"/>
      <c r="NXK67" s="170"/>
      <c r="NXL67" s="170"/>
      <c r="NXM67" s="170"/>
      <c r="NXN67" s="170"/>
      <c r="NXO67" s="170"/>
      <c r="NXP67" s="170"/>
      <c r="NXQ67" s="170"/>
      <c r="NXR67" s="170"/>
      <c r="NXS67" s="170"/>
      <c r="NXT67" s="170"/>
      <c r="NXU67" s="170"/>
      <c r="NXV67" s="170"/>
      <c r="NXW67" s="170"/>
      <c r="NXX67" s="170"/>
      <c r="NXY67" s="170"/>
      <c r="NXZ67" s="170"/>
      <c r="NYA67" s="170"/>
      <c r="NYB67" s="170"/>
      <c r="NYC67" s="170"/>
      <c r="NYD67" s="170"/>
      <c r="NYE67" s="170"/>
      <c r="NYF67" s="170"/>
      <c r="NYG67" s="170"/>
      <c r="NYH67" s="170"/>
      <c r="NYI67" s="170"/>
      <c r="NYJ67" s="170"/>
      <c r="NYK67" s="170"/>
      <c r="NYL67" s="170"/>
      <c r="NYM67" s="170"/>
      <c r="NYN67" s="170"/>
      <c r="NYO67" s="170"/>
      <c r="NYP67" s="170"/>
      <c r="NYQ67" s="170"/>
      <c r="NYR67" s="170"/>
      <c r="NYS67" s="170"/>
      <c r="NYT67" s="170"/>
      <c r="NYU67" s="170"/>
      <c r="NYV67" s="170"/>
      <c r="NYW67" s="170"/>
      <c r="NYX67" s="170"/>
      <c r="NYY67" s="170"/>
      <c r="NYZ67" s="170"/>
      <c r="NZA67" s="170"/>
      <c r="NZB67" s="170"/>
      <c r="NZC67" s="170"/>
      <c r="NZD67" s="170"/>
      <c r="NZE67" s="170"/>
      <c r="NZF67" s="170"/>
      <c r="NZG67" s="170"/>
      <c r="NZH67" s="170"/>
      <c r="NZI67" s="170"/>
      <c r="NZJ67" s="170"/>
      <c r="NZK67" s="170"/>
      <c r="NZL67" s="170"/>
      <c r="NZM67" s="170"/>
      <c r="NZN67" s="170"/>
      <c r="NZO67" s="170"/>
      <c r="NZP67" s="170"/>
      <c r="NZQ67" s="170"/>
      <c r="NZR67" s="170"/>
      <c r="NZS67" s="170"/>
      <c r="NZT67" s="170"/>
      <c r="NZU67" s="170"/>
      <c r="NZV67" s="170"/>
      <c r="NZW67" s="170"/>
      <c r="NZX67" s="170"/>
      <c r="NZY67" s="170"/>
      <c r="NZZ67" s="170"/>
      <c r="OAA67" s="170"/>
      <c r="OAB67" s="170"/>
      <c r="OAC67" s="170"/>
      <c r="OAD67" s="170"/>
      <c r="OAE67" s="170"/>
      <c r="OAF67" s="170"/>
      <c r="OAG67" s="170"/>
      <c r="OAH67" s="170"/>
      <c r="OAI67" s="170"/>
      <c r="OAJ67" s="170"/>
      <c r="OAK67" s="170"/>
      <c r="OAL67" s="170"/>
      <c r="OAM67" s="170"/>
      <c r="OAN67" s="170"/>
      <c r="OAO67" s="170"/>
      <c r="OAP67" s="170"/>
      <c r="OAQ67" s="170"/>
      <c r="OAR67" s="170"/>
      <c r="OAS67" s="170"/>
      <c r="OAT67" s="170"/>
      <c r="OAU67" s="170"/>
      <c r="OAV67" s="170"/>
      <c r="OAW67" s="170"/>
      <c r="OAX67" s="170"/>
      <c r="OAY67" s="170"/>
      <c r="OAZ67" s="170"/>
      <c r="OBA67" s="170"/>
      <c r="OBB67" s="170"/>
      <c r="OBC67" s="170"/>
      <c r="OBD67" s="170"/>
      <c r="OBE67" s="170"/>
      <c r="OBF67" s="170"/>
      <c r="OBG67" s="170"/>
      <c r="OBH67" s="170"/>
      <c r="OBI67" s="170"/>
      <c r="OBJ67" s="170"/>
      <c r="OBK67" s="170"/>
      <c r="OBL67" s="170"/>
      <c r="OBM67" s="170"/>
      <c r="OBN67" s="170"/>
      <c r="OBO67" s="170"/>
      <c r="OBP67" s="170"/>
      <c r="OBQ67" s="170"/>
      <c r="OBR67" s="170"/>
      <c r="OBS67" s="170"/>
      <c r="OBT67" s="170"/>
      <c r="OBU67" s="170"/>
      <c r="OBV67" s="170"/>
      <c r="OBW67" s="170"/>
      <c r="OBX67" s="170"/>
      <c r="OBY67" s="170"/>
      <c r="OBZ67" s="170"/>
      <c r="OCA67" s="170"/>
      <c r="OCB67" s="170"/>
      <c r="OCC67" s="170"/>
      <c r="OCD67" s="170"/>
      <c r="OCE67" s="170"/>
      <c r="OCF67" s="170"/>
      <c r="OCG67" s="170"/>
      <c r="OCH67" s="170"/>
      <c r="OCI67" s="170"/>
      <c r="OCJ67" s="170"/>
      <c r="OCK67" s="170"/>
      <c r="OCL67" s="170"/>
      <c r="OCM67" s="170"/>
      <c r="OCN67" s="170"/>
      <c r="OCO67" s="170"/>
      <c r="OCP67" s="170"/>
      <c r="OCQ67" s="170"/>
      <c r="OCR67" s="170"/>
      <c r="OCS67" s="170"/>
      <c r="OCT67" s="170"/>
      <c r="OCU67" s="170"/>
      <c r="OCV67" s="170"/>
      <c r="OCW67" s="170"/>
      <c r="OCX67" s="170"/>
      <c r="OCY67" s="170"/>
      <c r="OCZ67" s="170"/>
      <c r="ODA67" s="170"/>
      <c r="ODB67" s="170"/>
      <c r="ODC67" s="170"/>
      <c r="ODD67" s="170"/>
      <c r="ODE67" s="170"/>
      <c r="ODF67" s="170"/>
      <c r="ODG67" s="170"/>
      <c r="ODH67" s="170"/>
      <c r="ODI67" s="170"/>
      <c r="ODJ67" s="170"/>
      <c r="ODK67" s="170"/>
      <c r="ODL67" s="170"/>
      <c r="ODM67" s="170"/>
      <c r="ODN67" s="170"/>
      <c r="ODO67" s="170"/>
      <c r="ODP67" s="170"/>
      <c r="ODQ67" s="170"/>
      <c r="ODR67" s="170"/>
      <c r="ODS67" s="170"/>
      <c r="ODT67" s="170"/>
      <c r="ODU67" s="170"/>
      <c r="ODV67" s="170"/>
      <c r="ODW67" s="170"/>
      <c r="ODX67" s="170"/>
      <c r="ODY67" s="170"/>
      <c r="ODZ67" s="170"/>
      <c r="OEA67" s="170"/>
      <c r="OEB67" s="170"/>
      <c r="OEC67" s="170"/>
      <c r="OED67" s="170"/>
      <c r="OEE67" s="170"/>
      <c r="OEF67" s="170"/>
      <c r="OEG67" s="170"/>
      <c r="OEH67" s="170"/>
      <c r="OEI67" s="170"/>
      <c r="OEJ67" s="170"/>
      <c r="OEK67" s="170"/>
      <c r="OEL67" s="170"/>
      <c r="OEM67" s="170"/>
      <c r="OEN67" s="170"/>
      <c r="OEO67" s="170"/>
      <c r="OEP67" s="170"/>
      <c r="OEQ67" s="170"/>
      <c r="OER67" s="170"/>
      <c r="OES67" s="170"/>
      <c r="OET67" s="170"/>
      <c r="OEU67" s="170"/>
      <c r="OEV67" s="170"/>
      <c r="OEW67" s="170"/>
      <c r="OEX67" s="170"/>
      <c r="OEY67" s="170"/>
      <c r="OEZ67" s="170"/>
      <c r="OFA67" s="170"/>
      <c r="OFB67" s="170"/>
      <c r="OFC67" s="170"/>
      <c r="OFD67" s="170"/>
      <c r="OFE67" s="170"/>
      <c r="OFF67" s="170"/>
      <c r="OFG67" s="170"/>
      <c r="OFH67" s="170"/>
      <c r="OFI67" s="170"/>
      <c r="OFJ67" s="170"/>
      <c r="OFK67" s="170"/>
      <c r="OFL67" s="170"/>
      <c r="OFM67" s="170"/>
      <c r="OFN67" s="170"/>
      <c r="OFO67" s="170"/>
      <c r="OFP67" s="170"/>
      <c r="OFQ67" s="170"/>
      <c r="OFR67" s="170"/>
      <c r="OFS67" s="170"/>
      <c r="OFT67" s="170"/>
      <c r="OFU67" s="170"/>
      <c r="OFV67" s="170"/>
      <c r="OFW67" s="170"/>
      <c r="OFX67" s="170"/>
      <c r="OFY67" s="170"/>
      <c r="OFZ67" s="170"/>
      <c r="OGA67" s="170"/>
      <c r="OGB67" s="170"/>
      <c r="OGC67" s="170"/>
      <c r="OGD67" s="170"/>
      <c r="OGE67" s="170"/>
      <c r="OGF67" s="170"/>
      <c r="OGG67" s="170"/>
      <c r="OGH67" s="170"/>
      <c r="OGI67" s="170"/>
      <c r="OGJ67" s="170"/>
      <c r="OGK67" s="170"/>
      <c r="OGL67" s="170"/>
      <c r="OGM67" s="170"/>
      <c r="OGN67" s="170"/>
      <c r="OGO67" s="170"/>
      <c r="OGP67" s="170"/>
      <c r="OGQ67" s="170"/>
      <c r="OGR67" s="170"/>
      <c r="OGS67" s="170"/>
      <c r="OGT67" s="170"/>
      <c r="OGU67" s="170"/>
      <c r="OGV67" s="170"/>
      <c r="OGW67" s="170"/>
      <c r="OGX67" s="170"/>
      <c r="OGY67" s="170"/>
      <c r="OGZ67" s="170"/>
      <c r="OHA67" s="170"/>
      <c r="OHB67" s="170"/>
      <c r="OHC67" s="170"/>
      <c r="OHD67" s="170"/>
      <c r="OHE67" s="170"/>
      <c r="OHF67" s="170"/>
      <c r="OHG67" s="170"/>
      <c r="OHH67" s="170"/>
      <c r="OHI67" s="170"/>
      <c r="OHJ67" s="170"/>
      <c r="OHK67" s="170"/>
      <c r="OHL67" s="170"/>
      <c r="OHM67" s="170"/>
      <c r="OHN67" s="170"/>
      <c r="OHO67" s="170"/>
      <c r="OHP67" s="170"/>
      <c r="OHQ67" s="170"/>
      <c r="OHR67" s="170"/>
      <c r="OHS67" s="170"/>
      <c r="OHT67" s="170"/>
      <c r="OHU67" s="170"/>
      <c r="OHV67" s="170"/>
      <c r="OHW67" s="170"/>
      <c r="OHX67" s="170"/>
      <c r="OHY67" s="170"/>
      <c r="OHZ67" s="170"/>
      <c r="OIA67" s="170"/>
      <c r="OIB67" s="170"/>
      <c r="OIC67" s="170"/>
      <c r="OID67" s="170"/>
      <c r="OIE67" s="170"/>
      <c r="OIF67" s="170"/>
      <c r="OIG67" s="170"/>
      <c r="OIH67" s="170"/>
      <c r="OII67" s="170"/>
      <c r="OIJ67" s="170"/>
      <c r="OIK67" s="170"/>
      <c r="OIL67" s="170"/>
      <c r="OIM67" s="170"/>
      <c r="OIN67" s="170"/>
      <c r="OIO67" s="170"/>
      <c r="OIP67" s="170"/>
      <c r="OIQ67" s="170"/>
      <c r="OIR67" s="170"/>
      <c r="OIS67" s="170"/>
      <c r="OIT67" s="170"/>
      <c r="OIU67" s="170"/>
      <c r="OIV67" s="170"/>
      <c r="OIW67" s="170"/>
      <c r="OIX67" s="170"/>
      <c r="OIY67" s="170"/>
      <c r="OIZ67" s="170"/>
      <c r="OJA67" s="170"/>
      <c r="OJB67" s="170"/>
      <c r="OJC67" s="170"/>
      <c r="OJD67" s="170"/>
      <c r="OJE67" s="170"/>
      <c r="OJF67" s="170"/>
      <c r="OJG67" s="170"/>
      <c r="OJH67" s="170"/>
      <c r="OJI67" s="170"/>
      <c r="OJJ67" s="170"/>
      <c r="OJK67" s="170"/>
      <c r="OJL67" s="170"/>
      <c r="OJM67" s="170"/>
      <c r="OJN67" s="170"/>
      <c r="OJO67" s="170"/>
      <c r="OJP67" s="170"/>
      <c r="OJQ67" s="170"/>
      <c r="OJR67" s="170"/>
      <c r="OJS67" s="170"/>
      <c r="OJT67" s="170"/>
      <c r="OJU67" s="170"/>
      <c r="OJV67" s="170"/>
      <c r="OJW67" s="170"/>
      <c r="OJX67" s="170"/>
      <c r="OJY67" s="170"/>
      <c r="OJZ67" s="170"/>
      <c r="OKA67" s="170"/>
      <c r="OKB67" s="170"/>
      <c r="OKC67" s="170"/>
      <c r="OKD67" s="170"/>
      <c r="OKE67" s="170"/>
      <c r="OKF67" s="170"/>
      <c r="OKG67" s="170"/>
      <c r="OKH67" s="170"/>
      <c r="OKI67" s="170"/>
      <c r="OKJ67" s="170"/>
      <c r="OKK67" s="170"/>
      <c r="OKL67" s="170"/>
      <c r="OKM67" s="170"/>
      <c r="OKN67" s="170"/>
      <c r="OKO67" s="170"/>
      <c r="OKP67" s="170"/>
      <c r="OKQ67" s="170"/>
      <c r="OKR67" s="170"/>
      <c r="OKS67" s="170"/>
      <c r="OKT67" s="170"/>
      <c r="OKU67" s="170"/>
      <c r="OKV67" s="170"/>
      <c r="OKW67" s="170"/>
      <c r="OKX67" s="170"/>
      <c r="OKY67" s="170"/>
      <c r="OKZ67" s="170"/>
      <c r="OLA67" s="170"/>
      <c r="OLB67" s="170"/>
      <c r="OLC67" s="170"/>
      <c r="OLD67" s="170"/>
      <c r="OLE67" s="170"/>
      <c r="OLF67" s="170"/>
      <c r="OLG67" s="170"/>
      <c r="OLH67" s="170"/>
      <c r="OLI67" s="170"/>
      <c r="OLJ67" s="170"/>
      <c r="OLK67" s="170"/>
      <c r="OLL67" s="170"/>
      <c r="OLM67" s="170"/>
      <c r="OLN67" s="170"/>
      <c r="OLO67" s="170"/>
      <c r="OLP67" s="170"/>
      <c r="OLQ67" s="170"/>
      <c r="OLR67" s="170"/>
      <c r="OLS67" s="170"/>
      <c r="OLT67" s="170"/>
      <c r="OLU67" s="170"/>
      <c r="OLV67" s="170"/>
      <c r="OLW67" s="170"/>
      <c r="OLX67" s="170"/>
      <c r="OLY67" s="170"/>
      <c r="OLZ67" s="170"/>
      <c r="OMA67" s="170"/>
      <c r="OMB67" s="170"/>
      <c r="OMC67" s="170"/>
      <c r="OMD67" s="170"/>
      <c r="OME67" s="170"/>
      <c r="OMF67" s="170"/>
      <c r="OMG67" s="170"/>
      <c r="OMH67" s="170"/>
      <c r="OMI67" s="170"/>
      <c r="OMJ67" s="170"/>
      <c r="OMK67" s="170"/>
      <c r="OML67" s="170"/>
      <c r="OMM67" s="170"/>
      <c r="OMN67" s="170"/>
      <c r="OMO67" s="170"/>
      <c r="OMP67" s="170"/>
      <c r="OMQ67" s="170"/>
      <c r="OMR67" s="170"/>
      <c r="OMS67" s="170"/>
      <c r="OMT67" s="170"/>
      <c r="OMU67" s="170"/>
      <c r="OMV67" s="170"/>
      <c r="OMW67" s="170"/>
      <c r="OMX67" s="170"/>
      <c r="OMY67" s="170"/>
      <c r="OMZ67" s="170"/>
      <c r="ONA67" s="170"/>
      <c r="ONB67" s="170"/>
      <c r="ONC67" s="170"/>
      <c r="OND67" s="170"/>
      <c r="ONE67" s="170"/>
      <c r="ONF67" s="170"/>
      <c r="ONG67" s="170"/>
      <c r="ONH67" s="170"/>
      <c r="ONI67" s="170"/>
      <c r="ONJ67" s="170"/>
      <c r="ONK67" s="170"/>
      <c r="ONL67" s="170"/>
      <c r="ONM67" s="170"/>
      <c r="ONN67" s="170"/>
      <c r="ONO67" s="170"/>
      <c r="ONP67" s="170"/>
      <c r="ONQ67" s="170"/>
      <c r="ONR67" s="170"/>
      <c r="ONS67" s="170"/>
      <c r="ONT67" s="170"/>
      <c r="ONU67" s="170"/>
      <c r="ONV67" s="170"/>
      <c r="ONW67" s="170"/>
      <c r="ONX67" s="170"/>
      <c r="ONY67" s="170"/>
      <c r="ONZ67" s="170"/>
      <c r="OOA67" s="170"/>
      <c r="OOB67" s="170"/>
      <c r="OOC67" s="170"/>
      <c r="OOD67" s="170"/>
      <c r="OOE67" s="170"/>
      <c r="OOF67" s="170"/>
      <c r="OOG67" s="170"/>
      <c r="OOH67" s="170"/>
      <c r="OOI67" s="170"/>
      <c r="OOJ67" s="170"/>
      <c r="OOK67" s="170"/>
      <c r="OOL67" s="170"/>
      <c r="OOM67" s="170"/>
      <c r="OON67" s="170"/>
      <c r="OOO67" s="170"/>
      <c r="OOP67" s="170"/>
      <c r="OOQ67" s="170"/>
      <c r="OOR67" s="170"/>
      <c r="OOS67" s="170"/>
      <c r="OOT67" s="170"/>
      <c r="OOU67" s="170"/>
      <c r="OOV67" s="170"/>
      <c r="OOW67" s="170"/>
      <c r="OOX67" s="170"/>
      <c r="OOY67" s="170"/>
      <c r="OOZ67" s="170"/>
      <c r="OPA67" s="170"/>
      <c r="OPB67" s="170"/>
      <c r="OPC67" s="170"/>
      <c r="OPD67" s="170"/>
      <c r="OPE67" s="170"/>
      <c r="OPF67" s="170"/>
      <c r="OPG67" s="170"/>
      <c r="OPH67" s="170"/>
      <c r="OPI67" s="170"/>
      <c r="OPJ67" s="170"/>
      <c r="OPK67" s="170"/>
      <c r="OPL67" s="170"/>
      <c r="OPM67" s="170"/>
      <c r="OPN67" s="170"/>
      <c r="OPO67" s="170"/>
      <c r="OPP67" s="170"/>
      <c r="OPQ67" s="170"/>
      <c r="OPR67" s="170"/>
      <c r="OPS67" s="170"/>
      <c r="OPT67" s="170"/>
      <c r="OPU67" s="170"/>
      <c r="OPV67" s="170"/>
      <c r="OPW67" s="170"/>
      <c r="OPX67" s="170"/>
      <c r="OPY67" s="170"/>
      <c r="OPZ67" s="170"/>
      <c r="OQA67" s="170"/>
      <c r="OQB67" s="170"/>
      <c r="OQC67" s="170"/>
      <c r="OQD67" s="170"/>
      <c r="OQE67" s="170"/>
      <c r="OQF67" s="170"/>
      <c r="OQG67" s="170"/>
      <c r="OQH67" s="170"/>
      <c r="OQI67" s="170"/>
      <c r="OQJ67" s="170"/>
      <c r="OQK67" s="170"/>
      <c r="OQL67" s="170"/>
      <c r="OQM67" s="170"/>
      <c r="OQN67" s="170"/>
      <c r="OQO67" s="170"/>
      <c r="OQP67" s="170"/>
      <c r="OQQ67" s="170"/>
      <c r="OQR67" s="170"/>
      <c r="OQS67" s="170"/>
      <c r="OQT67" s="170"/>
      <c r="OQU67" s="170"/>
      <c r="OQV67" s="170"/>
      <c r="OQW67" s="170"/>
      <c r="OQX67" s="170"/>
      <c r="OQY67" s="170"/>
      <c r="OQZ67" s="170"/>
      <c r="ORA67" s="170"/>
      <c r="ORB67" s="170"/>
      <c r="ORC67" s="170"/>
      <c r="ORD67" s="170"/>
      <c r="ORE67" s="170"/>
      <c r="ORF67" s="170"/>
      <c r="ORG67" s="170"/>
      <c r="ORH67" s="170"/>
      <c r="ORI67" s="170"/>
      <c r="ORJ67" s="170"/>
      <c r="ORK67" s="170"/>
      <c r="ORL67" s="170"/>
      <c r="ORM67" s="170"/>
      <c r="ORN67" s="170"/>
      <c r="ORO67" s="170"/>
      <c r="ORP67" s="170"/>
      <c r="ORQ67" s="170"/>
      <c r="ORR67" s="170"/>
      <c r="ORS67" s="170"/>
      <c r="ORT67" s="170"/>
      <c r="ORU67" s="170"/>
      <c r="ORV67" s="170"/>
      <c r="ORW67" s="170"/>
      <c r="ORX67" s="170"/>
      <c r="ORY67" s="170"/>
      <c r="ORZ67" s="170"/>
      <c r="OSA67" s="170"/>
      <c r="OSB67" s="170"/>
      <c r="OSC67" s="170"/>
      <c r="OSD67" s="170"/>
      <c r="OSE67" s="170"/>
      <c r="OSF67" s="170"/>
      <c r="OSG67" s="170"/>
      <c r="OSH67" s="170"/>
      <c r="OSI67" s="170"/>
      <c r="OSJ67" s="170"/>
      <c r="OSK67" s="170"/>
      <c r="OSL67" s="170"/>
      <c r="OSM67" s="170"/>
      <c r="OSN67" s="170"/>
      <c r="OSO67" s="170"/>
      <c r="OSP67" s="170"/>
      <c r="OSQ67" s="170"/>
      <c r="OSR67" s="170"/>
      <c r="OSS67" s="170"/>
      <c r="OST67" s="170"/>
      <c r="OSU67" s="170"/>
      <c r="OSV67" s="170"/>
      <c r="OSW67" s="170"/>
      <c r="OSX67" s="170"/>
      <c r="OSY67" s="170"/>
      <c r="OSZ67" s="170"/>
      <c r="OTA67" s="170"/>
      <c r="OTB67" s="170"/>
      <c r="OTC67" s="170"/>
      <c r="OTD67" s="170"/>
      <c r="OTE67" s="170"/>
      <c r="OTF67" s="170"/>
      <c r="OTG67" s="170"/>
      <c r="OTH67" s="170"/>
      <c r="OTI67" s="170"/>
      <c r="OTJ67" s="170"/>
      <c r="OTK67" s="170"/>
      <c r="OTL67" s="170"/>
      <c r="OTM67" s="170"/>
      <c r="OTN67" s="170"/>
      <c r="OTO67" s="170"/>
      <c r="OTP67" s="170"/>
      <c r="OTQ67" s="170"/>
      <c r="OTR67" s="170"/>
      <c r="OTS67" s="170"/>
      <c r="OTT67" s="170"/>
      <c r="OTU67" s="170"/>
      <c r="OTV67" s="170"/>
      <c r="OTW67" s="170"/>
      <c r="OTX67" s="170"/>
      <c r="OTY67" s="170"/>
      <c r="OTZ67" s="170"/>
      <c r="OUA67" s="170"/>
      <c r="OUB67" s="170"/>
      <c r="OUC67" s="170"/>
      <c r="OUD67" s="170"/>
      <c r="OUE67" s="170"/>
      <c r="OUF67" s="170"/>
      <c r="OUG67" s="170"/>
      <c r="OUH67" s="170"/>
      <c r="OUI67" s="170"/>
      <c r="OUJ67" s="170"/>
      <c r="OUK67" s="170"/>
      <c r="OUL67" s="170"/>
      <c r="OUM67" s="170"/>
      <c r="OUN67" s="170"/>
      <c r="OUO67" s="170"/>
      <c r="OUP67" s="170"/>
      <c r="OUQ67" s="170"/>
      <c r="OUR67" s="170"/>
      <c r="OUS67" s="170"/>
      <c r="OUT67" s="170"/>
      <c r="OUU67" s="170"/>
      <c r="OUV67" s="170"/>
      <c r="OUW67" s="170"/>
      <c r="OUX67" s="170"/>
      <c r="OUY67" s="170"/>
      <c r="OUZ67" s="170"/>
      <c r="OVA67" s="170"/>
      <c r="OVB67" s="170"/>
      <c r="OVC67" s="170"/>
      <c r="OVD67" s="170"/>
      <c r="OVE67" s="170"/>
      <c r="OVF67" s="170"/>
      <c r="OVG67" s="170"/>
      <c r="OVH67" s="170"/>
      <c r="OVI67" s="170"/>
      <c r="OVJ67" s="170"/>
      <c r="OVK67" s="170"/>
      <c r="OVL67" s="170"/>
      <c r="OVM67" s="170"/>
      <c r="OVN67" s="170"/>
      <c r="OVO67" s="170"/>
      <c r="OVP67" s="170"/>
      <c r="OVQ67" s="170"/>
      <c r="OVR67" s="170"/>
      <c r="OVS67" s="170"/>
      <c r="OVT67" s="170"/>
      <c r="OVU67" s="170"/>
      <c r="OVV67" s="170"/>
      <c r="OVW67" s="170"/>
      <c r="OVX67" s="170"/>
      <c r="OVY67" s="170"/>
      <c r="OVZ67" s="170"/>
      <c r="OWA67" s="170"/>
      <c r="OWB67" s="170"/>
      <c r="OWC67" s="170"/>
      <c r="OWD67" s="170"/>
      <c r="OWE67" s="170"/>
      <c r="OWF67" s="170"/>
      <c r="OWG67" s="170"/>
      <c r="OWH67" s="170"/>
      <c r="OWI67" s="170"/>
      <c r="OWJ67" s="170"/>
      <c r="OWK67" s="170"/>
      <c r="OWL67" s="170"/>
      <c r="OWM67" s="170"/>
      <c r="OWN67" s="170"/>
      <c r="OWO67" s="170"/>
      <c r="OWP67" s="170"/>
      <c r="OWQ67" s="170"/>
      <c r="OWR67" s="170"/>
      <c r="OWS67" s="170"/>
      <c r="OWT67" s="170"/>
      <c r="OWU67" s="170"/>
      <c r="OWV67" s="170"/>
      <c r="OWW67" s="170"/>
      <c r="OWX67" s="170"/>
      <c r="OWY67" s="170"/>
      <c r="OWZ67" s="170"/>
      <c r="OXA67" s="170"/>
      <c r="OXB67" s="170"/>
      <c r="OXC67" s="170"/>
      <c r="OXD67" s="170"/>
      <c r="OXE67" s="170"/>
      <c r="OXF67" s="170"/>
      <c r="OXG67" s="170"/>
      <c r="OXH67" s="170"/>
      <c r="OXI67" s="170"/>
      <c r="OXJ67" s="170"/>
      <c r="OXK67" s="170"/>
      <c r="OXL67" s="170"/>
      <c r="OXM67" s="170"/>
      <c r="OXN67" s="170"/>
      <c r="OXO67" s="170"/>
      <c r="OXP67" s="170"/>
      <c r="OXQ67" s="170"/>
      <c r="OXR67" s="170"/>
      <c r="OXS67" s="170"/>
      <c r="OXT67" s="170"/>
      <c r="OXU67" s="170"/>
      <c r="OXV67" s="170"/>
      <c r="OXW67" s="170"/>
      <c r="OXX67" s="170"/>
      <c r="OXY67" s="170"/>
      <c r="OXZ67" s="170"/>
      <c r="OYA67" s="170"/>
      <c r="OYB67" s="170"/>
      <c r="OYC67" s="170"/>
      <c r="OYD67" s="170"/>
      <c r="OYE67" s="170"/>
      <c r="OYF67" s="170"/>
      <c r="OYG67" s="170"/>
      <c r="OYH67" s="170"/>
      <c r="OYI67" s="170"/>
      <c r="OYJ67" s="170"/>
      <c r="OYK67" s="170"/>
      <c r="OYL67" s="170"/>
      <c r="OYM67" s="170"/>
      <c r="OYN67" s="170"/>
      <c r="OYO67" s="170"/>
      <c r="OYP67" s="170"/>
      <c r="OYQ67" s="170"/>
      <c r="OYR67" s="170"/>
      <c r="OYS67" s="170"/>
      <c r="OYT67" s="170"/>
      <c r="OYU67" s="170"/>
      <c r="OYV67" s="170"/>
      <c r="OYW67" s="170"/>
      <c r="OYX67" s="170"/>
      <c r="OYY67" s="170"/>
      <c r="OYZ67" s="170"/>
      <c r="OZA67" s="170"/>
      <c r="OZB67" s="170"/>
      <c r="OZC67" s="170"/>
      <c r="OZD67" s="170"/>
      <c r="OZE67" s="170"/>
      <c r="OZF67" s="170"/>
      <c r="OZG67" s="170"/>
      <c r="OZH67" s="170"/>
      <c r="OZI67" s="170"/>
      <c r="OZJ67" s="170"/>
      <c r="OZK67" s="170"/>
      <c r="OZL67" s="170"/>
      <c r="OZM67" s="170"/>
      <c r="OZN67" s="170"/>
      <c r="OZO67" s="170"/>
      <c r="OZP67" s="170"/>
      <c r="OZQ67" s="170"/>
      <c r="OZR67" s="170"/>
      <c r="OZS67" s="170"/>
      <c r="OZT67" s="170"/>
      <c r="OZU67" s="170"/>
      <c r="OZV67" s="170"/>
      <c r="OZW67" s="170"/>
      <c r="OZX67" s="170"/>
      <c r="OZY67" s="170"/>
      <c r="OZZ67" s="170"/>
      <c r="PAA67" s="170"/>
      <c r="PAB67" s="170"/>
      <c r="PAC67" s="170"/>
      <c r="PAD67" s="170"/>
      <c r="PAE67" s="170"/>
      <c r="PAF67" s="170"/>
      <c r="PAG67" s="170"/>
      <c r="PAH67" s="170"/>
      <c r="PAI67" s="170"/>
      <c r="PAJ67" s="170"/>
      <c r="PAK67" s="170"/>
      <c r="PAL67" s="170"/>
      <c r="PAM67" s="170"/>
      <c r="PAN67" s="170"/>
      <c r="PAO67" s="170"/>
      <c r="PAP67" s="170"/>
      <c r="PAQ67" s="170"/>
      <c r="PAR67" s="170"/>
      <c r="PAS67" s="170"/>
      <c r="PAT67" s="170"/>
      <c r="PAU67" s="170"/>
      <c r="PAV67" s="170"/>
      <c r="PAW67" s="170"/>
      <c r="PAX67" s="170"/>
      <c r="PAY67" s="170"/>
      <c r="PAZ67" s="170"/>
      <c r="PBA67" s="170"/>
      <c r="PBB67" s="170"/>
      <c r="PBC67" s="170"/>
      <c r="PBD67" s="170"/>
      <c r="PBE67" s="170"/>
      <c r="PBF67" s="170"/>
      <c r="PBG67" s="170"/>
      <c r="PBH67" s="170"/>
      <c r="PBI67" s="170"/>
      <c r="PBJ67" s="170"/>
      <c r="PBK67" s="170"/>
      <c r="PBL67" s="170"/>
      <c r="PBM67" s="170"/>
      <c r="PBN67" s="170"/>
      <c r="PBO67" s="170"/>
      <c r="PBP67" s="170"/>
      <c r="PBQ67" s="170"/>
      <c r="PBR67" s="170"/>
      <c r="PBS67" s="170"/>
      <c r="PBT67" s="170"/>
      <c r="PBU67" s="170"/>
      <c r="PBV67" s="170"/>
      <c r="PBW67" s="170"/>
      <c r="PBX67" s="170"/>
      <c r="PBY67" s="170"/>
      <c r="PBZ67" s="170"/>
      <c r="PCA67" s="170"/>
      <c r="PCB67" s="170"/>
      <c r="PCC67" s="170"/>
      <c r="PCD67" s="170"/>
      <c r="PCE67" s="170"/>
      <c r="PCF67" s="170"/>
      <c r="PCG67" s="170"/>
      <c r="PCH67" s="170"/>
      <c r="PCI67" s="170"/>
      <c r="PCJ67" s="170"/>
      <c r="PCK67" s="170"/>
      <c r="PCL67" s="170"/>
      <c r="PCM67" s="170"/>
      <c r="PCN67" s="170"/>
      <c r="PCO67" s="170"/>
      <c r="PCP67" s="170"/>
      <c r="PCQ67" s="170"/>
      <c r="PCR67" s="170"/>
      <c r="PCS67" s="170"/>
      <c r="PCT67" s="170"/>
      <c r="PCU67" s="170"/>
      <c r="PCV67" s="170"/>
      <c r="PCW67" s="170"/>
      <c r="PCX67" s="170"/>
      <c r="PCY67" s="170"/>
      <c r="PCZ67" s="170"/>
      <c r="PDA67" s="170"/>
      <c r="PDB67" s="170"/>
      <c r="PDC67" s="170"/>
      <c r="PDD67" s="170"/>
      <c r="PDE67" s="170"/>
      <c r="PDF67" s="170"/>
      <c r="PDG67" s="170"/>
      <c r="PDH67" s="170"/>
      <c r="PDI67" s="170"/>
      <c r="PDJ67" s="170"/>
      <c r="PDK67" s="170"/>
      <c r="PDL67" s="170"/>
      <c r="PDM67" s="170"/>
      <c r="PDN67" s="170"/>
      <c r="PDO67" s="170"/>
      <c r="PDP67" s="170"/>
      <c r="PDQ67" s="170"/>
      <c r="PDR67" s="170"/>
      <c r="PDS67" s="170"/>
      <c r="PDT67" s="170"/>
      <c r="PDU67" s="170"/>
      <c r="PDV67" s="170"/>
      <c r="PDW67" s="170"/>
      <c r="PDX67" s="170"/>
      <c r="PDY67" s="170"/>
      <c r="PDZ67" s="170"/>
      <c r="PEA67" s="170"/>
      <c r="PEB67" s="170"/>
      <c r="PEC67" s="170"/>
      <c r="PED67" s="170"/>
      <c r="PEE67" s="170"/>
      <c r="PEF67" s="170"/>
      <c r="PEG67" s="170"/>
      <c r="PEH67" s="170"/>
      <c r="PEI67" s="170"/>
      <c r="PEJ67" s="170"/>
      <c r="PEK67" s="170"/>
      <c r="PEL67" s="170"/>
      <c r="PEM67" s="170"/>
      <c r="PEN67" s="170"/>
      <c r="PEO67" s="170"/>
      <c r="PEP67" s="170"/>
      <c r="PEQ67" s="170"/>
      <c r="PER67" s="170"/>
      <c r="PES67" s="170"/>
      <c r="PET67" s="170"/>
      <c r="PEU67" s="170"/>
      <c r="PEV67" s="170"/>
      <c r="PEW67" s="170"/>
      <c r="PEX67" s="170"/>
      <c r="PEY67" s="170"/>
      <c r="PEZ67" s="170"/>
      <c r="PFA67" s="170"/>
      <c r="PFB67" s="170"/>
      <c r="PFC67" s="170"/>
      <c r="PFD67" s="170"/>
      <c r="PFE67" s="170"/>
      <c r="PFF67" s="170"/>
      <c r="PFG67" s="170"/>
      <c r="PFH67" s="170"/>
      <c r="PFI67" s="170"/>
      <c r="PFJ67" s="170"/>
      <c r="PFK67" s="170"/>
      <c r="PFL67" s="170"/>
      <c r="PFM67" s="170"/>
      <c r="PFN67" s="170"/>
      <c r="PFO67" s="170"/>
      <c r="PFP67" s="170"/>
      <c r="PFQ67" s="170"/>
      <c r="PFR67" s="170"/>
      <c r="PFS67" s="170"/>
      <c r="PFT67" s="170"/>
      <c r="PFU67" s="170"/>
      <c r="PFV67" s="170"/>
      <c r="PFW67" s="170"/>
      <c r="PFX67" s="170"/>
      <c r="PFY67" s="170"/>
      <c r="PFZ67" s="170"/>
      <c r="PGA67" s="170"/>
      <c r="PGB67" s="170"/>
      <c r="PGC67" s="170"/>
      <c r="PGD67" s="170"/>
      <c r="PGE67" s="170"/>
      <c r="PGF67" s="170"/>
      <c r="PGG67" s="170"/>
      <c r="PGH67" s="170"/>
      <c r="PGI67" s="170"/>
      <c r="PGJ67" s="170"/>
      <c r="PGK67" s="170"/>
      <c r="PGL67" s="170"/>
      <c r="PGM67" s="170"/>
      <c r="PGN67" s="170"/>
      <c r="PGO67" s="170"/>
      <c r="PGP67" s="170"/>
      <c r="PGQ67" s="170"/>
      <c r="PGR67" s="170"/>
      <c r="PGS67" s="170"/>
      <c r="PGT67" s="170"/>
      <c r="PGU67" s="170"/>
      <c r="PGV67" s="170"/>
      <c r="PGW67" s="170"/>
      <c r="PGX67" s="170"/>
      <c r="PGY67" s="170"/>
      <c r="PGZ67" s="170"/>
      <c r="PHA67" s="170"/>
      <c r="PHB67" s="170"/>
      <c r="PHC67" s="170"/>
      <c r="PHD67" s="170"/>
      <c r="PHE67" s="170"/>
      <c r="PHF67" s="170"/>
      <c r="PHG67" s="170"/>
      <c r="PHH67" s="170"/>
      <c r="PHI67" s="170"/>
      <c r="PHJ67" s="170"/>
      <c r="PHK67" s="170"/>
      <c r="PHL67" s="170"/>
      <c r="PHM67" s="170"/>
      <c r="PHN67" s="170"/>
      <c r="PHO67" s="170"/>
      <c r="PHP67" s="170"/>
      <c r="PHQ67" s="170"/>
      <c r="PHR67" s="170"/>
      <c r="PHS67" s="170"/>
      <c r="PHT67" s="170"/>
      <c r="PHU67" s="170"/>
      <c r="PHV67" s="170"/>
      <c r="PHW67" s="170"/>
      <c r="PHX67" s="170"/>
      <c r="PHY67" s="170"/>
      <c r="PHZ67" s="170"/>
      <c r="PIA67" s="170"/>
      <c r="PIB67" s="170"/>
      <c r="PIC67" s="170"/>
      <c r="PID67" s="170"/>
      <c r="PIE67" s="170"/>
      <c r="PIF67" s="170"/>
      <c r="PIG67" s="170"/>
      <c r="PIH67" s="170"/>
      <c r="PII67" s="170"/>
      <c r="PIJ67" s="170"/>
      <c r="PIK67" s="170"/>
      <c r="PIL67" s="170"/>
      <c r="PIM67" s="170"/>
      <c r="PIN67" s="170"/>
      <c r="PIO67" s="170"/>
      <c r="PIP67" s="170"/>
      <c r="PIQ67" s="170"/>
      <c r="PIR67" s="170"/>
      <c r="PIS67" s="170"/>
      <c r="PIT67" s="170"/>
      <c r="PIU67" s="170"/>
      <c r="PIV67" s="170"/>
      <c r="PIW67" s="170"/>
      <c r="PIX67" s="170"/>
      <c r="PIY67" s="170"/>
      <c r="PIZ67" s="170"/>
      <c r="PJA67" s="170"/>
      <c r="PJB67" s="170"/>
      <c r="PJC67" s="170"/>
      <c r="PJD67" s="170"/>
      <c r="PJE67" s="170"/>
      <c r="PJF67" s="170"/>
      <c r="PJG67" s="170"/>
      <c r="PJH67" s="170"/>
      <c r="PJI67" s="170"/>
      <c r="PJJ67" s="170"/>
      <c r="PJK67" s="170"/>
      <c r="PJL67" s="170"/>
      <c r="PJM67" s="170"/>
      <c r="PJN67" s="170"/>
      <c r="PJO67" s="170"/>
      <c r="PJP67" s="170"/>
      <c r="PJQ67" s="170"/>
      <c r="PJR67" s="170"/>
      <c r="PJS67" s="170"/>
      <c r="PJT67" s="170"/>
      <c r="PJU67" s="170"/>
      <c r="PJV67" s="170"/>
      <c r="PJW67" s="170"/>
      <c r="PJX67" s="170"/>
      <c r="PJY67" s="170"/>
      <c r="PJZ67" s="170"/>
      <c r="PKA67" s="170"/>
      <c r="PKB67" s="170"/>
      <c r="PKC67" s="170"/>
      <c r="PKD67" s="170"/>
      <c r="PKE67" s="170"/>
      <c r="PKF67" s="170"/>
      <c r="PKG67" s="170"/>
      <c r="PKH67" s="170"/>
      <c r="PKI67" s="170"/>
      <c r="PKJ67" s="170"/>
      <c r="PKK67" s="170"/>
      <c r="PKL67" s="170"/>
      <c r="PKM67" s="170"/>
      <c r="PKN67" s="170"/>
      <c r="PKO67" s="170"/>
      <c r="PKP67" s="170"/>
      <c r="PKQ67" s="170"/>
      <c r="PKR67" s="170"/>
      <c r="PKS67" s="170"/>
      <c r="PKT67" s="170"/>
      <c r="PKU67" s="170"/>
      <c r="PKV67" s="170"/>
      <c r="PKW67" s="170"/>
      <c r="PKX67" s="170"/>
      <c r="PKY67" s="170"/>
      <c r="PKZ67" s="170"/>
      <c r="PLA67" s="170"/>
      <c r="PLB67" s="170"/>
      <c r="PLC67" s="170"/>
      <c r="PLD67" s="170"/>
      <c r="PLE67" s="170"/>
      <c r="PLF67" s="170"/>
      <c r="PLG67" s="170"/>
      <c r="PLH67" s="170"/>
      <c r="PLI67" s="170"/>
      <c r="PLJ67" s="170"/>
      <c r="PLK67" s="170"/>
      <c r="PLL67" s="170"/>
      <c r="PLM67" s="170"/>
      <c r="PLN67" s="170"/>
      <c r="PLO67" s="170"/>
      <c r="PLP67" s="170"/>
      <c r="PLQ67" s="170"/>
      <c r="PLR67" s="170"/>
      <c r="PLS67" s="170"/>
      <c r="PLT67" s="170"/>
      <c r="PLU67" s="170"/>
      <c r="PLV67" s="170"/>
      <c r="PLW67" s="170"/>
      <c r="PLX67" s="170"/>
      <c r="PLY67" s="170"/>
      <c r="PLZ67" s="170"/>
      <c r="PMA67" s="170"/>
      <c r="PMB67" s="170"/>
      <c r="PMC67" s="170"/>
      <c r="PMD67" s="170"/>
      <c r="PME67" s="170"/>
      <c r="PMF67" s="170"/>
      <c r="PMG67" s="170"/>
      <c r="PMH67" s="170"/>
      <c r="PMI67" s="170"/>
      <c r="PMJ67" s="170"/>
      <c r="PMK67" s="170"/>
      <c r="PML67" s="170"/>
      <c r="PMM67" s="170"/>
      <c r="PMN67" s="170"/>
      <c r="PMO67" s="170"/>
      <c r="PMP67" s="170"/>
      <c r="PMQ67" s="170"/>
      <c r="PMR67" s="170"/>
      <c r="PMS67" s="170"/>
      <c r="PMT67" s="170"/>
      <c r="PMU67" s="170"/>
      <c r="PMV67" s="170"/>
      <c r="PMW67" s="170"/>
      <c r="PMX67" s="170"/>
      <c r="PMY67" s="170"/>
      <c r="PMZ67" s="170"/>
      <c r="PNA67" s="170"/>
      <c r="PNB67" s="170"/>
      <c r="PNC67" s="170"/>
      <c r="PND67" s="170"/>
      <c r="PNE67" s="170"/>
      <c r="PNF67" s="170"/>
      <c r="PNG67" s="170"/>
      <c r="PNH67" s="170"/>
      <c r="PNI67" s="170"/>
      <c r="PNJ67" s="170"/>
      <c r="PNK67" s="170"/>
      <c r="PNL67" s="170"/>
      <c r="PNM67" s="170"/>
      <c r="PNN67" s="170"/>
      <c r="PNO67" s="170"/>
      <c r="PNP67" s="170"/>
      <c r="PNQ67" s="170"/>
      <c r="PNR67" s="170"/>
      <c r="PNS67" s="170"/>
      <c r="PNT67" s="170"/>
      <c r="PNU67" s="170"/>
      <c r="PNV67" s="170"/>
      <c r="PNW67" s="170"/>
      <c r="PNX67" s="170"/>
      <c r="PNY67" s="170"/>
      <c r="PNZ67" s="170"/>
      <c r="POA67" s="170"/>
      <c r="POB67" s="170"/>
      <c r="POC67" s="170"/>
      <c r="POD67" s="170"/>
      <c r="POE67" s="170"/>
      <c r="POF67" s="170"/>
      <c r="POG67" s="170"/>
      <c r="POH67" s="170"/>
      <c r="POI67" s="170"/>
      <c r="POJ67" s="170"/>
      <c r="POK67" s="170"/>
      <c r="POL67" s="170"/>
      <c r="POM67" s="170"/>
      <c r="PON67" s="170"/>
      <c r="POO67" s="170"/>
      <c r="POP67" s="170"/>
      <c r="POQ67" s="170"/>
      <c r="POR67" s="170"/>
      <c r="POS67" s="170"/>
      <c r="POT67" s="170"/>
      <c r="POU67" s="170"/>
      <c r="POV67" s="170"/>
      <c r="POW67" s="170"/>
      <c r="POX67" s="170"/>
      <c r="POY67" s="170"/>
      <c r="POZ67" s="170"/>
      <c r="PPA67" s="170"/>
      <c r="PPB67" s="170"/>
      <c r="PPC67" s="170"/>
      <c r="PPD67" s="170"/>
      <c r="PPE67" s="170"/>
      <c r="PPF67" s="170"/>
      <c r="PPG67" s="170"/>
      <c r="PPH67" s="170"/>
      <c r="PPI67" s="170"/>
      <c r="PPJ67" s="170"/>
      <c r="PPK67" s="170"/>
      <c r="PPL67" s="170"/>
      <c r="PPM67" s="170"/>
      <c r="PPN67" s="170"/>
      <c r="PPO67" s="170"/>
      <c r="PPP67" s="170"/>
      <c r="PPQ67" s="170"/>
      <c r="PPR67" s="170"/>
      <c r="PPS67" s="170"/>
      <c r="PPT67" s="170"/>
      <c r="PPU67" s="170"/>
      <c r="PPV67" s="170"/>
      <c r="PPW67" s="170"/>
      <c r="PPX67" s="170"/>
      <c r="PPY67" s="170"/>
      <c r="PPZ67" s="170"/>
      <c r="PQA67" s="170"/>
      <c r="PQB67" s="170"/>
      <c r="PQC67" s="170"/>
      <c r="PQD67" s="170"/>
      <c r="PQE67" s="170"/>
      <c r="PQF67" s="170"/>
      <c r="PQG67" s="170"/>
      <c r="PQH67" s="170"/>
      <c r="PQI67" s="170"/>
      <c r="PQJ67" s="170"/>
      <c r="PQK67" s="170"/>
      <c r="PQL67" s="170"/>
      <c r="PQM67" s="170"/>
      <c r="PQN67" s="170"/>
      <c r="PQO67" s="170"/>
      <c r="PQP67" s="170"/>
      <c r="PQQ67" s="170"/>
      <c r="PQR67" s="170"/>
      <c r="PQS67" s="170"/>
      <c r="PQT67" s="170"/>
      <c r="PQU67" s="170"/>
      <c r="PQV67" s="170"/>
      <c r="PQW67" s="170"/>
      <c r="PQX67" s="170"/>
      <c r="PQY67" s="170"/>
      <c r="PQZ67" s="170"/>
      <c r="PRA67" s="170"/>
      <c r="PRB67" s="170"/>
      <c r="PRC67" s="170"/>
      <c r="PRD67" s="170"/>
      <c r="PRE67" s="170"/>
      <c r="PRF67" s="170"/>
      <c r="PRG67" s="170"/>
      <c r="PRH67" s="170"/>
      <c r="PRI67" s="170"/>
      <c r="PRJ67" s="170"/>
      <c r="PRK67" s="170"/>
      <c r="PRL67" s="170"/>
      <c r="PRM67" s="170"/>
      <c r="PRN67" s="170"/>
      <c r="PRO67" s="170"/>
      <c r="PRP67" s="170"/>
      <c r="PRQ67" s="170"/>
      <c r="PRR67" s="170"/>
      <c r="PRS67" s="170"/>
      <c r="PRT67" s="170"/>
      <c r="PRU67" s="170"/>
      <c r="PRV67" s="170"/>
      <c r="PRW67" s="170"/>
      <c r="PRX67" s="170"/>
      <c r="PRY67" s="170"/>
      <c r="PRZ67" s="170"/>
      <c r="PSA67" s="170"/>
      <c r="PSB67" s="170"/>
      <c r="PSC67" s="170"/>
      <c r="PSD67" s="170"/>
      <c r="PSE67" s="170"/>
      <c r="PSF67" s="170"/>
      <c r="PSG67" s="170"/>
      <c r="PSH67" s="170"/>
      <c r="PSI67" s="170"/>
      <c r="PSJ67" s="170"/>
      <c r="PSK67" s="170"/>
      <c r="PSL67" s="170"/>
      <c r="PSM67" s="170"/>
      <c r="PSN67" s="170"/>
      <c r="PSO67" s="170"/>
      <c r="PSP67" s="170"/>
      <c r="PSQ67" s="170"/>
      <c r="PSR67" s="170"/>
      <c r="PSS67" s="170"/>
      <c r="PST67" s="170"/>
      <c r="PSU67" s="170"/>
      <c r="PSV67" s="170"/>
      <c r="PSW67" s="170"/>
      <c r="PSX67" s="170"/>
      <c r="PSY67" s="170"/>
      <c r="PSZ67" s="170"/>
      <c r="PTA67" s="170"/>
      <c r="PTB67" s="170"/>
      <c r="PTC67" s="170"/>
      <c r="PTD67" s="170"/>
      <c r="PTE67" s="170"/>
      <c r="PTF67" s="170"/>
      <c r="PTG67" s="170"/>
      <c r="PTH67" s="170"/>
      <c r="PTI67" s="170"/>
      <c r="PTJ67" s="170"/>
      <c r="PTK67" s="170"/>
      <c r="PTL67" s="170"/>
      <c r="PTM67" s="170"/>
      <c r="PTN67" s="170"/>
      <c r="PTO67" s="170"/>
      <c r="PTP67" s="170"/>
      <c r="PTQ67" s="170"/>
      <c r="PTR67" s="170"/>
      <c r="PTS67" s="170"/>
      <c r="PTT67" s="170"/>
      <c r="PTU67" s="170"/>
      <c r="PTV67" s="170"/>
      <c r="PTW67" s="170"/>
      <c r="PTX67" s="170"/>
      <c r="PTY67" s="170"/>
      <c r="PTZ67" s="170"/>
      <c r="PUA67" s="170"/>
      <c r="PUB67" s="170"/>
      <c r="PUC67" s="170"/>
      <c r="PUD67" s="170"/>
      <c r="PUE67" s="170"/>
      <c r="PUF67" s="170"/>
      <c r="PUG67" s="170"/>
      <c r="PUH67" s="170"/>
      <c r="PUI67" s="170"/>
      <c r="PUJ67" s="170"/>
      <c r="PUK67" s="170"/>
      <c r="PUL67" s="170"/>
      <c r="PUM67" s="170"/>
      <c r="PUN67" s="170"/>
      <c r="PUO67" s="170"/>
      <c r="PUP67" s="170"/>
      <c r="PUQ67" s="170"/>
      <c r="PUR67" s="170"/>
      <c r="PUS67" s="170"/>
      <c r="PUT67" s="170"/>
      <c r="PUU67" s="170"/>
      <c r="PUV67" s="170"/>
      <c r="PUW67" s="170"/>
      <c r="PUX67" s="170"/>
      <c r="PUY67" s="170"/>
      <c r="PUZ67" s="170"/>
      <c r="PVA67" s="170"/>
      <c r="PVB67" s="170"/>
      <c r="PVC67" s="170"/>
      <c r="PVD67" s="170"/>
      <c r="PVE67" s="170"/>
      <c r="PVF67" s="170"/>
      <c r="PVG67" s="170"/>
      <c r="PVH67" s="170"/>
      <c r="PVI67" s="170"/>
      <c r="PVJ67" s="170"/>
      <c r="PVK67" s="170"/>
      <c r="PVL67" s="170"/>
      <c r="PVM67" s="170"/>
      <c r="PVN67" s="170"/>
      <c r="PVO67" s="170"/>
      <c r="PVP67" s="170"/>
      <c r="PVQ67" s="170"/>
      <c r="PVR67" s="170"/>
      <c r="PVS67" s="170"/>
      <c r="PVT67" s="170"/>
      <c r="PVU67" s="170"/>
      <c r="PVV67" s="170"/>
      <c r="PVW67" s="170"/>
      <c r="PVX67" s="170"/>
      <c r="PVY67" s="170"/>
      <c r="PVZ67" s="170"/>
      <c r="PWA67" s="170"/>
      <c r="PWB67" s="170"/>
      <c r="PWC67" s="170"/>
      <c r="PWD67" s="170"/>
      <c r="PWE67" s="170"/>
      <c r="PWF67" s="170"/>
      <c r="PWG67" s="170"/>
      <c r="PWH67" s="170"/>
      <c r="PWI67" s="170"/>
      <c r="PWJ67" s="170"/>
      <c r="PWK67" s="170"/>
      <c r="PWL67" s="170"/>
      <c r="PWM67" s="170"/>
      <c r="PWN67" s="170"/>
      <c r="PWO67" s="170"/>
      <c r="PWP67" s="170"/>
      <c r="PWQ67" s="170"/>
      <c r="PWR67" s="170"/>
      <c r="PWS67" s="170"/>
      <c r="PWT67" s="170"/>
      <c r="PWU67" s="170"/>
      <c r="PWV67" s="170"/>
      <c r="PWW67" s="170"/>
      <c r="PWX67" s="170"/>
      <c r="PWY67" s="170"/>
      <c r="PWZ67" s="170"/>
      <c r="PXA67" s="170"/>
      <c r="PXB67" s="170"/>
      <c r="PXC67" s="170"/>
      <c r="PXD67" s="170"/>
      <c r="PXE67" s="170"/>
      <c r="PXF67" s="170"/>
      <c r="PXG67" s="170"/>
      <c r="PXH67" s="170"/>
      <c r="PXI67" s="170"/>
      <c r="PXJ67" s="170"/>
      <c r="PXK67" s="170"/>
      <c r="PXL67" s="170"/>
      <c r="PXM67" s="170"/>
      <c r="PXN67" s="170"/>
      <c r="PXO67" s="170"/>
      <c r="PXP67" s="170"/>
      <c r="PXQ67" s="170"/>
      <c r="PXR67" s="170"/>
      <c r="PXS67" s="170"/>
      <c r="PXT67" s="170"/>
      <c r="PXU67" s="170"/>
      <c r="PXV67" s="170"/>
      <c r="PXW67" s="170"/>
      <c r="PXX67" s="170"/>
      <c r="PXY67" s="170"/>
      <c r="PXZ67" s="170"/>
      <c r="PYA67" s="170"/>
      <c r="PYB67" s="170"/>
      <c r="PYC67" s="170"/>
      <c r="PYD67" s="170"/>
      <c r="PYE67" s="170"/>
      <c r="PYF67" s="170"/>
      <c r="PYG67" s="170"/>
      <c r="PYH67" s="170"/>
      <c r="PYI67" s="170"/>
      <c r="PYJ67" s="170"/>
      <c r="PYK67" s="170"/>
      <c r="PYL67" s="170"/>
      <c r="PYM67" s="170"/>
      <c r="PYN67" s="170"/>
      <c r="PYO67" s="170"/>
      <c r="PYP67" s="170"/>
      <c r="PYQ67" s="170"/>
      <c r="PYR67" s="170"/>
      <c r="PYS67" s="170"/>
      <c r="PYT67" s="170"/>
      <c r="PYU67" s="170"/>
      <c r="PYV67" s="170"/>
      <c r="PYW67" s="170"/>
      <c r="PYX67" s="170"/>
      <c r="PYY67" s="170"/>
      <c r="PYZ67" s="170"/>
      <c r="PZA67" s="170"/>
      <c r="PZB67" s="170"/>
      <c r="PZC67" s="170"/>
      <c r="PZD67" s="170"/>
      <c r="PZE67" s="170"/>
      <c r="PZF67" s="170"/>
      <c r="PZG67" s="170"/>
      <c r="PZH67" s="170"/>
      <c r="PZI67" s="170"/>
      <c r="PZJ67" s="170"/>
      <c r="PZK67" s="170"/>
      <c r="PZL67" s="170"/>
      <c r="PZM67" s="170"/>
      <c r="PZN67" s="170"/>
      <c r="PZO67" s="170"/>
      <c r="PZP67" s="170"/>
      <c r="PZQ67" s="170"/>
      <c r="PZR67" s="170"/>
      <c r="PZS67" s="170"/>
      <c r="PZT67" s="170"/>
      <c r="PZU67" s="170"/>
      <c r="PZV67" s="170"/>
      <c r="PZW67" s="170"/>
      <c r="PZX67" s="170"/>
      <c r="PZY67" s="170"/>
      <c r="PZZ67" s="170"/>
      <c r="QAA67" s="170"/>
      <c r="QAB67" s="170"/>
      <c r="QAC67" s="170"/>
      <c r="QAD67" s="170"/>
      <c r="QAE67" s="170"/>
      <c r="QAF67" s="170"/>
      <c r="QAG67" s="170"/>
      <c r="QAH67" s="170"/>
      <c r="QAI67" s="170"/>
      <c r="QAJ67" s="170"/>
      <c r="QAK67" s="170"/>
      <c r="QAL67" s="170"/>
      <c r="QAM67" s="170"/>
      <c r="QAN67" s="170"/>
      <c r="QAO67" s="170"/>
      <c r="QAP67" s="170"/>
      <c r="QAQ67" s="170"/>
      <c r="QAR67" s="170"/>
      <c r="QAS67" s="170"/>
      <c r="QAT67" s="170"/>
      <c r="QAU67" s="170"/>
      <c r="QAV67" s="170"/>
      <c r="QAW67" s="170"/>
      <c r="QAX67" s="170"/>
      <c r="QAY67" s="170"/>
      <c r="QAZ67" s="170"/>
      <c r="QBA67" s="170"/>
      <c r="QBB67" s="170"/>
      <c r="QBC67" s="170"/>
      <c r="QBD67" s="170"/>
      <c r="QBE67" s="170"/>
      <c r="QBF67" s="170"/>
      <c r="QBG67" s="170"/>
      <c r="QBH67" s="170"/>
      <c r="QBI67" s="170"/>
      <c r="QBJ67" s="170"/>
      <c r="QBK67" s="170"/>
      <c r="QBL67" s="170"/>
      <c r="QBM67" s="170"/>
      <c r="QBN67" s="170"/>
      <c r="QBO67" s="170"/>
      <c r="QBP67" s="170"/>
      <c r="QBQ67" s="170"/>
      <c r="QBR67" s="170"/>
      <c r="QBS67" s="170"/>
      <c r="QBT67" s="170"/>
      <c r="QBU67" s="170"/>
      <c r="QBV67" s="170"/>
      <c r="QBW67" s="170"/>
      <c r="QBX67" s="170"/>
      <c r="QBY67" s="170"/>
      <c r="QBZ67" s="170"/>
      <c r="QCA67" s="170"/>
      <c r="QCB67" s="170"/>
      <c r="QCC67" s="170"/>
      <c r="QCD67" s="170"/>
      <c r="QCE67" s="170"/>
      <c r="QCF67" s="170"/>
      <c r="QCG67" s="170"/>
      <c r="QCH67" s="170"/>
      <c r="QCI67" s="170"/>
      <c r="QCJ67" s="170"/>
      <c r="QCK67" s="170"/>
      <c r="QCL67" s="170"/>
      <c r="QCM67" s="170"/>
      <c r="QCN67" s="170"/>
      <c r="QCO67" s="170"/>
      <c r="QCP67" s="170"/>
      <c r="QCQ67" s="170"/>
      <c r="QCR67" s="170"/>
      <c r="QCS67" s="170"/>
      <c r="QCT67" s="170"/>
      <c r="QCU67" s="170"/>
      <c r="QCV67" s="170"/>
      <c r="QCW67" s="170"/>
      <c r="QCX67" s="170"/>
      <c r="QCY67" s="170"/>
      <c r="QCZ67" s="170"/>
      <c r="QDA67" s="170"/>
      <c r="QDB67" s="170"/>
      <c r="QDC67" s="170"/>
      <c r="QDD67" s="170"/>
      <c r="QDE67" s="170"/>
      <c r="QDF67" s="170"/>
      <c r="QDG67" s="170"/>
      <c r="QDH67" s="170"/>
      <c r="QDI67" s="170"/>
      <c r="QDJ67" s="170"/>
      <c r="QDK67" s="170"/>
      <c r="QDL67" s="170"/>
      <c r="QDM67" s="170"/>
      <c r="QDN67" s="170"/>
      <c r="QDO67" s="170"/>
      <c r="QDP67" s="170"/>
      <c r="QDQ67" s="170"/>
      <c r="QDR67" s="170"/>
      <c r="QDS67" s="170"/>
      <c r="QDT67" s="170"/>
      <c r="QDU67" s="170"/>
      <c r="QDV67" s="170"/>
      <c r="QDW67" s="170"/>
      <c r="QDX67" s="170"/>
      <c r="QDY67" s="170"/>
      <c r="QDZ67" s="170"/>
      <c r="QEA67" s="170"/>
      <c r="QEB67" s="170"/>
      <c r="QEC67" s="170"/>
      <c r="QED67" s="170"/>
      <c r="QEE67" s="170"/>
      <c r="QEF67" s="170"/>
      <c r="QEG67" s="170"/>
      <c r="QEH67" s="170"/>
      <c r="QEI67" s="170"/>
      <c r="QEJ67" s="170"/>
      <c r="QEK67" s="170"/>
      <c r="QEL67" s="170"/>
      <c r="QEM67" s="170"/>
      <c r="QEN67" s="170"/>
      <c r="QEO67" s="170"/>
      <c r="QEP67" s="170"/>
      <c r="QEQ67" s="170"/>
      <c r="QER67" s="170"/>
      <c r="QES67" s="170"/>
      <c r="QET67" s="170"/>
      <c r="QEU67" s="170"/>
      <c r="QEV67" s="170"/>
      <c r="QEW67" s="170"/>
      <c r="QEX67" s="170"/>
      <c r="QEY67" s="170"/>
      <c r="QEZ67" s="170"/>
      <c r="QFA67" s="170"/>
      <c r="QFB67" s="170"/>
      <c r="QFC67" s="170"/>
      <c r="QFD67" s="170"/>
      <c r="QFE67" s="170"/>
      <c r="QFF67" s="170"/>
      <c r="QFG67" s="170"/>
      <c r="QFH67" s="170"/>
      <c r="QFI67" s="170"/>
      <c r="QFJ67" s="170"/>
      <c r="QFK67" s="170"/>
      <c r="QFL67" s="170"/>
      <c r="QFM67" s="170"/>
      <c r="QFN67" s="170"/>
      <c r="QFO67" s="170"/>
      <c r="QFP67" s="170"/>
      <c r="QFQ67" s="170"/>
      <c r="QFR67" s="170"/>
      <c r="QFS67" s="170"/>
      <c r="QFT67" s="170"/>
      <c r="QFU67" s="170"/>
      <c r="QFV67" s="170"/>
      <c r="QFW67" s="170"/>
      <c r="QFX67" s="170"/>
      <c r="QFY67" s="170"/>
      <c r="QFZ67" s="170"/>
      <c r="QGA67" s="170"/>
      <c r="QGB67" s="170"/>
      <c r="QGC67" s="170"/>
      <c r="QGD67" s="170"/>
      <c r="QGE67" s="170"/>
      <c r="QGF67" s="170"/>
      <c r="QGG67" s="170"/>
      <c r="QGH67" s="170"/>
      <c r="QGI67" s="170"/>
      <c r="QGJ67" s="170"/>
      <c r="QGK67" s="170"/>
      <c r="QGL67" s="170"/>
      <c r="QGM67" s="170"/>
      <c r="QGN67" s="170"/>
      <c r="QGO67" s="170"/>
      <c r="QGP67" s="170"/>
      <c r="QGQ67" s="170"/>
      <c r="QGR67" s="170"/>
      <c r="QGS67" s="170"/>
      <c r="QGT67" s="170"/>
      <c r="QGU67" s="170"/>
      <c r="QGV67" s="170"/>
      <c r="QGW67" s="170"/>
      <c r="QGX67" s="170"/>
      <c r="QGY67" s="170"/>
      <c r="QGZ67" s="170"/>
      <c r="QHA67" s="170"/>
      <c r="QHB67" s="170"/>
      <c r="QHC67" s="170"/>
      <c r="QHD67" s="170"/>
      <c r="QHE67" s="170"/>
      <c r="QHF67" s="170"/>
      <c r="QHG67" s="170"/>
      <c r="QHH67" s="170"/>
      <c r="QHI67" s="170"/>
      <c r="QHJ67" s="170"/>
      <c r="QHK67" s="170"/>
      <c r="QHL67" s="170"/>
      <c r="QHM67" s="170"/>
      <c r="QHN67" s="170"/>
      <c r="QHO67" s="170"/>
      <c r="QHP67" s="170"/>
      <c r="QHQ67" s="170"/>
      <c r="QHR67" s="170"/>
      <c r="QHS67" s="170"/>
      <c r="QHT67" s="170"/>
      <c r="QHU67" s="170"/>
      <c r="QHV67" s="170"/>
      <c r="QHW67" s="170"/>
      <c r="QHX67" s="170"/>
      <c r="QHY67" s="170"/>
      <c r="QHZ67" s="170"/>
      <c r="QIA67" s="170"/>
      <c r="QIB67" s="170"/>
      <c r="QIC67" s="170"/>
      <c r="QID67" s="170"/>
      <c r="QIE67" s="170"/>
      <c r="QIF67" s="170"/>
      <c r="QIG67" s="170"/>
      <c r="QIH67" s="170"/>
      <c r="QII67" s="170"/>
      <c r="QIJ67" s="170"/>
      <c r="QIK67" s="170"/>
      <c r="QIL67" s="170"/>
      <c r="QIM67" s="170"/>
      <c r="QIN67" s="170"/>
      <c r="QIO67" s="170"/>
      <c r="QIP67" s="170"/>
      <c r="QIQ67" s="170"/>
      <c r="QIR67" s="170"/>
      <c r="QIS67" s="170"/>
      <c r="QIT67" s="170"/>
      <c r="QIU67" s="170"/>
      <c r="QIV67" s="170"/>
      <c r="QIW67" s="170"/>
      <c r="QIX67" s="170"/>
      <c r="QIY67" s="170"/>
      <c r="QIZ67" s="170"/>
      <c r="QJA67" s="170"/>
      <c r="QJB67" s="170"/>
      <c r="QJC67" s="170"/>
      <c r="QJD67" s="170"/>
      <c r="QJE67" s="170"/>
      <c r="QJF67" s="170"/>
      <c r="QJG67" s="170"/>
      <c r="QJH67" s="170"/>
      <c r="QJI67" s="170"/>
      <c r="QJJ67" s="170"/>
      <c r="QJK67" s="170"/>
      <c r="QJL67" s="170"/>
      <c r="QJM67" s="170"/>
      <c r="QJN67" s="170"/>
      <c r="QJO67" s="170"/>
      <c r="QJP67" s="170"/>
      <c r="QJQ67" s="170"/>
      <c r="QJR67" s="170"/>
      <c r="QJS67" s="170"/>
      <c r="QJT67" s="170"/>
      <c r="QJU67" s="170"/>
      <c r="QJV67" s="170"/>
      <c r="QJW67" s="170"/>
      <c r="QJX67" s="170"/>
      <c r="QJY67" s="170"/>
      <c r="QJZ67" s="170"/>
      <c r="QKA67" s="170"/>
      <c r="QKB67" s="170"/>
      <c r="QKC67" s="170"/>
      <c r="QKD67" s="170"/>
      <c r="QKE67" s="170"/>
      <c r="QKF67" s="170"/>
      <c r="QKG67" s="170"/>
      <c r="QKH67" s="170"/>
      <c r="QKI67" s="170"/>
      <c r="QKJ67" s="170"/>
      <c r="QKK67" s="170"/>
      <c r="QKL67" s="170"/>
      <c r="QKM67" s="170"/>
      <c r="QKN67" s="170"/>
      <c r="QKO67" s="170"/>
      <c r="QKP67" s="170"/>
      <c r="QKQ67" s="170"/>
      <c r="QKR67" s="170"/>
      <c r="QKS67" s="170"/>
      <c r="QKT67" s="170"/>
      <c r="QKU67" s="170"/>
      <c r="QKV67" s="170"/>
      <c r="QKW67" s="170"/>
      <c r="QKX67" s="170"/>
      <c r="QKY67" s="170"/>
      <c r="QKZ67" s="170"/>
      <c r="QLA67" s="170"/>
      <c r="QLB67" s="170"/>
      <c r="QLC67" s="170"/>
      <c r="QLD67" s="170"/>
      <c r="QLE67" s="170"/>
      <c r="QLF67" s="170"/>
      <c r="QLG67" s="170"/>
      <c r="QLH67" s="170"/>
      <c r="QLI67" s="170"/>
      <c r="QLJ67" s="170"/>
      <c r="QLK67" s="170"/>
      <c r="QLL67" s="170"/>
      <c r="QLM67" s="170"/>
      <c r="QLN67" s="170"/>
      <c r="QLO67" s="170"/>
      <c r="QLP67" s="170"/>
      <c r="QLQ67" s="170"/>
      <c r="QLR67" s="170"/>
      <c r="QLS67" s="170"/>
      <c r="QLT67" s="170"/>
      <c r="QLU67" s="170"/>
      <c r="QLV67" s="170"/>
      <c r="QLW67" s="170"/>
      <c r="QLX67" s="170"/>
      <c r="QLY67" s="170"/>
      <c r="QLZ67" s="170"/>
      <c r="QMA67" s="170"/>
      <c r="QMB67" s="170"/>
      <c r="QMC67" s="170"/>
      <c r="QMD67" s="170"/>
      <c r="QME67" s="170"/>
      <c r="QMF67" s="170"/>
      <c r="QMG67" s="170"/>
      <c r="QMH67" s="170"/>
      <c r="QMI67" s="170"/>
      <c r="QMJ67" s="170"/>
      <c r="QMK67" s="170"/>
      <c r="QML67" s="170"/>
      <c r="QMM67" s="170"/>
      <c r="QMN67" s="170"/>
      <c r="QMO67" s="170"/>
      <c r="QMP67" s="170"/>
      <c r="QMQ67" s="170"/>
      <c r="QMR67" s="170"/>
      <c r="QMS67" s="170"/>
      <c r="QMT67" s="170"/>
      <c r="QMU67" s="170"/>
      <c r="QMV67" s="170"/>
      <c r="QMW67" s="170"/>
      <c r="QMX67" s="170"/>
      <c r="QMY67" s="170"/>
      <c r="QMZ67" s="170"/>
      <c r="QNA67" s="170"/>
      <c r="QNB67" s="170"/>
      <c r="QNC67" s="170"/>
      <c r="QND67" s="170"/>
      <c r="QNE67" s="170"/>
      <c r="QNF67" s="170"/>
      <c r="QNG67" s="170"/>
      <c r="QNH67" s="170"/>
      <c r="QNI67" s="170"/>
      <c r="QNJ67" s="170"/>
      <c r="QNK67" s="170"/>
      <c r="QNL67" s="170"/>
      <c r="QNM67" s="170"/>
      <c r="QNN67" s="170"/>
      <c r="QNO67" s="170"/>
      <c r="QNP67" s="170"/>
      <c r="QNQ67" s="170"/>
      <c r="QNR67" s="170"/>
      <c r="QNS67" s="170"/>
      <c r="QNT67" s="170"/>
      <c r="QNU67" s="170"/>
      <c r="QNV67" s="170"/>
      <c r="QNW67" s="170"/>
      <c r="QNX67" s="170"/>
      <c r="QNY67" s="170"/>
      <c r="QNZ67" s="170"/>
      <c r="QOA67" s="170"/>
      <c r="QOB67" s="170"/>
      <c r="QOC67" s="170"/>
      <c r="QOD67" s="170"/>
      <c r="QOE67" s="170"/>
      <c r="QOF67" s="170"/>
      <c r="QOG67" s="170"/>
      <c r="QOH67" s="170"/>
      <c r="QOI67" s="170"/>
      <c r="QOJ67" s="170"/>
      <c r="QOK67" s="170"/>
      <c r="QOL67" s="170"/>
      <c r="QOM67" s="170"/>
      <c r="QON67" s="170"/>
      <c r="QOO67" s="170"/>
      <c r="QOP67" s="170"/>
      <c r="QOQ67" s="170"/>
      <c r="QOR67" s="170"/>
      <c r="QOS67" s="170"/>
      <c r="QOT67" s="170"/>
      <c r="QOU67" s="170"/>
      <c r="QOV67" s="170"/>
      <c r="QOW67" s="170"/>
      <c r="QOX67" s="170"/>
      <c r="QOY67" s="170"/>
      <c r="QOZ67" s="170"/>
      <c r="QPA67" s="170"/>
      <c r="QPB67" s="170"/>
      <c r="QPC67" s="170"/>
      <c r="QPD67" s="170"/>
      <c r="QPE67" s="170"/>
      <c r="QPF67" s="170"/>
      <c r="QPG67" s="170"/>
      <c r="QPH67" s="170"/>
      <c r="QPI67" s="170"/>
      <c r="QPJ67" s="170"/>
      <c r="QPK67" s="170"/>
      <c r="QPL67" s="170"/>
      <c r="QPM67" s="170"/>
      <c r="QPN67" s="170"/>
      <c r="QPO67" s="170"/>
      <c r="QPP67" s="170"/>
      <c r="QPQ67" s="170"/>
      <c r="QPR67" s="170"/>
      <c r="QPS67" s="170"/>
      <c r="QPT67" s="170"/>
      <c r="QPU67" s="170"/>
      <c r="QPV67" s="170"/>
      <c r="QPW67" s="170"/>
      <c r="QPX67" s="170"/>
      <c r="QPY67" s="170"/>
      <c r="QPZ67" s="170"/>
      <c r="QQA67" s="170"/>
      <c r="QQB67" s="170"/>
      <c r="QQC67" s="170"/>
      <c r="QQD67" s="170"/>
      <c r="QQE67" s="170"/>
      <c r="QQF67" s="170"/>
      <c r="QQG67" s="170"/>
      <c r="QQH67" s="170"/>
      <c r="QQI67" s="170"/>
      <c r="QQJ67" s="170"/>
      <c r="QQK67" s="170"/>
      <c r="QQL67" s="170"/>
      <c r="QQM67" s="170"/>
      <c r="QQN67" s="170"/>
      <c r="QQO67" s="170"/>
      <c r="QQP67" s="170"/>
      <c r="QQQ67" s="170"/>
      <c r="QQR67" s="170"/>
      <c r="QQS67" s="170"/>
      <c r="QQT67" s="170"/>
      <c r="QQU67" s="170"/>
      <c r="QQV67" s="170"/>
      <c r="QQW67" s="170"/>
      <c r="QQX67" s="170"/>
      <c r="QQY67" s="170"/>
      <c r="QQZ67" s="170"/>
      <c r="QRA67" s="170"/>
      <c r="QRB67" s="170"/>
      <c r="QRC67" s="170"/>
      <c r="QRD67" s="170"/>
      <c r="QRE67" s="170"/>
      <c r="QRF67" s="170"/>
      <c r="QRG67" s="170"/>
      <c r="QRH67" s="170"/>
      <c r="QRI67" s="170"/>
      <c r="QRJ67" s="170"/>
      <c r="QRK67" s="170"/>
      <c r="QRL67" s="170"/>
      <c r="QRM67" s="170"/>
      <c r="QRN67" s="170"/>
      <c r="QRO67" s="170"/>
      <c r="QRP67" s="170"/>
      <c r="QRQ67" s="170"/>
      <c r="QRR67" s="170"/>
      <c r="QRS67" s="170"/>
      <c r="QRT67" s="170"/>
      <c r="QRU67" s="170"/>
      <c r="QRV67" s="170"/>
      <c r="QRW67" s="170"/>
      <c r="QRX67" s="170"/>
      <c r="QRY67" s="170"/>
      <c r="QRZ67" s="170"/>
      <c r="QSA67" s="170"/>
      <c r="QSB67" s="170"/>
      <c r="QSC67" s="170"/>
      <c r="QSD67" s="170"/>
      <c r="QSE67" s="170"/>
      <c r="QSF67" s="170"/>
      <c r="QSG67" s="170"/>
      <c r="QSH67" s="170"/>
      <c r="QSI67" s="170"/>
      <c r="QSJ67" s="170"/>
      <c r="QSK67" s="170"/>
      <c r="QSL67" s="170"/>
      <c r="QSM67" s="170"/>
      <c r="QSN67" s="170"/>
      <c r="QSO67" s="170"/>
      <c r="QSP67" s="170"/>
      <c r="QSQ67" s="170"/>
      <c r="QSR67" s="170"/>
      <c r="QSS67" s="170"/>
      <c r="QST67" s="170"/>
      <c r="QSU67" s="170"/>
      <c r="QSV67" s="170"/>
      <c r="QSW67" s="170"/>
      <c r="QSX67" s="170"/>
      <c r="QSY67" s="170"/>
      <c r="QSZ67" s="170"/>
      <c r="QTA67" s="170"/>
      <c r="QTB67" s="170"/>
      <c r="QTC67" s="170"/>
      <c r="QTD67" s="170"/>
      <c r="QTE67" s="170"/>
      <c r="QTF67" s="170"/>
      <c r="QTG67" s="170"/>
      <c r="QTH67" s="170"/>
      <c r="QTI67" s="170"/>
      <c r="QTJ67" s="170"/>
      <c r="QTK67" s="170"/>
      <c r="QTL67" s="170"/>
      <c r="QTM67" s="170"/>
      <c r="QTN67" s="170"/>
      <c r="QTO67" s="170"/>
      <c r="QTP67" s="170"/>
      <c r="QTQ67" s="170"/>
      <c r="QTR67" s="170"/>
      <c r="QTS67" s="170"/>
      <c r="QTT67" s="170"/>
      <c r="QTU67" s="170"/>
      <c r="QTV67" s="170"/>
      <c r="QTW67" s="170"/>
      <c r="QTX67" s="170"/>
      <c r="QTY67" s="170"/>
      <c r="QTZ67" s="170"/>
      <c r="QUA67" s="170"/>
      <c r="QUB67" s="170"/>
      <c r="QUC67" s="170"/>
      <c r="QUD67" s="170"/>
      <c r="QUE67" s="170"/>
      <c r="QUF67" s="170"/>
      <c r="QUG67" s="170"/>
      <c r="QUH67" s="170"/>
      <c r="QUI67" s="170"/>
      <c r="QUJ67" s="170"/>
      <c r="QUK67" s="170"/>
      <c r="QUL67" s="170"/>
      <c r="QUM67" s="170"/>
      <c r="QUN67" s="170"/>
      <c r="QUO67" s="170"/>
      <c r="QUP67" s="170"/>
      <c r="QUQ67" s="170"/>
      <c r="QUR67" s="170"/>
      <c r="QUS67" s="170"/>
      <c r="QUT67" s="170"/>
      <c r="QUU67" s="170"/>
      <c r="QUV67" s="170"/>
      <c r="QUW67" s="170"/>
      <c r="QUX67" s="170"/>
      <c r="QUY67" s="170"/>
      <c r="QUZ67" s="170"/>
      <c r="QVA67" s="170"/>
      <c r="QVB67" s="170"/>
      <c r="QVC67" s="170"/>
      <c r="QVD67" s="170"/>
      <c r="QVE67" s="170"/>
      <c r="QVF67" s="170"/>
      <c r="QVG67" s="170"/>
      <c r="QVH67" s="170"/>
      <c r="QVI67" s="170"/>
      <c r="QVJ67" s="170"/>
      <c r="QVK67" s="170"/>
      <c r="QVL67" s="170"/>
      <c r="QVM67" s="170"/>
      <c r="QVN67" s="170"/>
      <c r="QVO67" s="170"/>
      <c r="QVP67" s="170"/>
      <c r="QVQ67" s="170"/>
      <c r="QVR67" s="170"/>
      <c r="QVS67" s="170"/>
      <c r="QVT67" s="170"/>
      <c r="QVU67" s="170"/>
      <c r="QVV67" s="170"/>
      <c r="QVW67" s="170"/>
      <c r="QVX67" s="170"/>
      <c r="QVY67" s="170"/>
      <c r="QVZ67" s="170"/>
      <c r="QWA67" s="170"/>
      <c r="QWB67" s="170"/>
      <c r="QWC67" s="170"/>
      <c r="QWD67" s="170"/>
      <c r="QWE67" s="170"/>
      <c r="QWF67" s="170"/>
      <c r="QWG67" s="170"/>
      <c r="QWH67" s="170"/>
      <c r="QWI67" s="170"/>
      <c r="QWJ67" s="170"/>
      <c r="QWK67" s="170"/>
      <c r="QWL67" s="170"/>
      <c r="QWM67" s="170"/>
      <c r="QWN67" s="170"/>
      <c r="QWO67" s="170"/>
      <c r="QWP67" s="170"/>
      <c r="QWQ67" s="170"/>
      <c r="QWR67" s="170"/>
      <c r="QWS67" s="170"/>
      <c r="QWT67" s="170"/>
      <c r="QWU67" s="170"/>
      <c r="QWV67" s="170"/>
      <c r="QWW67" s="170"/>
      <c r="QWX67" s="170"/>
      <c r="QWY67" s="170"/>
      <c r="QWZ67" s="170"/>
      <c r="QXA67" s="170"/>
      <c r="QXB67" s="170"/>
      <c r="QXC67" s="170"/>
      <c r="QXD67" s="170"/>
      <c r="QXE67" s="170"/>
      <c r="QXF67" s="170"/>
      <c r="QXG67" s="170"/>
      <c r="QXH67" s="170"/>
      <c r="QXI67" s="170"/>
      <c r="QXJ67" s="170"/>
      <c r="QXK67" s="170"/>
      <c r="QXL67" s="170"/>
      <c r="QXM67" s="170"/>
      <c r="QXN67" s="170"/>
      <c r="QXO67" s="170"/>
      <c r="QXP67" s="170"/>
      <c r="QXQ67" s="170"/>
      <c r="QXR67" s="170"/>
      <c r="QXS67" s="170"/>
      <c r="QXT67" s="170"/>
      <c r="QXU67" s="170"/>
      <c r="QXV67" s="170"/>
      <c r="QXW67" s="170"/>
      <c r="QXX67" s="170"/>
      <c r="QXY67" s="170"/>
      <c r="QXZ67" s="170"/>
      <c r="QYA67" s="170"/>
      <c r="QYB67" s="170"/>
      <c r="QYC67" s="170"/>
      <c r="QYD67" s="170"/>
      <c r="QYE67" s="170"/>
      <c r="QYF67" s="170"/>
      <c r="QYG67" s="170"/>
      <c r="QYH67" s="170"/>
      <c r="QYI67" s="170"/>
      <c r="QYJ67" s="170"/>
      <c r="QYK67" s="170"/>
      <c r="QYL67" s="170"/>
      <c r="QYM67" s="170"/>
      <c r="QYN67" s="170"/>
      <c r="QYO67" s="170"/>
      <c r="QYP67" s="170"/>
      <c r="QYQ67" s="170"/>
      <c r="QYR67" s="170"/>
      <c r="QYS67" s="170"/>
      <c r="QYT67" s="170"/>
      <c r="QYU67" s="170"/>
      <c r="QYV67" s="170"/>
      <c r="QYW67" s="170"/>
      <c r="QYX67" s="170"/>
      <c r="QYY67" s="170"/>
      <c r="QYZ67" s="170"/>
      <c r="QZA67" s="170"/>
      <c r="QZB67" s="170"/>
      <c r="QZC67" s="170"/>
      <c r="QZD67" s="170"/>
      <c r="QZE67" s="170"/>
      <c r="QZF67" s="170"/>
      <c r="QZG67" s="170"/>
      <c r="QZH67" s="170"/>
      <c r="QZI67" s="170"/>
      <c r="QZJ67" s="170"/>
      <c r="QZK67" s="170"/>
      <c r="QZL67" s="170"/>
      <c r="QZM67" s="170"/>
      <c r="QZN67" s="170"/>
      <c r="QZO67" s="170"/>
      <c r="QZP67" s="170"/>
      <c r="QZQ67" s="170"/>
      <c r="QZR67" s="170"/>
      <c r="QZS67" s="170"/>
      <c r="QZT67" s="170"/>
      <c r="QZU67" s="170"/>
      <c r="QZV67" s="170"/>
      <c r="QZW67" s="170"/>
      <c r="QZX67" s="170"/>
      <c r="QZY67" s="170"/>
      <c r="QZZ67" s="170"/>
      <c r="RAA67" s="170"/>
      <c r="RAB67" s="170"/>
      <c r="RAC67" s="170"/>
      <c r="RAD67" s="170"/>
      <c r="RAE67" s="170"/>
      <c r="RAF67" s="170"/>
      <c r="RAG67" s="170"/>
      <c r="RAH67" s="170"/>
      <c r="RAI67" s="170"/>
      <c r="RAJ67" s="170"/>
      <c r="RAK67" s="170"/>
      <c r="RAL67" s="170"/>
      <c r="RAM67" s="170"/>
      <c r="RAN67" s="170"/>
      <c r="RAO67" s="170"/>
      <c r="RAP67" s="170"/>
      <c r="RAQ67" s="170"/>
      <c r="RAR67" s="170"/>
      <c r="RAS67" s="170"/>
      <c r="RAT67" s="170"/>
      <c r="RAU67" s="170"/>
      <c r="RAV67" s="170"/>
      <c r="RAW67" s="170"/>
      <c r="RAX67" s="170"/>
      <c r="RAY67" s="170"/>
      <c r="RAZ67" s="170"/>
      <c r="RBA67" s="170"/>
      <c r="RBB67" s="170"/>
      <c r="RBC67" s="170"/>
      <c r="RBD67" s="170"/>
      <c r="RBE67" s="170"/>
      <c r="RBF67" s="170"/>
      <c r="RBG67" s="170"/>
      <c r="RBH67" s="170"/>
      <c r="RBI67" s="170"/>
      <c r="RBJ67" s="170"/>
      <c r="RBK67" s="170"/>
      <c r="RBL67" s="170"/>
      <c r="RBM67" s="170"/>
      <c r="RBN67" s="170"/>
      <c r="RBO67" s="170"/>
      <c r="RBP67" s="170"/>
      <c r="RBQ67" s="170"/>
      <c r="RBR67" s="170"/>
      <c r="RBS67" s="170"/>
      <c r="RBT67" s="170"/>
      <c r="RBU67" s="170"/>
      <c r="RBV67" s="170"/>
      <c r="RBW67" s="170"/>
      <c r="RBX67" s="170"/>
      <c r="RBY67" s="170"/>
      <c r="RBZ67" s="170"/>
      <c r="RCA67" s="170"/>
      <c r="RCB67" s="170"/>
      <c r="RCC67" s="170"/>
      <c r="RCD67" s="170"/>
      <c r="RCE67" s="170"/>
      <c r="RCF67" s="170"/>
      <c r="RCG67" s="170"/>
      <c r="RCH67" s="170"/>
      <c r="RCI67" s="170"/>
      <c r="RCJ67" s="170"/>
      <c r="RCK67" s="170"/>
      <c r="RCL67" s="170"/>
      <c r="RCM67" s="170"/>
      <c r="RCN67" s="170"/>
      <c r="RCO67" s="170"/>
      <c r="RCP67" s="170"/>
      <c r="RCQ67" s="170"/>
      <c r="RCR67" s="170"/>
      <c r="RCS67" s="170"/>
      <c r="RCT67" s="170"/>
      <c r="RCU67" s="170"/>
      <c r="RCV67" s="170"/>
      <c r="RCW67" s="170"/>
      <c r="RCX67" s="170"/>
      <c r="RCY67" s="170"/>
      <c r="RCZ67" s="170"/>
      <c r="RDA67" s="170"/>
      <c r="RDB67" s="170"/>
      <c r="RDC67" s="170"/>
      <c r="RDD67" s="170"/>
      <c r="RDE67" s="170"/>
      <c r="RDF67" s="170"/>
      <c r="RDG67" s="170"/>
      <c r="RDH67" s="170"/>
      <c r="RDI67" s="170"/>
      <c r="RDJ67" s="170"/>
      <c r="RDK67" s="170"/>
      <c r="RDL67" s="170"/>
      <c r="RDM67" s="170"/>
      <c r="RDN67" s="170"/>
      <c r="RDO67" s="170"/>
      <c r="RDP67" s="170"/>
      <c r="RDQ67" s="170"/>
      <c r="RDR67" s="170"/>
      <c r="RDS67" s="170"/>
      <c r="RDT67" s="170"/>
      <c r="RDU67" s="170"/>
      <c r="RDV67" s="170"/>
      <c r="RDW67" s="170"/>
      <c r="RDX67" s="170"/>
      <c r="RDY67" s="170"/>
      <c r="RDZ67" s="170"/>
      <c r="REA67" s="170"/>
      <c r="REB67" s="170"/>
      <c r="REC67" s="170"/>
      <c r="RED67" s="170"/>
      <c r="REE67" s="170"/>
      <c r="REF67" s="170"/>
      <c r="REG67" s="170"/>
      <c r="REH67" s="170"/>
      <c r="REI67" s="170"/>
      <c r="REJ67" s="170"/>
      <c r="REK67" s="170"/>
      <c r="REL67" s="170"/>
      <c r="REM67" s="170"/>
      <c r="REN67" s="170"/>
      <c r="REO67" s="170"/>
      <c r="REP67" s="170"/>
      <c r="REQ67" s="170"/>
      <c r="RER67" s="170"/>
      <c r="RES67" s="170"/>
      <c r="RET67" s="170"/>
      <c r="REU67" s="170"/>
      <c r="REV67" s="170"/>
      <c r="REW67" s="170"/>
      <c r="REX67" s="170"/>
      <c r="REY67" s="170"/>
      <c r="REZ67" s="170"/>
      <c r="RFA67" s="170"/>
      <c r="RFB67" s="170"/>
      <c r="RFC67" s="170"/>
      <c r="RFD67" s="170"/>
      <c r="RFE67" s="170"/>
      <c r="RFF67" s="170"/>
      <c r="RFG67" s="170"/>
      <c r="RFH67" s="170"/>
      <c r="RFI67" s="170"/>
      <c r="RFJ67" s="170"/>
      <c r="RFK67" s="170"/>
      <c r="RFL67" s="170"/>
      <c r="RFM67" s="170"/>
      <c r="RFN67" s="170"/>
      <c r="RFO67" s="170"/>
      <c r="RFP67" s="170"/>
      <c r="RFQ67" s="170"/>
      <c r="RFR67" s="170"/>
      <c r="RFS67" s="170"/>
      <c r="RFT67" s="170"/>
      <c r="RFU67" s="170"/>
      <c r="RFV67" s="170"/>
      <c r="RFW67" s="170"/>
      <c r="RFX67" s="170"/>
      <c r="RFY67" s="170"/>
      <c r="RFZ67" s="170"/>
      <c r="RGA67" s="170"/>
      <c r="RGB67" s="170"/>
      <c r="RGC67" s="170"/>
      <c r="RGD67" s="170"/>
      <c r="RGE67" s="170"/>
      <c r="RGF67" s="170"/>
      <c r="RGG67" s="170"/>
      <c r="RGH67" s="170"/>
      <c r="RGI67" s="170"/>
      <c r="RGJ67" s="170"/>
      <c r="RGK67" s="170"/>
      <c r="RGL67" s="170"/>
      <c r="RGM67" s="170"/>
      <c r="RGN67" s="170"/>
      <c r="RGO67" s="170"/>
      <c r="RGP67" s="170"/>
      <c r="RGQ67" s="170"/>
      <c r="RGR67" s="170"/>
      <c r="RGS67" s="170"/>
      <c r="RGT67" s="170"/>
      <c r="RGU67" s="170"/>
      <c r="RGV67" s="170"/>
      <c r="RGW67" s="170"/>
      <c r="RGX67" s="170"/>
      <c r="RGY67" s="170"/>
      <c r="RGZ67" s="170"/>
      <c r="RHA67" s="170"/>
      <c r="RHB67" s="170"/>
      <c r="RHC67" s="170"/>
      <c r="RHD67" s="170"/>
      <c r="RHE67" s="170"/>
      <c r="RHF67" s="170"/>
      <c r="RHG67" s="170"/>
      <c r="RHH67" s="170"/>
      <c r="RHI67" s="170"/>
      <c r="RHJ67" s="170"/>
      <c r="RHK67" s="170"/>
      <c r="RHL67" s="170"/>
      <c r="RHM67" s="170"/>
      <c r="RHN67" s="170"/>
      <c r="RHO67" s="170"/>
      <c r="RHP67" s="170"/>
      <c r="RHQ67" s="170"/>
      <c r="RHR67" s="170"/>
      <c r="RHS67" s="170"/>
      <c r="RHT67" s="170"/>
      <c r="RHU67" s="170"/>
      <c r="RHV67" s="170"/>
      <c r="RHW67" s="170"/>
      <c r="RHX67" s="170"/>
      <c r="RHY67" s="170"/>
      <c r="RHZ67" s="170"/>
      <c r="RIA67" s="170"/>
      <c r="RIB67" s="170"/>
      <c r="RIC67" s="170"/>
      <c r="RID67" s="170"/>
      <c r="RIE67" s="170"/>
      <c r="RIF67" s="170"/>
      <c r="RIG67" s="170"/>
      <c r="RIH67" s="170"/>
      <c r="RII67" s="170"/>
      <c r="RIJ67" s="170"/>
      <c r="RIK67" s="170"/>
      <c r="RIL67" s="170"/>
      <c r="RIM67" s="170"/>
      <c r="RIN67" s="170"/>
      <c r="RIO67" s="170"/>
      <c r="RIP67" s="170"/>
      <c r="RIQ67" s="170"/>
      <c r="RIR67" s="170"/>
      <c r="RIS67" s="170"/>
      <c r="RIT67" s="170"/>
      <c r="RIU67" s="170"/>
      <c r="RIV67" s="170"/>
      <c r="RIW67" s="170"/>
      <c r="RIX67" s="170"/>
      <c r="RIY67" s="170"/>
      <c r="RIZ67" s="170"/>
      <c r="RJA67" s="170"/>
      <c r="RJB67" s="170"/>
      <c r="RJC67" s="170"/>
      <c r="RJD67" s="170"/>
      <c r="RJE67" s="170"/>
      <c r="RJF67" s="170"/>
      <c r="RJG67" s="170"/>
      <c r="RJH67" s="170"/>
      <c r="RJI67" s="170"/>
      <c r="RJJ67" s="170"/>
      <c r="RJK67" s="170"/>
      <c r="RJL67" s="170"/>
      <c r="RJM67" s="170"/>
      <c r="RJN67" s="170"/>
      <c r="RJO67" s="170"/>
      <c r="RJP67" s="170"/>
      <c r="RJQ67" s="170"/>
      <c r="RJR67" s="170"/>
      <c r="RJS67" s="170"/>
      <c r="RJT67" s="170"/>
      <c r="RJU67" s="170"/>
      <c r="RJV67" s="170"/>
      <c r="RJW67" s="170"/>
      <c r="RJX67" s="170"/>
      <c r="RJY67" s="170"/>
      <c r="RJZ67" s="170"/>
      <c r="RKA67" s="170"/>
      <c r="RKB67" s="170"/>
      <c r="RKC67" s="170"/>
      <c r="RKD67" s="170"/>
      <c r="RKE67" s="170"/>
      <c r="RKF67" s="170"/>
      <c r="RKG67" s="170"/>
      <c r="RKH67" s="170"/>
      <c r="RKI67" s="170"/>
      <c r="RKJ67" s="170"/>
      <c r="RKK67" s="170"/>
      <c r="RKL67" s="170"/>
      <c r="RKM67" s="170"/>
      <c r="RKN67" s="170"/>
      <c r="RKO67" s="170"/>
      <c r="RKP67" s="170"/>
      <c r="RKQ67" s="170"/>
      <c r="RKR67" s="170"/>
      <c r="RKS67" s="170"/>
      <c r="RKT67" s="170"/>
      <c r="RKU67" s="170"/>
      <c r="RKV67" s="170"/>
      <c r="RKW67" s="170"/>
      <c r="RKX67" s="170"/>
      <c r="RKY67" s="170"/>
      <c r="RKZ67" s="170"/>
      <c r="RLA67" s="170"/>
      <c r="RLB67" s="170"/>
      <c r="RLC67" s="170"/>
      <c r="RLD67" s="170"/>
      <c r="RLE67" s="170"/>
      <c r="RLF67" s="170"/>
      <c r="RLG67" s="170"/>
      <c r="RLH67" s="170"/>
      <c r="RLI67" s="170"/>
      <c r="RLJ67" s="170"/>
      <c r="RLK67" s="170"/>
      <c r="RLL67" s="170"/>
      <c r="RLM67" s="170"/>
      <c r="RLN67" s="170"/>
      <c r="RLO67" s="170"/>
      <c r="RLP67" s="170"/>
      <c r="RLQ67" s="170"/>
      <c r="RLR67" s="170"/>
      <c r="RLS67" s="170"/>
      <c r="RLT67" s="170"/>
      <c r="RLU67" s="170"/>
      <c r="RLV67" s="170"/>
      <c r="RLW67" s="170"/>
      <c r="RLX67" s="170"/>
      <c r="RLY67" s="170"/>
      <c r="RLZ67" s="170"/>
      <c r="RMA67" s="170"/>
      <c r="RMB67" s="170"/>
      <c r="RMC67" s="170"/>
      <c r="RMD67" s="170"/>
      <c r="RME67" s="170"/>
      <c r="RMF67" s="170"/>
      <c r="RMG67" s="170"/>
      <c r="RMH67" s="170"/>
      <c r="RMI67" s="170"/>
      <c r="RMJ67" s="170"/>
      <c r="RMK67" s="170"/>
      <c r="RML67" s="170"/>
      <c r="RMM67" s="170"/>
      <c r="RMN67" s="170"/>
      <c r="RMO67" s="170"/>
      <c r="RMP67" s="170"/>
      <c r="RMQ67" s="170"/>
      <c r="RMR67" s="170"/>
      <c r="RMS67" s="170"/>
      <c r="RMT67" s="170"/>
      <c r="RMU67" s="170"/>
      <c r="RMV67" s="170"/>
      <c r="RMW67" s="170"/>
      <c r="RMX67" s="170"/>
      <c r="RMY67" s="170"/>
      <c r="RMZ67" s="170"/>
      <c r="RNA67" s="170"/>
      <c r="RNB67" s="170"/>
      <c r="RNC67" s="170"/>
      <c r="RND67" s="170"/>
      <c r="RNE67" s="170"/>
      <c r="RNF67" s="170"/>
      <c r="RNG67" s="170"/>
      <c r="RNH67" s="170"/>
      <c r="RNI67" s="170"/>
      <c r="RNJ67" s="170"/>
      <c r="RNK67" s="170"/>
      <c r="RNL67" s="170"/>
      <c r="RNM67" s="170"/>
      <c r="RNN67" s="170"/>
      <c r="RNO67" s="170"/>
      <c r="RNP67" s="170"/>
      <c r="RNQ67" s="170"/>
      <c r="RNR67" s="170"/>
      <c r="RNS67" s="170"/>
      <c r="RNT67" s="170"/>
      <c r="RNU67" s="170"/>
      <c r="RNV67" s="170"/>
      <c r="RNW67" s="170"/>
      <c r="RNX67" s="170"/>
      <c r="RNY67" s="170"/>
      <c r="RNZ67" s="170"/>
      <c r="ROA67" s="170"/>
      <c r="ROB67" s="170"/>
      <c r="ROC67" s="170"/>
      <c r="ROD67" s="170"/>
      <c r="ROE67" s="170"/>
      <c r="ROF67" s="170"/>
      <c r="ROG67" s="170"/>
      <c r="ROH67" s="170"/>
      <c r="ROI67" s="170"/>
      <c r="ROJ67" s="170"/>
      <c r="ROK67" s="170"/>
      <c r="ROL67" s="170"/>
      <c r="ROM67" s="170"/>
      <c r="RON67" s="170"/>
      <c r="ROO67" s="170"/>
      <c r="ROP67" s="170"/>
      <c r="ROQ67" s="170"/>
      <c r="ROR67" s="170"/>
      <c r="ROS67" s="170"/>
      <c r="ROT67" s="170"/>
      <c r="ROU67" s="170"/>
      <c r="ROV67" s="170"/>
      <c r="ROW67" s="170"/>
      <c r="ROX67" s="170"/>
      <c r="ROY67" s="170"/>
      <c r="ROZ67" s="170"/>
      <c r="RPA67" s="170"/>
      <c r="RPB67" s="170"/>
      <c r="RPC67" s="170"/>
      <c r="RPD67" s="170"/>
      <c r="RPE67" s="170"/>
      <c r="RPF67" s="170"/>
      <c r="RPG67" s="170"/>
      <c r="RPH67" s="170"/>
      <c r="RPI67" s="170"/>
      <c r="RPJ67" s="170"/>
      <c r="RPK67" s="170"/>
      <c r="RPL67" s="170"/>
      <c r="RPM67" s="170"/>
      <c r="RPN67" s="170"/>
      <c r="RPO67" s="170"/>
      <c r="RPP67" s="170"/>
      <c r="RPQ67" s="170"/>
      <c r="RPR67" s="170"/>
      <c r="RPS67" s="170"/>
      <c r="RPT67" s="170"/>
      <c r="RPU67" s="170"/>
      <c r="RPV67" s="170"/>
      <c r="RPW67" s="170"/>
      <c r="RPX67" s="170"/>
      <c r="RPY67" s="170"/>
      <c r="RPZ67" s="170"/>
      <c r="RQA67" s="170"/>
      <c r="RQB67" s="170"/>
      <c r="RQC67" s="170"/>
      <c r="RQD67" s="170"/>
      <c r="RQE67" s="170"/>
      <c r="RQF67" s="170"/>
      <c r="RQG67" s="170"/>
      <c r="RQH67" s="170"/>
      <c r="RQI67" s="170"/>
      <c r="RQJ67" s="170"/>
      <c r="RQK67" s="170"/>
      <c r="RQL67" s="170"/>
      <c r="RQM67" s="170"/>
      <c r="RQN67" s="170"/>
      <c r="RQO67" s="170"/>
      <c r="RQP67" s="170"/>
      <c r="RQQ67" s="170"/>
      <c r="RQR67" s="170"/>
      <c r="RQS67" s="170"/>
      <c r="RQT67" s="170"/>
      <c r="RQU67" s="170"/>
      <c r="RQV67" s="170"/>
      <c r="RQW67" s="170"/>
      <c r="RQX67" s="170"/>
      <c r="RQY67" s="170"/>
      <c r="RQZ67" s="170"/>
      <c r="RRA67" s="170"/>
      <c r="RRB67" s="170"/>
      <c r="RRC67" s="170"/>
      <c r="RRD67" s="170"/>
      <c r="RRE67" s="170"/>
      <c r="RRF67" s="170"/>
      <c r="RRG67" s="170"/>
      <c r="RRH67" s="170"/>
      <c r="RRI67" s="170"/>
      <c r="RRJ67" s="170"/>
      <c r="RRK67" s="170"/>
      <c r="RRL67" s="170"/>
      <c r="RRM67" s="170"/>
      <c r="RRN67" s="170"/>
      <c r="RRO67" s="170"/>
      <c r="RRP67" s="170"/>
      <c r="RRQ67" s="170"/>
      <c r="RRR67" s="170"/>
      <c r="RRS67" s="170"/>
      <c r="RRT67" s="170"/>
      <c r="RRU67" s="170"/>
      <c r="RRV67" s="170"/>
      <c r="RRW67" s="170"/>
      <c r="RRX67" s="170"/>
      <c r="RRY67" s="170"/>
      <c r="RRZ67" s="170"/>
      <c r="RSA67" s="170"/>
      <c r="RSB67" s="170"/>
      <c r="RSC67" s="170"/>
      <c r="RSD67" s="170"/>
      <c r="RSE67" s="170"/>
      <c r="RSF67" s="170"/>
      <c r="RSG67" s="170"/>
      <c r="RSH67" s="170"/>
      <c r="RSI67" s="170"/>
      <c r="RSJ67" s="170"/>
      <c r="RSK67" s="170"/>
      <c r="RSL67" s="170"/>
      <c r="RSM67" s="170"/>
      <c r="RSN67" s="170"/>
      <c r="RSO67" s="170"/>
      <c r="RSP67" s="170"/>
      <c r="RSQ67" s="170"/>
      <c r="RSR67" s="170"/>
      <c r="RSS67" s="170"/>
      <c r="RST67" s="170"/>
      <c r="RSU67" s="170"/>
      <c r="RSV67" s="170"/>
      <c r="RSW67" s="170"/>
      <c r="RSX67" s="170"/>
      <c r="RSY67" s="170"/>
      <c r="RSZ67" s="170"/>
      <c r="RTA67" s="170"/>
      <c r="RTB67" s="170"/>
      <c r="RTC67" s="170"/>
      <c r="RTD67" s="170"/>
      <c r="RTE67" s="170"/>
      <c r="RTF67" s="170"/>
      <c r="RTG67" s="170"/>
      <c r="RTH67" s="170"/>
      <c r="RTI67" s="170"/>
      <c r="RTJ67" s="170"/>
      <c r="RTK67" s="170"/>
      <c r="RTL67" s="170"/>
      <c r="RTM67" s="170"/>
      <c r="RTN67" s="170"/>
      <c r="RTO67" s="170"/>
      <c r="RTP67" s="170"/>
      <c r="RTQ67" s="170"/>
      <c r="RTR67" s="170"/>
      <c r="RTS67" s="170"/>
      <c r="RTT67" s="170"/>
      <c r="RTU67" s="170"/>
      <c r="RTV67" s="170"/>
      <c r="RTW67" s="170"/>
      <c r="RTX67" s="170"/>
      <c r="RTY67" s="170"/>
      <c r="RTZ67" s="170"/>
      <c r="RUA67" s="170"/>
      <c r="RUB67" s="170"/>
      <c r="RUC67" s="170"/>
      <c r="RUD67" s="170"/>
      <c r="RUE67" s="170"/>
      <c r="RUF67" s="170"/>
      <c r="RUG67" s="170"/>
      <c r="RUH67" s="170"/>
      <c r="RUI67" s="170"/>
      <c r="RUJ67" s="170"/>
      <c r="RUK67" s="170"/>
      <c r="RUL67" s="170"/>
      <c r="RUM67" s="170"/>
      <c r="RUN67" s="170"/>
      <c r="RUO67" s="170"/>
      <c r="RUP67" s="170"/>
      <c r="RUQ67" s="170"/>
      <c r="RUR67" s="170"/>
      <c r="RUS67" s="170"/>
      <c r="RUT67" s="170"/>
      <c r="RUU67" s="170"/>
      <c r="RUV67" s="170"/>
      <c r="RUW67" s="170"/>
      <c r="RUX67" s="170"/>
      <c r="RUY67" s="170"/>
      <c r="RUZ67" s="170"/>
      <c r="RVA67" s="170"/>
      <c r="RVB67" s="170"/>
      <c r="RVC67" s="170"/>
      <c r="RVD67" s="170"/>
      <c r="RVE67" s="170"/>
      <c r="RVF67" s="170"/>
      <c r="RVG67" s="170"/>
      <c r="RVH67" s="170"/>
      <c r="RVI67" s="170"/>
      <c r="RVJ67" s="170"/>
      <c r="RVK67" s="170"/>
      <c r="RVL67" s="170"/>
      <c r="RVM67" s="170"/>
      <c r="RVN67" s="170"/>
      <c r="RVO67" s="170"/>
      <c r="RVP67" s="170"/>
      <c r="RVQ67" s="170"/>
      <c r="RVR67" s="170"/>
      <c r="RVS67" s="170"/>
      <c r="RVT67" s="170"/>
      <c r="RVU67" s="170"/>
      <c r="RVV67" s="170"/>
      <c r="RVW67" s="170"/>
      <c r="RVX67" s="170"/>
      <c r="RVY67" s="170"/>
      <c r="RVZ67" s="170"/>
      <c r="RWA67" s="170"/>
      <c r="RWB67" s="170"/>
      <c r="RWC67" s="170"/>
      <c r="RWD67" s="170"/>
      <c r="RWE67" s="170"/>
      <c r="RWF67" s="170"/>
      <c r="RWG67" s="170"/>
      <c r="RWH67" s="170"/>
      <c r="RWI67" s="170"/>
      <c r="RWJ67" s="170"/>
      <c r="RWK67" s="170"/>
      <c r="RWL67" s="170"/>
      <c r="RWM67" s="170"/>
      <c r="RWN67" s="170"/>
      <c r="RWO67" s="170"/>
      <c r="RWP67" s="170"/>
      <c r="RWQ67" s="170"/>
      <c r="RWR67" s="170"/>
      <c r="RWS67" s="170"/>
      <c r="RWT67" s="170"/>
      <c r="RWU67" s="170"/>
      <c r="RWV67" s="170"/>
      <c r="RWW67" s="170"/>
      <c r="RWX67" s="170"/>
      <c r="RWY67" s="170"/>
      <c r="RWZ67" s="170"/>
      <c r="RXA67" s="170"/>
      <c r="RXB67" s="170"/>
      <c r="RXC67" s="170"/>
      <c r="RXD67" s="170"/>
      <c r="RXE67" s="170"/>
      <c r="RXF67" s="170"/>
      <c r="RXG67" s="170"/>
      <c r="RXH67" s="170"/>
      <c r="RXI67" s="170"/>
      <c r="RXJ67" s="170"/>
      <c r="RXK67" s="170"/>
      <c r="RXL67" s="170"/>
      <c r="RXM67" s="170"/>
      <c r="RXN67" s="170"/>
      <c r="RXO67" s="170"/>
      <c r="RXP67" s="170"/>
      <c r="RXQ67" s="170"/>
      <c r="RXR67" s="170"/>
      <c r="RXS67" s="170"/>
      <c r="RXT67" s="170"/>
      <c r="RXU67" s="170"/>
      <c r="RXV67" s="170"/>
      <c r="RXW67" s="170"/>
      <c r="RXX67" s="170"/>
      <c r="RXY67" s="170"/>
      <c r="RXZ67" s="170"/>
      <c r="RYA67" s="170"/>
      <c r="RYB67" s="170"/>
      <c r="RYC67" s="170"/>
      <c r="RYD67" s="170"/>
      <c r="RYE67" s="170"/>
      <c r="RYF67" s="170"/>
      <c r="RYG67" s="170"/>
      <c r="RYH67" s="170"/>
      <c r="RYI67" s="170"/>
      <c r="RYJ67" s="170"/>
      <c r="RYK67" s="170"/>
      <c r="RYL67" s="170"/>
      <c r="RYM67" s="170"/>
      <c r="RYN67" s="170"/>
      <c r="RYO67" s="170"/>
      <c r="RYP67" s="170"/>
      <c r="RYQ67" s="170"/>
      <c r="RYR67" s="170"/>
      <c r="RYS67" s="170"/>
      <c r="RYT67" s="170"/>
      <c r="RYU67" s="170"/>
      <c r="RYV67" s="170"/>
      <c r="RYW67" s="170"/>
      <c r="RYX67" s="170"/>
      <c r="RYY67" s="170"/>
      <c r="RYZ67" s="170"/>
      <c r="RZA67" s="170"/>
      <c r="RZB67" s="170"/>
      <c r="RZC67" s="170"/>
      <c r="RZD67" s="170"/>
      <c r="RZE67" s="170"/>
      <c r="RZF67" s="170"/>
      <c r="RZG67" s="170"/>
      <c r="RZH67" s="170"/>
      <c r="RZI67" s="170"/>
      <c r="RZJ67" s="170"/>
      <c r="RZK67" s="170"/>
      <c r="RZL67" s="170"/>
      <c r="RZM67" s="170"/>
      <c r="RZN67" s="170"/>
      <c r="RZO67" s="170"/>
      <c r="RZP67" s="170"/>
      <c r="RZQ67" s="170"/>
      <c r="RZR67" s="170"/>
      <c r="RZS67" s="170"/>
      <c r="RZT67" s="170"/>
      <c r="RZU67" s="170"/>
      <c r="RZV67" s="170"/>
      <c r="RZW67" s="170"/>
      <c r="RZX67" s="170"/>
      <c r="RZY67" s="170"/>
      <c r="RZZ67" s="170"/>
      <c r="SAA67" s="170"/>
      <c r="SAB67" s="170"/>
      <c r="SAC67" s="170"/>
      <c r="SAD67" s="170"/>
      <c r="SAE67" s="170"/>
      <c r="SAF67" s="170"/>
      <c r="SAG67" s="170"/>
      <c r="SAH67" s="170"/>
      <c r="SAI67" s="170"/>
      <c r="SAJ67" s="170"/>
      <c r="SAK67" s="170"/>
      <c r="SAL67" s="170"/>
      <c r="SAM67" s="170"/>
      <c r="SAN67" s="170"/>
      <c r="SAO67" s="170"/>
      <c r="SAP67" s="170"/>
      <c r="SAQ67" s="170"/>
      <c r="SAR67" s="170"/>
      <c r="SAS67" s="170"/>
      <c r="SAT67" s="170"/>
      <c r="SAU67" s="170"/>
      <c r="SAV67" s="170"/>
      <c r="SAW67" s="170"/>
      <c r="SAX67" s="170"/>
      <c r="SAY67" s="170"/>
      <c r="SAZ67" s="170"/>
      <c r="SBA67" s="170"/>
      <c r="SBB67" s="170"/>
      <c r="SBC67" s="170"/>
      <c r="SBD67" s="170"/>
      <c r="SBE67" s="170"/>
      <c r="SBF67" s="170"/>
      <c r="SBG67" s="170"/>
      <c r="SBH67" s="170"/>
      <c r="SBI67" s="170"/>
      <c r="SBJ67" s="170"/>
      <c r="SBK67" s="170"/>
      <c r="SBL67" s="170"/>
      <c r="SBM67" s="170"/>
      <c r="SBN67" s="170"/>
      <c r="SBO67" s="170"/>
      <c r="SBP67" s="170"/>
      <c r="SBQ67" s="170"/>
      <c r="SBR67" s="170"/>
      <c r="SBS67" s="170"/>
      <c r="SBT67" s="170"/>
      <c r="SBU67" s="170"/>
      <c r="SBV67" s="170"/>
      <c r="SBW67" s="170"/>
      <c r="SBX67" s="170"/>
      <c r="SBY67" s="170"/>
      <c r="SBZ67" s="170"/>
      <c r="SCA67" s="170"/>
      <c r="SCB67" s="170"/>
      <c r="SCC67" s="170"/>
      <c r="SCD67" s="170"/>
      <c r="SCE67" s="170"/>
      <c r="SCF67" s="170"/>
      <c r="SCG67" s="170"/>
      <c r="SCH67" s="170"/>
      <c r="SCI67" s="170"/>
      <c r="SCJ67" s="170"/>
      <c r="SCK67" s="170"/>
      <c r="SCL67" s="170"/>
      <c r="SCM67" s="170"/>
      <c r="SCN67" s="170"/>
      <c r="SCO67" s="170"/>
      <c r="SCP67" s="170"/>
      <c r="SCQ67" s="170"/>
      <c r="SCR67" s="170"/>
      <c r="SCS67" s="170"/>
      <c r="SCT67" s="170"/>
      <c r="SCU67" s="170"/>
      <c r="SCV67" s="170"/>
      <c r="SCW67" s="170"/>
      <c r="SCX67" s="170"/>
      <c r="SCY67" s="170"/>
      <c r="SCZ67" s="170"/>
      <c r="SDA67" s="170"/>
      <c r="SDB67" s="170"/>
      <c r="SDC67" s="170"/>
      <c r="SDD67" s="170"/>
      <c r="SDE67" s="170"/>
      <c r="SDF67" s="170"/>
      <c r="SDG67" s="170"/>
      <c r="SDH67" s="170"/>
      <c r="SDI67" s="170"/>
      <c r="SDJ67" s="170"/>
      <c r="SDK67" s="170"/>
      <c r="SDL67" s="170"/>
      <c r="SDM67" s="170"/>
      <c r="SDN67" s="170"/>
      <c r="SDO67" s="170"/>
      <c r="SDP67" s="170"/>
      <c r="SDQ67" s="170"/>
      <c r="SDR67" s="170"/>
      <c r="SDS67" s="170"/>
      <c r="SDT67" s="170"/>
      <c r="SDU67" s="170"/>
      <c r="SDV67" s="170"/>
      <c r="SDW67" s="170"/>
      <c r="SDX67" s="170"/>
      <c r="SDY67" s="170"/>
      <c r="SDZ67" s="170"/>
      <c r="SEA67" s="170"/>
      <c r="SEB67" s="170"/>
      <c r="SEC67" s="170"/>
      <c r="SED67" s="170"/>
      <c r="SEE67" s="170"/>
      <c r="SEF67" s="170"/>
      <c r="SEG67" s="170"/>
      <c r="SEH67" s="170"/>
      <c r="SEI67" s="170"/>
      <c r="SEJ67" s="170"/>
      <c r="SEK67" s="170"/>
      <c r="SEL67" s="170"/>
      <c r="SEM67" s="170"/>
      <c r="SEN67" s="170"/>
      <c r="SEO67" s="170"/>
      <c r="SEP67" s="170"/>
      <c r="SEQ67" s="170"/>
      <c r="SER67" s="170"/>
      <c r="SES67" s="170"/>
      <c r="SET67" s="170"/>
      <c r="SEU67" s="170"/>
      <c r="SEV67" s="170"/>
      <c r="SEW67" s="170"/>
      <c r="SEX67" s="170"/>
      <c r="SEY67" s="170"/>
      <c r="SEZ67" s="170"/>
      <c r="SFA67" s="170"/>
      <c r="SFB67" s="170"/>
      <c r="SFC67" s="170"/>
      <c r="SFD67" s="170"/>
      <c r="SFE67" s="170"/>
      <c r="SFF67" s="170"/>
      <c r="SFG67" s="170"/>
      <c r="SFH67" s="170"/>
      <c r="SFI67" s="170"/>
      <c r="SFJ67" s="170"/>
      <c r="SFK67" s="170"/>
      <c r="SFL67" s="170"/>
      <c r="SFM67" s="170"/>
      <c r="SFN67" s="170"/>
      <c r="SFO67" s="170"/>
      <c r="SFP67" s="170"/>
      <c r="SFQ67" s="170"/>
      <c r="SFR67" s="170"/>
      <c r="SFS67" s="170"/>
      <c r="SFT67" s="170"/>
      <c r="SFU67" s="170"/>
      <c r="SFV67" s="170"/>
      <c r="SFW67" s="170"/>
      <c r="SFX67" s="170"/>
      <c r="SFY67" s="170"/>
      <c r="SFZ67" s="170"/>
      <c r="SGA67" s="170"/>
      <c r="SGB67" s="170"/>
      <c r="SGC67" s="170"/>
      <c r="SGD67" s="170"/>
      <c r="SGE67" s="170"/>
      <c r="SGF67" s="170"/>
      <c r="SGG67" s="170"/>
      <c r="SGH67" s="170"/>
      <c r="SGI67" s="170"/>
      <c r="SGJ67" s="170"/>
      <c r="SGK67" s="170"/>
      <c r="SGL67" s="170"/>
      <c r="SGM67" s="170"/>
      <c r="SGN67" s="170"/>
      <c r="SGO67" s="170"/>
      <c r="SGP67" s="170"/>
      <c r="SGQ67" s="170"/>
      <c r="SGR67" s="170"/>
      <c r="SGS67" s="170"/>
      <c r="SGT67" s="170"/>
      <c r="SGU67" s="170"/>
      <c r="SGV67" s="170"/>
      <c r="SGW67" s="170"/>
      <c r="SGX67" s="170"/>
      <c r="SGY67" s="170"/>
      <c r="SGZ67" s="170"/>
      <c r="SHA67" s="170"/>
      <c r="SHB67" s="170"/>
      <c r="SHC67" s="170"/>
      <c r="SHD67" s="170"/>
      <c r="SHE67" s="170"/>
      <c r="SHF67" s="170"/>
      <c r="SHG67" s="170"/>
      <c r="SHH67" s="170"/>
      <c r="SHI67" s="170"/>
      <c r="SHJ67" s="170"/>
      <c r="SHK67" s="170"/>
      <c r="SHL67" s="170"/>
      <c r="SHM67" s="170"/>
      <c r="SHN67" s="170"/>
      <c r="SHO67" s="170"/>
      <c r="SHP67" s="170"/>
      <c r="SHQ67" s="170"/>
      <c r="SHR67" s="170"/>
      <c r="SHS67" s="170"/>
      <c r="SHT67" s="170"/>
      <c r="SHU67" s="170"/>
      <c r="SHV67" s="170"/>
      <c r="SHW67" s="170"/>
      <c r="SHX67" s="170"/>
      <c r="SHY67" s="170"/>
      <c r="SHZ67" s="170"/>
      <c r="SIA67" s="170"/>
      <c r="SIB67" s="170"/>
      <c r="SIC67" s="170"/>
      <c r="SID67" s="170"/>
      <c r="SIE67" s="170"/>
      <c r="SIF67" s="170"/>
      <c r="SIG67" s="170"/>
      <c r="SIH67" s="170"/>
      <c r="SII67" s="170"/>
      <c r="SIJ67" s="170"/>
      <c r="SIK67" s="170"/>
      <c r="SIL67" s="170"/>
      <c r="SIM67" s="170"/>
      <c r="SIN67" s="170"/>
      <c r="SIO67" s="170"/>
      <c r="SIP67" s="170"/>
      <c r="SIQ67" s="170"/>
      <c r="SIR67" s="170"/>
      <c r="SIS67" s="170"/>
      <c r="SIT67" s="170"/>
      <c r="SIU67" s="170"/>
      <c r="SIV67" s="170"/>
      <c r="SIW67" s="170"/>
      <c r="SIX67" s="170"/>
      <c r="SIY67" s="170"/>
      <c r="SIZ67" s="170"/>
      <c r="SJA67" s="170"/>
      <c r="SJB67" s="170"/>
      <c r="SJC67" s="170"/>
      <c r="SJD67" s="170"/>
      <c r="SJE67" s="170"/>
      <c r="SJF67" s="170"/>
      <c r="SJG67" s="170"/>
      <c r="SJH67" s="170"/>
      <c r="SJI67" s="170"/>
      <c r="SJJ67" s="170"/>
      <c r="SJK67" s="170"/>
      <c r="SJL67" s="170"/>
      <c r="SJM67" s="170"/>
      <c r="SJN67" s="170"/>
      <c r="SJO67" s="170"/>
      <c r="SJP67" s="170"/>
      <c r="SJQ67" s="170"/>
      <c r="SJR67" s="170"/>
      <c r="SJS67" s="170"/>
      <c r="SJT67" s="170"/>
      <c r="SJU67" s="170"/>
      <c r="SJV67" s="170"/>
      <c r="SJW67" s="170"/>
      <c r="SJX67" s="170"/>
      <c r="SJY67" s="170"/>
      <c r="SJZ67" s="170"/>
      <c r="SKA67" s="170"/>
      <c r="SKB67" s="170"/>
      <c r="SKC67" s="170"/>
      <c r="SKD67" s="170"/>
      <c r="SKE67" s="170"/>
      <c r="SKF67" s="170"/>
      <c r="SKG67" s="170"/>
      <c r="SKH67" s="170"/>
      <c r="SKI67" s="170"/>
      <c r="SKJ67" s="170"/>
      <c r="SKK67" s="170"/>
      <c r="SKL67" s="170"/>
      <c r="SKM67" s="170"/>
      <c r="SKN67" s="170"/>
      <c r="SKO67" s="170"/>
      <c r="SKP67" s="170"/>
      <c r="SKQ67" s="170"/>
      <c r="SKR67" s="170"/>
      <c r="SKS67" s="170"/>
      <c r="SKT67" s="170"/>
      <c r="SKU67" s="170"/>
      <c r="SKV67" s="170"/>
      <c r="SKW67" s="170"/>
      <c r="SKX67" s="170"/>
      <c r="SKY67" s="170"/>
      <c r="SKZ67" s="170"/>
      <c r="SLA67" s="170"/>
      <c r="SLB67" s="170"/>
      <c r="SLC67" s="170"/>
      <c r="SLD67" s="170"/>
      <c r="SLE67" s="170"/>
      <c r="SLF67" s="170"/>
      <c r="SLG67" s="170"/>
      <c r="SLH67" s="170"/>
      <c r="SLI67" s="170"/>
      <c r="SLJ67" s="170"/>
      <c r="SLK67" s="170"/>
      <c r="SLL67" s="170"/>
      <c r="SLM67" s="170"/>
      <c r="SLN67" s="170"/>
      <c r="SLO67" s="170"/>
      <c r="SLP67" s="170"/>
      <c r="SLQ67" s="170"/>
      <c r="SLR67" s="170"/>
      <c r="SLS67" s="170"/>
      <c r="SLT67" s="170"/>
      <c r="SLU67" s="170"/>
      <c r="SLV67" s="170"/>
      <c r="SLW67" s="170"/>
      <c r="SLX67" s="170"/>
      <c r="SLY67" s="170"/>
      <c r="SLZ67" s="170"/>
      <c r="SMA67" s="170"/>
      <c r="SMB67" s="170"/>
      <c r="SMC67" s="170"/>
      <c r="SMD67" s="170"/>
      <c r="SME67" s="170"/>
      <c r="SMF67" s="170"/>
      <c r="SMG67" s="170"/>
      <c r="SMH67" s="170"/>
      <c r="SMI67" s="170"/>
      <c r="SMJ67" s="170"/>
      <c r="SMK67" s="170"/>
      <c r="SML67" s="170"/>
      <c r="SMM67" s="170"/>
      <c r="SMN67" s="170"/>
      <c r="SMO67" s="170"/>
      <c r="SMP67" s="170"/>
      <c r="SMQ67" s="170"/>
      <c r="SMR67" s="170"/>
      <c r="SMS67" s="170"/>
      <c r="SMT67" s="170"/>
      <c r="SMU67" s="170"/>
      <c r="SMV67" s="170"/>
      <c r="SMW67" s="170"/>
      <c r="SMX67" s="170"/>
      <c r="SMY67" s="170"/>
      <c r="SMZ67" s="170"/>
      <c r="SNA67" s="170"/>
      <c r="SNB67" s="170"/>
      <c r="SNC67" s="170"/>
      <c r="SND67" s="170"/>
      <c r="SNE67" s="170"/>
      <c r="SNF67" s="170"/>
      <c r="SNG67" s="170"/>
      <c r="SNH67" s="170"/>
      <c r="SNI67" s="170"/>
      <c r="SNJ67" s="170"/>
      <c r="SNK67" s="170"/>
      <c r="SNL67" s="170"/>
      <c r="SNM67" s="170"/>
      <c r="SNN67" s="170"/>
      <c r="SNO67" s="170"/>
      <c r="SNP67" s="170"/>
      <c r="SNQ67" s="170"/>
      <c r="SNR67" s="170"/>
      <c r="SNS67" s="170"/>
      <c r="SNT67" s="170"/>
      <c r="SNU67" s="170"/>
      <c r="SNV67" s="170"/>
      <c r="SNW67" s="170"/>
      <c r="SNX67" s="170"/>
      <c r="SNY67" s="170"/>
      <c r="SNZ67" s="170"/>
      <c r="SOA67" s="170"/>
      <c r="SOB67" s="170"/>
      <c r="SOC67" s="170"/>
      <c r="SOD67" s="170"/>
      <c r="SOE67" s="170"/>
      <c r="SOF67" s="170"/>
      <c r="SOG67" s="170"/>
      <c r="SOH67" s="170"/>
      <c r="SOI67" s="170"/>
      <c r="SOJ67" s="170"/>
      <c r="SOK67" s="170"/>
      <c r="SOL67" s="170"/>
      <c r="SOM67" s="170"/>
      <c r="SON67" s="170"/>
      <c r="SOO67" s="170"/>
      <c r="SOP67" s="170"/>
      <c r="SOQ67" s="170"/>
      <c r="SOR67" s="170"/>
      <c r="SOS67" s="170"/>
      <c r="SOT67" s="170"/>
      <c r="SOU67" s="170"/>
      <c r="SOV67" s="170"/>
      <c r="SOW67" s="170"/>
      <c r="SOX67" s="170"/>
      <c r="SOY67" s="170"/>
      <c r="SOZ67" s="170"/>
      <c r="SPA67" s="170"/>
      <c r="SPB67" s="170"/>
      <c r="SPC67" s="170"/>
      <c r="SPD67" s="170"/>
      <c r="SPE67" s="170"/>
      <c r="SPF67" s="170"/>
      <c r="SPG67" s="170"/>
      <c r="SPH67" s="170"/>
      <c r="SPI67" s="170"/>
      <c r="SPJ67" s="170"/>
      <c r="SPK67" s="170"/>
      <c r="SPL67" s="170"/>
      <c r="SPM67" s="170"/>
      <c r="SPN67" s="170"/>
      <c r="SPO67" s="170"/>
      <c r="SPP67" s="170"/>
      <c r="SPQ67" s="170"/>
      <c r="SPR67" s="170"/>
      <c r="SPS67" s="170"/>
      <c r="SPT67" s="170"/>
      <c r="SPU67" s="170"/>
      <c r="SPV67" s="170"/>
      <c r="SPW67" s="170"/>
      <c r="SPX67" s="170"/>
      <c r="SPY67" s="170"/>
      <c r="SPZ67" s="170"/>
      <c r="SQA67" s="170"/>
      <c r="SQB67" s="170"/>
      <c r="SQC67" s="170"/>
      <c r="SQD67" s="170"/>
      <c r="SQE67" s="170"/>
      <c r="SQF67" s="170"/>
      <c r="SQG67" s="170"/>
      <c r="SQH67" s="170"/>
      <c r="SQI67" s="170"/>
      <c r="SQJ67" s="170"/>
      <c r="SQK67" s="170"/>
      <c r="SQL67" s="170"/>
      <c r="SQM67" s="170"/>
      <c r="SQN67" s="170"/>
      <c r="SQO67" s="170"/>
      <c r="SQP67" s="170"/>
      <c r="SQQ67" s="170"/>
      <c r="SQR67" s="170"/>
      <c r="SQS67" s="170"/>
      <c r="SQT67" s="170"/>
      <c r="SQU67" s="170"/>
      <c r="SQV67" s="170"/>
      <c r="SQW67" s="170"/>
      <c r="SQX67" s="170"/>
      <c r="SQY67" s="170"/>
      <c r="SQZ67" s="170"/>
      <c r="SRA67" s="170"/>
      <c r="SRB67" s="170"/>
      <c r="SRC67" s="170"/>
      <c r="SRD67" s="170"/>
      <c r="SRE67" s="170"/>
      <c r="SRF67" s="170"/>
      <c r="SRG67" s="170"/>
      <c r="SRH67" s="170"/>
      <c r="SRI67" s="170"/>
      <c r="SRJ67" s="170"/>
      <c r="SRK67" s="170"/>
      <c r="SRL67" s="170"/>
      <c r="SRM67" s="170"/>
      <c r="SRN67" s="170"/>
      <c r="SRO67" s="170"/>
      <c r="SRP67" s="170"/>
      <c r="SRQ67" s="170"/>
      <c r="SRR67" s="170"/>
      <c r="SRS67" s="170"/>
      <c r="SRT67" s="170"/>
      <c r="SRU67" s="170"/>
      <c r="SRV67" s="170"/>
      <c r="SRW67" s="170"/>
      <c r="SRX67" s="170"/>
      <c r="SRY67" s="170"/>
      <c r="SRZ67" s="170"/>
      <c r="SSA67" s="170"/>
      <c r="SSB67" s="170"/>
      <c r="SSC67" s="170"/>
      <c r="SSD67" s="170"/>
      <c r="SSE67" s="170"/>
      <c r="SSF67" s="170"/>
      <c r="SSG67" s="170"/>
      <c r="SSH67" s="170"/>
      <c r="SSI67" s="170"/>
      <c r="SSJ67" s="170"/>
      <c r="SSK67" s="170"/>
      <c r="SSL67" s="170"/>
      <c r="SSM67" s="170"/>
      <c r="SSN67" s="170"/>
      <c r="SSO67" s="170"/>
      <c r="SSP67" s="170"/>
      <c r="SSQ67" s="170"/>
      <c r="SSR67" s="170"/>
      <c r="SSS67" s="170"/>
      <c r="SST67" s="170"/>
      <c r="SSU67" s="170"/>
      <c r="SSV67" s="170"/>
      <c r="SSW67" s="170"/>
      <c r="SSX67" s="170"/>
      <c r="SSY67" s="170"/>
      <c r="SSZ67" s="170"/>
      <c r="STA67" s="170"/>
      <c r="STB67" s="170"/>
      <c r="STC67" s="170"/>
      <c r="STD67" s="170"/>
      <c r="STE67" s="170"/>
      <c r="STF67" s="170"/>
      <c r="STG67" s="170"/>
      <c r="STH67" s="170"/>
      <c r="STI67" s="170"/>
      <c r="STJ67" s="170"/>
      <c r="STK67" s="170"/>
      <c r="STL67" s="170"/>
      <c r="STM67" s="170"/>
      <c r="STN67" s="170"/>
      <c r="STO67" s="170"/>
      <c r="STP67" s="170"/>
      <c r="STQ67" s="170"/>
      <c r="STR67" s="170"/>
      <c r="STS67" s="170"/>
      <c r="STT67" s="170"/>
      <c r="STU67" s="170"/>
      <c r="STV67" s="170"/>
      <c r="STW67" s="170"/>
      <c r="STX67" s="170"/>
      <c r="STY67" s="170"/>
      <c r="STZ67" s="170"/>
      <c r="SUA67" s="170"/>
      <c r="SUB67" s="170"/>
      <c r="SUC67" s="170"/>
      <c r="SUD67" s="170"/>
      <c r="SUE67" s="170"/>
      <c r="SUF67" s="170"/>
      <c r="SUG67" s="170"/>
      <c r="SUH67" s="170"/>
      <c r="SUI67" s="170"/>
      <c r="SUJ67" s="170"/>
      <c r="SUK67" s="170"/>
      <c r="SUL67" s="170"/>
      <c r="SUM67" s="170"/>
      <c r="SUN67" s="170"/>
      <c r="SUO67" s="170"/>
      <c r="SUP67" s="170"/>
      <c r="SUQ67" s="170"/>
      <c r="SUR67" s="170"/>
      <c r="SUS67" s="170"/>
      <c r="SUT67" s="170"/>
      <c r="SUU67" s="170"/>
      <c r="SUV67" s="170"/>
      <c r="SUW67" s="170"/>
      <c r="SUX67" s="170"/>
      <c r="SUY67" s="170"/>
      <c r="SUZ67" s="170"/>
      <c r="SVA67" s="170"/>
      <c r="SVB67" s="170"/>
      <c r="SVC67" s="170"/>
      <c r="SVD67" s="170"/>
      <c r="SVE67" s="170"/>
      <c r="SVF67" s="170"/>
      <c r="SVG67" s="170"/>
      <c r="SVH67" s="170"/>
      <c r="SVI67" s="170"/>
      <c r="SVJ67" s="170"/>
      <c r="SVK67" s="170"/>
      <c r="SVL67" s="170"/>
      <c r="SVM67" s="170"/>
      <c r="SVN67" s="170"/>
      <c r="SVO67" s="170"/>
      <c r="SVP67" s="170"/>
      <c r="SVQ67" s="170"/>
      <c r="SVR67" s="170"/>
      <c r="SVS67" s="170"/>
      <c r="SVT67" s="170"/>
      <c r="SVU67" s="170"/>
      <c r="SVV67" s="170"/>
      <c r="SVW67" s="170"/>
      <c r="SVX67" s="170"/>
      <c r="SVY67" s="170"/>
      <c r="SVZ67" s="170"/>
      <c r="SWA67" s="170"/>
      <c r="SWB67" s="170"/>
      <c r="SWC67" s="170"/>
      <c r="SWD67" s="170"/>
      <c r="SWE67" s="170"/>
      <c r="SWF67" s="170"/>
      <c r="SWG67" s="170"/>
      <c r="SWH67" s="170"/>
      <c r="SWI67" s="170"/>
      <c r="SWJ67" s="170"/>
      <c r="SWK67" s="170"/>
      <c r="SWL67" s="170"/>
      <c r="SWM67" s="170"/>
      <c r="SWN67" s="170"/>
      <c r="SWO67" s="170"/>
      <c r="SWP67" s="170"/>
      <c r="SWQ67" s="170"/>
      <c r="SWR67" s="170"/>
      <c r="SWS67" s="170"/>
      <c r="SWT67" s="170"/>
      <c r="SWU67" s="170"/>
      <c r="SWV67" s="170"/>
      <c r="SWW67" s="170"/>
      <c r="SWX67" s="170"/>
      <c r="SWY67" s="170"/>
      <c r="SWZ67" s="170"/>
      <c r="SXA67" s="170"/>
      <c r="SXB67" s="170"/>
      <c r="SXC67" s="170"/>
      <c r="SXD67" s="170"/>
      <c r="SXE67" s="170"/>
      <c r="SXF67" s="170"/>
      <c r="SXG67" s="170"/>
      <c r="SXH67" s="170"/>
      <c r="SXI67" s="170"/>
      <c r="SXJ67" s="170"/>
      <c r="SXK67" s="170"/>
      <c r="SXL67" s="170"/>
      <c r="SXM67" s="170"/>
      <c r="SXN67" s="170"/>
      <c r="SXO67" s="170"/>
      <c r="SXP67" s="170"/>
      <c r="SXQ67" s="170"/>
      <c r="SXR67" s="170"/>
      <c r="SXS67" s="170"/>
      <c r="SXT67" s="170"/>
      <c r="SXU67" s="170"/>
      <c r="SXV67" s="170"/>
      <c r="SXW67" s="170"/>
      <c r="SXX67" s="170"/>
      <c r="SXY67" s="170"/>
      <c r="SXZ67" s="170"/>
      <c r="SYA67" s="170"/>
      <c r="SYB67" s="170"/>
      <c r="SYC67" s="170"/>
      <c r="SYD67" s="170"/>
      <c r="SYE67" s="170"/>
      <c r="SYF67" s="170"/>
      <c r="SYG67" s="170"/>
      <c r="SYH67" s="170"/>
      <c r="SYI67" s="170"/>
      <c r="SYJ67" s="170"/>
      <c r="SYK67" s="170"/>
      <c r="SYL67" s="170"/>
      <c r="SYM67" s="170"/>
      <c r="SYN67" s="170"/>
      <c r="SYO67" s="170"/>
      <c r="SYP67" s="170"/>
      <c r="SYQ67" s="170"/>
      <c r="SYR67" s="170"/>
      <c r="SYS67" s="170"/>
      <c r="SYT67" s="170"/>
      <c r="SYU67" s="170"/>
      <c r="SYV67" s="170"/>
      <c r="SYW67" s="170"/>
      <c r="SYX67" s="170"/>
      <c r="SYY67" s="170"/>
      <c r="SYZ67" s="170"/>
      <c r="SZA67" s="170"/>
      <c r="SZB67" s="170"/>
      <c r="SZC67" s="170"/>
      <c r="SZD67" s="170"/>
      <c r="SZE67" s="170"/>
      <c r="SZF67" s="170"/>
      <c r="SZG67" s="170"/>
      <c r="SZH67" s="170"/>
      <c r="SZI67" s="170"/>
      <c r="SZJ67" s="170"/>
      <c r="SZK67" s="170"/>
      <c r="SZL67" s="170"/>
      <c r="SZM67" s="170"/>
      <c r="SZN67" s="170"/>
      <c r="SZO67" s="170"/>
      <c r="SZP67" s="170"/>
      <c r="SZQ67" s="170"/>
      <c r="SZR67" s="170"/>
      <c r="SZS67" s="170"/>
      <c r="SZT67" s="170"/>
      <c r="SZU67" s="170"/>
      <c r="SZV67" s="170"/>
      <c r="SZW67" s="170"/>
      <c r="SZX67" s="170"/>
      <c r="SZY67" s="170"/>
      <c r="SZZ67" s="170"/>
      <c r="TAA67" s="170"/>
      <c r="TAB67" s="170"/>
      <c r="TAC67" s="170"/>
      <c r="TAD67" s="170"/>
      <c r="TAE67" s="170"/>
      <c r="TAF67" s="170"/>
      <c r="TAG67" s="170"/>
      <c r="TAH67" s="170"/>
      <c r="TAI67" s="170"/>
      <c r="TAJ67" s="170"/>
      <c r="TAK67" s="170"/>
      <c r="TAL67" s="170"/>
      <c r="TAM67" s="170"/>
      <c r="TAN67" s="170"/>
      <c r="TAO67" s="170"/>
      <c r="TAP67" s="170"/>
      <c r="TAQ67" s="170"/>
      <c r="TAR67" s="170"/>
      <c r="TAS67" s="170"/>
      <c r="TAT67" s="170"/>
      <c r="TAU67" s="170"/>
      <c r="TAV67" s="170"/>
      <c r="TAW67" s="170"/>
      <c r="TAX67" s="170"/>
      <c r="TAY67" s="170"/>
      <c r="TAZ67" s="170"/>
      <c r="TBA67" s="170"/>
      <c r="TBB67" s="170"/>
      <c r="TBC67" s="170"/>
      <c r="TBD67" s="170"/>
      <c r="TBE67" s="170"/>
      <c r="TBF67" s="170"/>
      <c r="TBG67" s="170"/>
      <c r="TBH67" s="170"/>
      <c r="TBI67" s="170"/>
      <c r="TBJ67" s="170"/>
      <c r="TBK67" s="170"/>
      <c r="TBL67" s="170"/>
      <c r="TBM67" s="170"/>
      <c r="TBN67" s="170"/>
      <c r="TBO67" s="170"/>
      <c r="TBP67" s="170"/>
      <c r="TBQ67" s="170"/>
      <c r="TBR67" s="170"/>
      <c r="TBS67" s="170"/>
      <c r="TBT67" s="170"/>
      <c r="TBU67" s="170"/>
      <c r="TBV67" s="170"/>
      <c r="TBW67" s="170"/>
      <c r="TBX67" s="170"/>
      <c r="TBY67" s="170"/>
      <c r="TBZ67" s="170"/>
      <c r="TCA67" s="170"/>
      <c r="TCB67" s="170"/>
      <c r="TCC67" s="170"/>
      <c r="TCD67" s="170"/>
      <c r="TCE67" s="170"/>
      <c r="TCF67" s="170"/>
      <c r="TCG67" s="170"/>
      <c r="TCH67" s="170"/>
      <c r="TCI67" s="170"/>
      <c r="TCJ67" s="170"/>
      <c r="TCK67" s="170"/>
      <c r="TCL67" s="170"/>
      <c r="TCM67" s="170"/>
      <c r="TCN67" s="170"/>
      <c r="TCO67" s="170"/>
      <c r="TCP67" s="170"/>
      <c r="TCQ67" s="170"/>
      <c r="TCR67" s="170"/>
      <c r="TCS67" s="170"/>
      <c r="TCT67" s="170"/>
      <c r="TCU67" s="170"/>
      <c r="TCV67" s="170"/>
      <c r="TCW67" s="170"/>
      <c r="TCX67" s="170"/>
      <c r="TCY67" s="170"/>
      <c r="TCZ67" s="170"/>
      <c r="TDA67" s="170"/>
      <c r="TDB67" s="170"/>
      <c r="TDC67" s="170"/>
      <c r="TDD67" s="170"/>
      <c r="TDE67" s="170"/>
      <c r="TDF67" s="170"/>
      <c r="TDG67" s="170"/>
      <c r="TDH67" s="170"/>
      <c r="TDI67" s="170"/>
      <c r="TDJ67" s="170"/>
      <c r="TDK67" s="170"/>
      <c r="TDL67" s="170"/>
      <c r="TDM67" s="170"/>
      <c r="TDN67" s="170"/>
      <c r="TDO67" s="170"/>
      <c r="TDP67" s="170"/>
      <c r="TDQ67" s="170"/>
      <c r="TDR67" s="170"/>
      <c r="TDS67" s="170"/>
      <c r="TDT67" s="170"/>
      <c r="TDU67" s="170"/>
      <c r="TDV67" s="170"/>
      <c r="TDW67" s="170"/>
      <c r="TDX67" s="170"/>
      <c r="TDY67" s="170"/>
      <c r="TDZ67" s="170"/>
      <c r="TEA67" s="170"/>
      <c r="TEB67" s="170"/>
      <c r="TEC67" s="170"/>
      <c r="TED67" s="170"/>
      <c r="TEE67" s="170"/>
      <c r="TEF67" s="170"/>
      <c r="TEG67" s="170"/>
      <c r="TEH67" s="170"/>
      <c r="TEI67" s="170"/>
      <c r="TEJ67" s="170"/>
      <c r="TEK67" s="170"/>
      <c r="TEL67" s="170"/>
      <c r="TEM67" s="170"/>
      <c r="TEN67" s="170"/>
      <c r="TEO67" s="170"/>
      <c r="TEP67" s="170"/>
      <c r="TEQ67" s="170"/>
      <c r="TER67" s="170"/>
      <c r="TES67" s="170"/>
      <c r="TET67" s="170"/>
      <c r="TEU67" s="170"/>
      <c r="TEV67" s="170"/>
      <c r="TEW67" s="170"/>
      <c r="TEX67" s="170"/>
      <c r="TEY67" s="170"/>
      <c r="TEZ67" s="170"/>
      <c r="TFA67" s="170"/>
      <c r="TFB67" s="170"/>
      <c r="TFC67" s="170"/>
      <c r="TFD67" s="170"/>
      <c r="TFE67" s="170"/>
      <c r="TFF67" s="170"/>
      <c r="TFG67" s="170"/>
      <c r="TFH67" s="170"/>
      <c r="TFI67" s="170"/>
      <c r="TFJ67" s="170"/>
      <c r="TFK67" s="170"/>
      <c r="TFL67" s="170"/>
      <c r="TFM67" s="170"/>
      <c r="TFN67" s="170"/>
      <c r="TFO67" s="170"/>
      <c r="TFP67" s="170"/>
      <c r="TFQ67" s="170"/>
      <c r="TFR67" s="170"/>
      <c r="TFS67" s="170"/>
      <c r="TFT67" s="170"/>
      <c r="TFU67" s="170"/>
      <c r="TFV67" s="170"/>
      <c r="TFW67" s="170"/>
      <c r="TFX67" s="170"/>
      <c r="TFY67" s="170"/>
      <c r="TFZ67" s="170"/>
      <c r="TGA67" s="170"/>
      <c r="TGB67" s="170"/>
      <c r="TGC67" s="170"/>
      <c r="TGD67" s="170"/>
      <c r="TGE67" s="170"/>
      <c r="TGF67" s="170"/>
      <c r="TGG67" s="170"/>
      <c r="TGH67" s="170"/>
      <c r="TGI67" s="170"/>
      <c r="TGJ67" s="170"/>
      <c r="TGK67" s="170"/>
      <c r="TGL67" s="170"/>
      <c r="TGM67" s="170"/>
      <c r="TGN67" s="170"/>
      <c r="TGO67" s="170"/>
      <c r="TGP67" s="170"/>
      <c r="TGQ67" s="170"/>
      <c r="TGR67" s="170"/>
      <c r="TGS67" s="170"/>
      <c r="TGT67" s="170"/>
      <c r="TGU67" s="170"/>
      <c r="TGV67" s="170"/>
      <c r="TGW67" s="170"/>
      <c r="TGX67" s="170"/>
      <c r="TGY67" s="170"/>
      <c r="TGZ67" s="170"/>
      <c r="THA67" s="170"/>
      <c r="THB67" s="170"/>
      <c r="THC67" s="170"/>
      <c r="THD67" s="170"/>
      <c r="THE67" s="170"/>
      <c r="THF67" s="170"/>
      <c r="THG67" s="170"/>
      <c r="THH67" s="170"/>
      <c r="THI67" s="170"/>
      <c r="THJ67" s="170"/>
      <c r="THK67" s="170"/>
      <c r="THL67" s="170"/>
      <c r="THM67" s="170"/>
      <c r="THN67" s="170"/>
      <c r="THO67" s="170"/>
      <c r="THP67" s="170"/>
      <c r="THQ67" s="170"/>
      <c r="THR67" s="170"/>
      <c r="THS67" s="170"/>
      <c r="THT67" s="170"/>
      <c r="THU67" s="170"/>
      <c r="THV67" s="170"/>
      <c r="THW67" s="170"/>
      <c r="THX67" s="170"/>
      <c r="THY67" s="170"/>
      <c r="THZ67" s="170"/>
      <c r="TIA67" s="170"/>
      <c r="TIB67" s="170"/>
      <c r="TIC67" s="170"/>
      <c r="TID67" s="170"/>
      <c r="TIE67" s="170"/>
      <c r="TIF67" s="170"/>
      <c r="TIG67" s="170"/>
      <c r="TIH67" s="170"/>
      <c r="TII67" s="170"/>
      <c r="TIJ67" s="170"/>
      <c r="TIK67" s="170"/>
      <c r="TIL67" s="170"/>
      <c r="TIM67" s="170"/>
      <c r="TIN67" s="170"/>
      <c r="TIO67" s="170"/>
      <c r="TIP67" s="170"/>
      <c r="TIQ67" s="170"/>
      <c r="TIR67" s="170"/>
      <c r="TIS67" s="170"/>
      <c r="TIT67" s="170"/>
      <c r="TIU67" s="170"/>
      <c r="TIV67" s="170"/>
      <c r="TIW67" s="170"/>
      <c r="TIX67" s="170"/>
      <c r="TIY67" s="170"/>
      <c r="TIZ67" s="170"/>
      <c r="TJA67" s="170"/>
      <c r="TJB67" s="170"/>
      <c r="TJC67" s="170"/>
      <c r="TJD67" s="170"/>
      <c r="TJE67" s="170"/>
      <c r="TJF67" s="170"/>
      <c r="TJG67" s="170"/>
      <c r="TJH67" s="170"/>
      <c r="TJI67" s="170"/>
      <c r="TJJ67" s="170"/>
      <c r="TJK67" s="170"/>
      <c r="TJL67" s="170"/>
      <c r="TJM67" s="170"/>
      <c r="TJN67" s="170"/>
      <c r="TJO67" s="170"/>
      <c r="TJP67" s="170"/>
      <c r="TJQ67" s="170"/>
      <c r="TJR67" s="170"/>
      <c r="TJS67" s="170"/>
      <c r="TJT67" s="170"/>
      <c r="TJU67" s="170"/>
      <c r="TJV67" s="170"/>
      <c r="TJW67" s="170"/>
      <c r="TJX67" s="170"/>
      <c r="TJY67" s="170"/>
      <c r="TJZ67" s="170"/>
      <c r="TKA67" s="170"/>
      <c r="TKB67" s="170"/>
      <c r="TKC67" s="170"/>
      <c r="TKD67" s="170"/>
      <c r="TKE67" s="170"/>
      <c r="TKF67" s="170"/>
      <c r="TKG67" s="170"/>
      <c r="TKH67" s="170"/>
      <c r="TKI67" s="170"/>
      <c r="TKJ67" s="170"/>
      <c r="TKK67" s="170"/>
      <c r="TKL67" s="170"/>
      <c r="TKM67" s="170"/>
      <c r="TKN67" s="170"/>
      <c r="TKO67" s="170"/>
      <c r="TKP67" s="170"/>
      <c r="TKQ67" s="170"/>
      <c r="TKR67" s="170"/>
      <c r="TKS67" s="170"/>
      <c r="TKT67" s="170"/>
      <c r="TKU67" s="170"/>
      <c r="TKV67" s="170"/>
      <c r="TKW67" s="170"/>
      <c r="TKX67" s="170"/>
      <c r="TKY67" s="170"/>
      <c r="TKZ67" s="170"/>
      <c r="TLA67" s="170"/>
      <c r="TLB67" s="170"/>
      <c r="TLC67" s="170"/>
      <c r="TLD67" s="170"/>
      <c r="TLE67" s="170"/>
      <c r="TLF67" s="170"/>
      <c r="TLG67" s="170"/>
      <c r="TLH67" s="170"/>
      <c r="TLI67" s="170"/>
      <c r="TLJ67" s="170"/>
      <c r="TLK67" s="170"/>
      <c r="TLL67" s="170"/>
      <c r="TLM67" s="170"/>
      <c r="TLN67" s="170"/>
      <c r="TLO67" s="170"/>
      <c r="TLP67" s="170"/>
      <c r="TLQ67" s="170"/>
      <c r="TLR67" s="170"/>
      <c r="TLS67" s="170"/>
      <c r="TLT67" s="170"/>
      <c r="TLU67" s="170"/>
      <c r="TLV67" s="170"/>
      <c r="TLW67" s="170"/>
      <c r="TLX67" s="170"/>
      <c r="TLY67" s="170"/>
      <c r="TLZ67" s="170"/>
      <c r="TMA67" s="170"/>
      <c r="TMB67" s="170"/>
      <c r="TMC67" s="170"/>
      <c r="TMD67" s="170"/>
      <c r="TME67" s="170"/>
      <c r="TMF67" s="170"/>
      <c r="TMG67" s="170"/>
      <c r="TMH67" s="170"/>
      <c r="TMI67" s="170"/>
      <c r="TMJ67" s="170"/>
      <c r="TMK67" s="170"/>
      <c r="TML67" s="170"/>
      <c r="TMM67" s="170"/>
      <c r="TMN67" s="170"/>
      <c r="TMO67" s="170"/>
      <c r="TMP67" s="170"/>
      <c r="TMQ67" s="170"/>
      <c r="TMR67" s="170"/>
      <c r="TMS67" s="170"/>
      <c r="TMT67" s="170"/>
      <c r="TMU67" s="170"/>
      <c r="TMV67" s="170"/>
      <c r="TMW67" s="170"/>
      <c r="TMX67" s="170"/>
      <c r="TMY67" s="170"/>
      <c r="TMZ67" s="170"/>
      <c r="TNA67" s="170"/>
      <c r="TNB67" s="170"/>
      <c r="TNC67" s="170"/>
      <c r="TND67" s="170"/>
      <c r="TNE67" s="170"/>
      <c r="TNF67" s="170"/>
      <c r="TNG67" s="170"/>
      <c r="TNH67" s="170"/>
      <c r="TNI67" s="170"/>
      <c r="TNJ67" s="170"/>
      <c r="TNK67" s="170"/>
      <c r="TNL67" s="170"/>
      <c r="TNM67" s="170"/>
      <c r="TNN67" s="170"/>
      <c r="TNO67" s="170"/>
      <c r="TNP67" s="170"/>
      <c r="TNQ67" s="170"/>
      <c r="TNR67" s="170"/>
      <c r="TNS67" s="170"/>
      <c r="TNT67" s="170"/>
      <c r="TNU67" s="170"/>
      <c r="TNV67" s="170"/>
      <c r="TNW67" s="170"/>
      <c r="TNX67" s="170"/>
      <c r="TNY67" s="170"/>
      <c r="TNZ67" s="170"/>
      <c r="TOA67" s="170"/>
      <c r="TOB67" s="170"/>
      <c r="TOC67" s="170"/>
      <c r="TOD67" s="170"/>
      <c r="TOE67" s="170"/>
      <c r="TOF67" s="170"/>
      <c r="TOG67" s="170"/>
      <c r="TOH67" s="170"/>
      <c r="TOI67" s="170"/>
      <c r="TOJ67" s="170"/>
      <c r="TOK67" s="170"/>
      <c r="TOL67" s="170"/>
      <c r="TOM67" s="170"/>
      <c r="TON67" s="170"/>
      <c r="TOO67" s="170"/>
      <c r="TOP67" s="170"/>
      <c r="TOQ67" s="170"/>
      <c r="TOR67" s="170"/>
      <c r="TOS67" s="170"/>
      <c r="TOT67" s="170"/>
      <c r="TOU67" s="170"/>
      <c r="TOV67" s="170"/>
      <c r="TOW67" s="170"/>
      <c r="TOX67" s="170"/>
      <c r="TOY67" s="170"/>
      <c r="TOZ67" s="170"/>
      <c r="TPA67" s="170"/>
      <c r="TPB67" s="170"/>
      <c r="TPC67" s="170"/>
      <c r="TPD67" s="170"/>
      <c r="TPE67" s="170"/>
      <c r="TPF67" s="170"/>
      <c r="TPG67" s="170"/>
      <c r="TPH67" s="170"/>
      <c r="TPI67" s="170"/>
      <c r="TPJ67" s="170"/>
      <c r="TPK67" s="170"/>
      <c r="TPL67" s="170"/>
      <c r="TPM67" s="170"/>
      <c r="TPN67" s="170"/>
      <c r="TPO67" s="170"/>
      <c r="TPP67" s="170"/>
      <c r="TPQ67" s="170"/>
      <c r="TPR67" s="170"/>
      <c r="TPS67" s="170"/>
      <c r="TPT67" s="170"/>
      <c r="TPU67" s="170"/>
      <c r="TPV67" s="170"/>
      <c r="TPW67" s="170"/>
      <c r="TPX67" s="170"/>
      <c r="TPY67" s="170"/>
      <c r="TPZ67" s="170"/>
      <c r="TQA67" s="170"/>
      <c r="TQB67" s="170"/>
      <c r="TQC67" s="170"/>
      <c r="TQD67" s="170"/>
      <c r="TQE67" s="170"/>
      <c r="TQF67" s="170"/>
      <c r="TQG67" s="170"/>
      <c r="TQH67" s="170"/>
      <c r="TQI67" s="170"/>
      <c r="TQJ67" s="170"/>
      <c r="TQK67" s="170"/>
      <c r="TQL67" s="170"/>
      <c r="TQM67" s="170"/>
      <c r="TQN67" s="170"/>
      <c r="TQO67" s="170"/>
      <c r="TQP67" s="170"/>
      <c r="TQQ67" s="170"/>
      <c r="TQR67" s="170"/>
      <c r="TQS67" s="170"/>
      <c r="TQT67" s="170"/>
      <c r="TQU67" s="170"/>
      <c r="TQV67" s="170"/>
      <c r="TQW67" s="170"/>
      <c r="TQX67" s="170"/>
      <c r="TQY67" s="170"/>
      <c r="TQZ67" s="170"/>
      <c r="TRA67" s="170"/>
      <c r="TRB67" s="170"/>
      <c r="TRC67" s="170"/>
      <c r="TRD67" s="170"/>
      <c r="TRE67" s="170"/>
      <c r="TRF67" s="170"/>
      <c r="TRG67" s="170"/>
      <c r="TRH67" s="170"/>
      <c r="TRI67" s="170"/>
      <c r="TRJ67" s="170"/>
      <c r="TRK67" s="170"/>
      <c r="TRL67" s="170"/>
      <c r="TRM67" s="170"/>
      <c r="TRN67" s="170"/>
      <c r="TRO67" s="170"/>
      <c r="TRP67" s="170"/>
      <c r="TRQ67" s="170"/>
      <c r="TRR67" s="170"/>
      <c r="TRS67" s="170"/>
      <c r="TRT67" s="170"/>
      <c r="TRU67" s="170"/>
      <c r="TRV67" s="170"/>
      <c r="TRW67" s="170"/>
      <c r="TRX67" s="170"/>
      <c r="TRY67" s="170"/>
      <c r="TRZ67" s="170"/>
      <c r="TSA67" s="170"/>
      <c r="TSB67" s="170"/>
      <c r="TSC67" s="170"/>
      <c r="TSD67" s="170"/>
      <c r="TSE67" s="170"/>
      <c r="TSF67" s="170"/>
      <c r="TSG67" s="170"/>
      <c r="TSH67" s="170"/>
      <c r="TSI67" s="170"/>
      <c r="TSJ67" s="170"/>
      <c r="TSK67" s="170"/>
      <c r="TSL67" s="170"/>
      <c r="TSM67" s="170"/>
      <c r="TSN67" s="170"/>
      <c r="TSO67" s="170"/>
      <c r="TSP67" s="170"/>
      <c r="TSQ67" s="170"/>
      <c r="TSR67" s="170"/>
      <c r="TSS67" s="170"/>
      <c r="TST67" s="170"/>
      <c r="TSU67" s="170"/>
      <c r="TSV67" s="170"/>
      <c r="TSW67" s="170"/>
      <c r="TSX67" s="170"/>
      <c r="TSY67" s="170"/>
      <c r="TSZ67" s="170"/>
      <c r="TTA67" s="170"/>
      <c r="TTB67" s="170"/>
      <c r="TTC67" s="170"/>
      <c r="TTD67" s="170"/>
      <c r="TTE67" s="170"/>
      <c r="TTF67" s="170"/>
      <c r="TTG67" s="170"/>
      <c r="TTH67" s="170"/>
      <c r="TTI67" s="170"/>
      <c r="TTJ67" s="170"/>
      <c r="TTK67" s="170"/>
      <c r="TTL67" s="170"/>
      <c r="TTM67" s="170"/>
      <c r="TTN67" s="170"/>
      <c r="TTO67" s="170"/>
      <c r="TTP67" s="170"/>
      <c r="TTQ67" s="170"/>
      <c r="TTR67" s="170"/>
      <c r="TTS67" s="170"/>
      <c r="TTT67" s="170"/>
      <c r="TTU67" s="170"/>
      <c r="TTV67" s="170"/>
      <c r="TTW67" s="170"/>
      <c r="TTX67" s="170"/>
      <c r="TTY67" s="170"/>
      <c r="TTZ67" s="170"/>
      <c r="TUA67" s="170"/>
      <c r="TUB67" s="170"/>
      <c r="TUC67" s="170"/>
      <c r="TUD67" s="170"/>
      <c r="TUE67" s="170"/>
      <c r="TUF67" s="170"/>
      <c r="TUG67" s="170"/>
      <c r="TUH67" s="170"/>
      <c r="TUI67" s="170"/>
      <c r="TUJ67" s="170"/>
      <c r="TUK67" s="170"/>
      <c r="TUL67" s="170"/>
      <c r="TUM67" s="170"/>
      <c r="TUN67" s="170"/>
      <c r="TUO67" s="170"/>
      <c r="TUP67" s="170"/>
      <c r="TUQ67" s="170"/>
      <c r="TUR67" s="170"/>
      <c r="TUS67" s="170"/>
      <c r="TUT67" s="170"/>
      <c r="TUU67" s="170"/>
      <c r="TUV67" s="170"/>
      <c r="TUW67" s="170"/>
      <c r="TUX67" s="170"/>
      <c r="TUY67" s="170"/>
      <c r="TUZ67" s="170"/>
      <c r="TVA67" s="170"/>
      <c r="TVB67" s="170"/>
      <c r="TVC67" s="170"/>
      <c r="TVD67" s="170"/>
      <c r="TVE67" s="170"/>
      <c r="TVF67" s="170"/>
      <c r="TVG67" s="170"/>
      <c r="TVH67" s="170"/>
      <c r="TVI67" s="170"/>
      <c r="TVJ67" s="170"/>
      <c r="TVK67" s="170"/>
      <c r="TVL67" s="170"/>
      <c r="TVM67" s="170"/>
      <c r="TVN67" s="170"/>
      <c r="TVO67" s="170"/>
      <c r="TVP67" s="170"/>
      <c r="TVQ67" s="170"/>
      <c r="TVR67" s="170"/>
      <c r="TVS67" s="170"/>
      <c r="TVT67" s="170"/>
      <c r="TVU67" s="170"/>
      <c r="TVV67" s="170"/>
      <c r="TVW67" s="170"/>
      <c r="TVX67" s="170"/>
      <c r="TVY67" s="170"/>
      <c r="TVZ67" s="170"/>
      <c r="TWA67" s="170"/>
      <c r="TWB67" s="170"/>
      <c r="TWC67" s="170"/>
      <c r="TWD67" s="170"/>
      <c r="TWE67" s="170"/>
      <c r="TWF67" s="170"/>
      <c r="TWG67" s="170"/>
      <c r="TWH67" s="170"/>
      <c r="TWI67" s="170"/>
      <c r="TWJ67" s="170"/>
      <c r="TWK67" s="170"/>
      <c r="TWL67" s="170"/>
      <c r="TWM67" s="170"/>
      <c r="TWN67" s="170"/>
      <c r="TWO67" s="170"/>
      <c r="TWP67" s="170"/>
      <c r="TWQ67" s="170"/>
      <c r="TWR67" s="170"/>
      <c r="TWS67" s="170"/>
      <c r="TWT67" s="170"/>
      <c r="TWU67" s="170"/>
      <c r="TWV67" s="170"/>
      <c r="TWW67" s="170"/>
      <c r="TWX67" s="170"/>
      <c r="TWY67" s="170"/>
      <c r="TWZ67" s="170"/>
      <c r="TXA67" s="170"/>
      <c r="TXB67" s="170"/>
      <c r="TXC67" s="170"/>
      <c r="TXD67" s="170"/>
      <c r="TXE67" s="170"/>
      <c r="TXF67" s="170"/>
      <c r="TXG67" s="170"/>
      <c r="TXH67" s="170"/>
      <c r="TXI67" s="170"/>
      <c r="TXJ67" s="170"/>
      <c r="TXK67" s="170"/>
      <c r="TXL67" s="170"/>
      <c r="TXM67" s="170"/>
      <c r="TXN67" s="170"/>
      <c r="TXO67" s="170"/>
      <c r="TXP67" s="170"/>
      <c r="TXQ67" s="170"/>
      <c r="TXR67" s="170"/>
      <c r="TXS67" s="170"/>
      <c r="TXT67" s="170"/>
      <c r="TXU67" s="170"/>
      <c r="TXV67" s="170"/>
      <c r="TXW67" s="170"/>
      <c r="TXX67" s="170"/>
      <c r="TXY67" s="170"/>
      <c r="TXZ67" s="170"/>
      <c r="TYA67" s="170"/>
      <c r="TYB67" s="170"/>
      <c r="TYC67" s="170"/>
      <c r="TYD67" s="170"/>
      <c r="TYE67" s="170"/>
      <c r="TYF67" s="170"/>
      <c r="TYG67" s="170"/>
      <c r="TYH67" s="170"/>
      <c r="TYI67" s="170"/>
      <c r="TYJ67" s="170"/>
      <c r="TYK67" s="170"/>
      <c r="TYL67" s="170"/>
      <c r="TYM67" s="170"/>
      <c r="TYN67" s="170"/>
      <c r="TYO67" s="170"/>
      <c r="TYP67" s="170"/>
      <c r="TYQ67" s="170"/>
      <c r="TYR67" s="170"/>
      <c r="TYS67" s="170"/>
      <c r="TYT67" s="170"/>
      <c r="TYU67" s="170"/>
      <c r="TYV67" s="170"/>
      <c r="TYW67" s="170"/>
      <c r="TYX67" s="170"/>
      <c r="TYY67" s="170"/>
      <c r="TYZ67" s="170"/>
      <c r="TZA67" s="170"/>
      <c r="TZB67" s="170"/>
      <c r="TZC67" s="170"/>
      <c r="TZD67" s="170"/>
      <c r="TZE67" s="170"/>
      <c r="TZF67" s="170"/>
      <c r="TZG67" s="170"/>
      <c r="TZH67" s="170"/>
      <c r="TZI67" s="170"/>
      <c r="TZJ67" s="170"/>
      <c r="TZK67" s="170"/>
      <c r="TZL67" s="170"/>
      <c r="TZM67" s="170"/>
      <c r="TZN67" s="170"/>
      <c r="TZO67" s="170"/>
      <c r="TZP67" s="170"/>
      <c r="TZQ67" s="170"/>
      <c r="TZR67" s="170"/>
      <c r="TZS67" s="170"/>
      <c r="TZT67" s="170"/>
      <c r="TZU67" s="170"/>
      <c r="TZV67" s="170"/>
      <c r="TZW67" s="170"/>
      <c r="TZX67" s="170"/>
      <c r="TZY67" s="170"/>
      <c r="TZZ67" s="170"/>
      <c r="UAA67" s="170"/>
      <c r="UAB67" s="170"/>
      <c r="UAC67" s="170"/>
      <c r="UAD67" s="170"/>
      <c r="UAE67" s="170"/>
      <c r="UAF67" s="170"/>
      <c r="UAG67" s="170"/>
      <c r="UAH67" s="170"/>
      <c r="UAI67" s="170"/>
      <c r="UAJ67" s="170"/>
      <c r="UAK67" s="170"/>
      <c r="UAL67" s="170"/>
      <c r="UAM67" s="170"/>
      <c r="UAN67" s="170"/>
      <c r="UAO67" s="170"/>
      <c r="UAP67" s="170"/>
      <c r="UAQ67" s="170"/>
      <c r="UAR67" s="170"/>
      <c r="UAS67" s="170"/>
      <c r="UAT67" s="170"/>
      <c r="UAU67" s="170"/>
      <c r="UAV67" s="170"/>
      <c r="UAW67" s="170"/>
      <c r="UAX67" s="170"/>
      <c r="UAY67" s="170"/>
      <c r="UAZ67" s="170"/>
      <c r="UBA67" s="170"/>
      <c r="UBB67" s="170"/>
      <c r="UBC67" s="170"/>
      <c r="UBD67" s="170"/>
      <c r="UBE67" s="170"/>
      <c r="UBF67" s="170"/>
      <c r="UBG67" s="170"/>
      <c r="UBH67" s="170"/>
      <c r="UBI67" s="170"/>
      <c r="UBJ67" s="170"/>
      <c r="UBK67" s="170"/>
      <c r="UBL67" s="170"/>
      <c r="UBM67" s="170"/>
      <c r="UBN67" s="170"/>
      <c r="UBO67" s="170"/>
      <c r="UBP67" s="170"/>
      <c r="UBQ67" s="170"/>
      <c r="UBR67" s="170"/>
      <c r="UBS67" s="170"/>
      <c r="UBT67" s="170"/>
      <c r="UBU67" s="170"/>
      <c r="UBV67" s="170"/>
      <c r="UBW67" s="170"/>
      <c r="UBX67" s="170"/>
      <c r="UBY67" s="170"/>
      <c r="UBZ67" s="170"/>
      <c r="UCA67" s="170"/>
      <c r="UCB67" s="170"/>
      <c r="UCC67" s="170"/>
      <c r="UCD67" s="170"/>
      <c r="UCE67" s="170"/>
      <c r="UCF67" s="170"/>
      <c r="UCG67" s="170"/>
      <c r="UCH67" s="170"/>
      <c r="UCI67" s="170"/>
      <c r="UCJ67" s="170"/>
      <c r="UCK67" s="170"/>
      <c r="UCL67" s="170"/>
      <c r="UCM67" s="170"/>
      <c r="UCN67" s="170"/>
      <c r="UCO67" s="170"/>
      <c r="UCP67" s="170"/>
      <c r="UCQ67" s="170"/>
      <c r="UCR67" s="170"/>
      <c r="UCS67" s="170"/>
      <c r="UCT67" s="170"/>
      <c r="UCU67" s="170"/>
      <c r="UCV67" s="170"/>
      <c r="UCW67" s="170"/>
      <c r="UCX67" s="170"/>
      <c r="UCY67" s="170"/>
      <c r="UCZ67" s="170"/>
      <c r="UDA67" s="170"/>
      <c r="UDB67" s="170"/>
      <c r="UDC67" s="170"/>
      <c r="UDD67" s="170"/>
      <c r="UDE67" s="170"/>
      <c r="UDF67" s="170"/>
      <c r="UDG67" s="170"/>
      <c r="UDH67" s="170"/>
      <c r="UDI67" s="170"/>
      <c r="UDJ67" s="170"/>
      <c r="UDK67" s="170"/>
      <c r="UDL67" s="170"/>
      <c r="UDM67" s="170"/>
      <c r="UDN67" s="170"/>
      <c r="UDO67" s="170"/>
      <c r="UDP67" s="170"/>
      <c r="UDQ67" s="170"/>
      <c r="UDR67" s="170"/>
      <c r="UDS67" s="170"/>
      <c r="UDT67" s="170"/>
      <c r="UDU67" s="170"/>
      <c r="UDV67" s="170"/>
      <c r="UDW67" s="170"/>
      <c r="UDX67" s="170"/>
      <c r="UDY67" s="170"/>
      <c r="UDZ67" s="170"/>
      <c r="UEA67" s="170"/>
      <c r="UEB67" s="170"/>
      <c r="UEC67" s="170"/>
      <c r="UED67" s="170"/>
      <c r="UEE67" s="170"/>
      <c r="UEF67" s="170"/>
      <c r="UEG67" s="170"/>
      <c r="UEH67" s="170"/>
      <c r="UEI67" s="170"/>
      <c r="UEJ67" s="170"/>
      <c r="UEK67" s="170"/>
      <c r="UEL67" s="170"/>
      <c r="UEM67" s="170"/>
      <c r="UEN67" s="170"/>
      <c r="UEO67" s="170"/>
      <c r="UEP67" s="170"/>
      <c r="UEQ67" s="170"/>
      <c r="UER67" s="170"/>
      <c r="UES67" s="170"/>
      <c r="UET67" s="170"/>
      <c r="UEU67" s="170"/>
      <c r="UEV67" s="170"/>
      <c r="UEW67" s="170"/>
      <c r="UEX67" s="170"/>
      <c r="UEY67" s="170"/>
      <c r="UEZ67" s="170"/>
      <c r="UFA67" s="170"/>
      <c r="UFB67" s="170"/>
      <c r="UFC67" s="170"/>
      <c r="UFD67" s="170"/>
      <c r="UFE67" s="170"/>
      <c r="UFF67" s="170"/>
      <c r="UFG67" s="170"/>
      <c r="UFH67" s="170"/>
      <c r="UFI67" s="170"/>
      <c r="UFJ67" s="170"/>
      <c r="UFK67" s="170"/>
      <c r="UFL67" s="170"/>
      <c r="UFM67" s="170"/>
      <c r="UFN67" s="170"/>
      <c r="UFO67" s="170"/>
      <c r="UFP67" s="170"/>
      <c r="UFQ67" s="170"/>
      <c r="UFR67" s="170"/>
      <c r="UFS67" s="170"/>
      <c r="UFT67" s="170"/>
      <c r="UFU67" s="170"/>
      <c r="UFV67" s="170"/>
      <c r="UFW67" s="170"/>
      <c r="UFX67" s="170"/>
      <c r="UFY67" s="170"/>
      <c r="UFZ67" s="170"/>
      <c r="UGA67" s="170"/>
      <c r="UGB67" s="170"/>
      <c r="UGC67" s="170"/>
      <c r="UGD67" s="170"/>
      <c r="UGE67" s="170"/>
      <c r="UGF67" s="170"/>
      <c r="UGG67" s="170"/>
      <c r="UGH67" s="170"/>
      <c r="UGI67" s="170"/>
      <c r="UGJ67" s="170"/>
      <c r="UGK67" s="170"/>
      <c r="UGL67" s="170"/>
      <c r="UGM67" s="170"/>
      <c r="UGN67" s="170"/>
      <c r="UGO67" s="170"/>
      <c r="UGP67" s="170"/>
      <c r="UGQ67" s="170"/>
      <c r="UGR67" s="170"/>
      <c r="UGS67" s="170"/>
      <c r="UGT67" s="170"/>
      <c r="UGU67" s="170"/>
      <c r="UGV67" s="170"/>
      <c r="UGW67" s="170"/>
      <c r="UGX67" s="170"/>
      <c r="UGY67" s="170"/>
      <c r="UGZ67" s="170"/>
      <c r="UHA67" s="170"/>
      <c r="UHB67" s="170"/>
      <c r="UHC67" s="170"/>
      <c r="UHD67" s="170"/>
      <c r="UHE67" s="170"/>
      <c r="UHF67" s="170"/>
      <c r="UHG67" s="170"/>
      <c r="UHH67" s="170"/>
      <c r="UHI67" s="170"/>
      <c r="UHJ67" s="170"/>
      <c r="UHK67" s="170"/>
      <c r="UHL67" s="170"/>
      <c r="UHM67" s="170"/>
      <c r="UHN67" s="170"/>
      <c r="UHO67" s="170"/>
      <c r="UHP67" s="170"/>
      <c r="UHQ67" s="170"/>
      <c r="UHR67" s="170"/>
      <c r="UHS67" s="170"/>
      <c r="UHT67" s="170"/>
      <c r="UHU67" s="170"/>
      <c r="UHV67" s="170"/>
      <c r="UHW67" s="170"/>
      <c r="UHX67" s="170"/>
      <c r="UHY67" s="170"/>
      <c r="UHZ67" s="170"/>
      <c r="UIA67" s="170"/>
      <c r="UIB67" s="170"/>
      <c r="UIC67" s="170"/>
      <c r="UID67" s="170"/>
      <c r="UIE67" s="170"/>
      <c r="UIF67" s="170"/>
      <c r="UIG67" s="170"/>
      <c r="UIH67" s="170"/>
      <c r="UII67" s="170"/>
      <c r="UIJ67" s="170"/>
      <c r="UIK67" s="170"/>
      <c r="UIL67" s="170"/>
      <c r="UIM67" s="170"/>
      <c r="UIN67" s="170"/>
      <c r="UIO67" s="170"/>
      <c r="UIP67" s="170"/>
      <c r="UIQ67" s="170"/>
      <c r="UIR67" s="170"/>
      <c r="UIS67" s="170"/>
      <c r="UIT67" s="170"/>
      <c r="UIU67" s="170"/>
      <c r="UIV67" s="170"/>
      <c r="UIW67" s="170"/>
      <c r="UIX67" s="170"/>
      <c r="UIY67" s="170"/>
      <c r="UIZ67" s="170"/>
      <c r="UJA67" s="170"/>
      <c r="UJB67" s="170"/>
      <c r="UJC67" s="170"/>
      <c r="UJD67" s="170"/>
      <c r="UJE67" s="170"/>
      <c r="UJF67" s="170"/>
      <c r="UJG67" s="170"/>
      <c r="UJH67" s="170"/>
      <c r="UJI67" s="170"/>
      <c r="UJJ67" s="170"/>
      <c r="UJK67" s="170"/>
      <c r="UJL67" s="170"/>
      <c r="UJM67" s="170"/>
      <c r="UJN67" s="170"/>
      <c r="UJO67" s="170"/>
      <c r="UJP67" s="170"/>
      <c r="UJQ67" s="170"/>
      <c r="UJR67" s="170"/>
      <c r="UJS67" s="170"/>
      <c r="UJT67" s="170"/>
      <c r="UJU67" s="170"/>
      <c r="UJV67" s="170"/>
      <c r="UJW67" s="170"/>
      <c r="UJX67" s="170"/>
      <c r="UJY67" s="170"/>
      <c r="UJZ67" s="170"/>
      <c r="UKA67" s="170"/>
      <c r="UKB67" s="170"/>
      <c r="UKC67" s="170"/>
      <c r="UKD67" s="170"/>
      <c r="UKE67" s="170"/>
      <c r="UKF67" s="170"/>
      <c r="UKG67" s="170"/>
      <c r="UKH67" s="170"/>
      <c r="UKI67" s="170"/>
      <c r="UKJ67" s="170"/>
      <c r="UKK67" s="170"/>
      <c r="UKL67" s="170"/>
      <c r="UKM67" s="170"/>
      <c r="UKN67" s="170"/>
      <c r="UKO67" s="170"/>
      <c r="UKP67" s="170"/>
      <c r="UKQ67" s="170"/>
      <c r="UKR67" s="170"/>
      <c r="UKS67" s="170"/>
      <c r="UKT67" s="170"/>
      <c r="UKU67" s="170"/>
      <c r="UKV67" s="170"/>
      <c r="UKW67" s="170"/>
      <c r="UKX67" s="170"/>
      <c r="UKY67" s="170"/>
      <c r="UKZ67" s="170"/>
      <c r="ULA67" s="170"/>
      <c r="ULB67" s="170"/>
      <c r="ULC67" s="170"/>
      <c r="ULD67" s="170"/>
      <c r="ULE67" s="170"/>
      <c r="ULF67" s="170"/>
      <c r="ULG67" s="170"/>
      <c r="ULH67" s="170"/>
      <c r="ULI67" s="170"/>
      <c r="ULJ67" s="170"/>
      <c r="ULK67" s="170"/>
      <c r="ULL67" s="170"/>
      <c r="ULM67" s="170"/>
      <c r="ULN67" s="170"/>
      <c r="ULO67" s="170"/>
      <c r="ULP67" s="170"/>
      <c r="ULQ67" s="170"/>
      <c r="ULR67" s="170"/>
      <c r="ULS67" s="170"/>
      <c r="ULT67" s="170"/>
      <c r="ULU67" s="170"/>
      <c r="ULV67" s="170"/>
      <c r="ULW67" s="170"/>
      <c r="ULX67" s="170"/>
      <c r="ULY67" s="170"/>
      <c r="ULZ67" s="170"/>
      <c r="UMA67" s="170"/>
      <c r="UMB67" s="170"/>
      <c r="UMC67" s="170"/>
      <c r="UMD67" s="170"/>
      <c r="UME67" s="170"/>
      <c r="UMF67" s="170"/>
      <c r="UMG67" s="170"/>
      <c r="UMH67" s="170"/>
      <c r="UMI67" s="170"/>
      <c r="UMJ67" s="170"/>
      <c r="UMK67" s="170"/>
      <c r="UML67" s="170"/>
      <c r="UMM67" s="170"/>
      <c r="UMN67" s="170"/>
      <c r="UMO67" s="170"/>
      <c r="UMP67" s="170"/>
      <c r="UMQ67" s="170"/>
      <c r="UMR67" s="170"/>
      <c r="UMS67" s="170"/>
      <c r="UMT67" s="170"/>
      <c r="UMU67" s="170"/>
      <c r="UMV67" s="170"/>
      <c r="UMW67" s="170"/>
      <c r="UMX67" s="170"/>
      <c r="UMY67" s="170"/>
      <c r="UMZ67" s="170"/>
      <c r="UNA67" s="170"/>
      <c r="UNB67" s="170"/>
      <c r="UNC67" s="170"/>
      <c r="UND67" s="170"/>
      <c r="UNE67" s="170"/>
      <c r="UNF67" s="170"/>
      <c r="UNG67" s="170"/>
      <c r="UNH67" s="170"/>
      <c r="UNI67" s="170"/>
      <c r="UNJ67" s="170"/>
      <c r="UNK67" s="170"/>
      <c r="UNL67" s="170"/>
      <c r="UNM67" s="170"/>
      <c r="UNN67" s="170"/>
      <c r="UNO67" s="170"/>
      <c r="UNP67" s="170"/>
      <c r="UNQ67" s="170"/>
      <c r="UNR67" s="170"/>
      <c r="UNS67" s="170"/>
      <c r="UNT67" s="170"/>
      <c r="UNU67" s="170"/>
      <c r="UNV67" s="170"/>
      <c r="UNW67" s="170"/>
      <c r="UNX67" s="170"/>
      <c r="UNY67" s="170"/>
      <c r="UNZ67" s="170"/>
      <c r="UOA67" s="170"/>
      <c r="UOB67" s="170"/>
      <c r="UOC67" s="170"/>
      <c r="UOD67" s="170"/>
      <c r="UOE67" s="170"/>
      <c r="UOF67" s="170"/>
      <c r="UOG67" s="170"/>
      <c r="UOH67" s="170"/>
      <c r="UOI67" s="170"/>
      <c r="UOJ67" s="170"/>
      <c r="UOK67" s="170"/>
      <c r="UOL67" s="170"/>
      <c r="UOM67" s="170"/>
      <c r="UON67" s="170"/>
      <c r="UOO67" s="170"/>
      <c r="UOP67" s="170"/>
      <c r="UOQ67" s="170"/>
      <c r="UOR67" s="170"/>
      <c r="UOS67" s="170"/>
      <c r="UOT67" s="170"/>
      <c r="UOU67" s="170"/>
      <c r="UOV67" s="170"/>
      <c r="UOW67" s="170"/>
      <c r="UOX67" s="170"/>
      <c r="UOY67" s="170"/>
      <c r="UOZ67" s="170"/>
      <c r="UPA67" s="170"/>
      <c r="UPB67" s="170"/>
      <c r="UPC67" s="170"/>
      <c r="UPD67" s="170"/>
      <c r="UPE67" s="170"/>
      <c r="UPF67" s="170"/>
      <c r="UPG67" s="170"/>
      <c r="UPH67" s="170"/>
      <c r="UPI67" s="170"/>
      <c r="UPJ67" s="170"/>
      <c r="UPK67" s="170"/>
      <c r="UPL67" s="170"/>
      <c r="UPM67" s="170"/>
      <c r="UPN67" s="170"/>
      <c r="UPO67" s="170"/>
      <c r="UPP67" s="170"/>
      <c r="UPQ67" s="170"/>
      <c r="UPR67" s="170"/>
      <c r="UPS67" s="170"/>
      <c r="UPT67" s="170"/>
      <c r="UPU67" s="170"/>
      <c r="UPV67" s="170"/>
      <c r="UPW67" s="170"/>
      <c r="UPX67" s="170"/>
      <c r="UPY67" s="170"/>
      <c r="UPZ67" s="170"/>
      <c r="UQA67" s="170"/>
      <c r="UQB67" s="170"/>
      <c r="UQC67" s="170"/>
      <c r="UQD67" s="170"/>
      <c r="UQE67" s="170"/>
      <c r="UQF67" s="170"/>
      <c r="UQG67" s="170"/>
      <c r="UQH67" s="170"/>
      <c r="UQI67" s="170"/>
      <c r="UQJ67" s="170"/>
      <c r="UQK67" s="170"/>
      <c r="UQL67" s="170"/>
      <c r="UQM67" s="170"/>
      <c r="UQN67" s="170"/>
      <c r="UQO67" s="170"/>
      <c r="UQP67" s="170"/>
      <c r="UQQ67" s="170"/>
      <c r="UQR67" s="170"/>
      <c r="UQS67" s="170"/>
      <c r="UQT67" s="170"/>
      <c r="UQU67" s="170"/>
      <c r="UQV67" s="170"/>
      <c r="UQW67" s="170"/>
      <c r="UQX67" s="170"/>
      <c r="UQY67" s="170"/>
      <c r="UQZ67" s="170"/>
      <c r="URA67" s="170"/>
      <c r="URB67" s="170"/>
      <c r="URC67" s="170"/>
      <c r="URD67" s="170"/>
      <c r="URE67" s="170"/>
      <c r="URF67" s="170"/>
      <c r="URG67" s="170"/>
      <c r="URH67" s="170"/>
      <c r="URI67" s="170"/>
      <c r="URJ67" s="170"/>
      <c r="URK67" s="170"/>
      <c r="URL67" s="170"/>
      <c r="URM67" s="170"/>
      <c r="URN67" s="170"/>
      <c r="URO67" s="170"/>
      <c r="URP67" s="170"/>
      <c r="URQ67" s="170"/>
      <c r="URR67" s="170"/>
      <c r="URS67" s="170"/>
      <c r="URT67" s="170"/>
      <c r="URU67" s="170"/>
      <c r="URV67" s="170"/>
      <c r="URW67" s="170"/>
      <c r="URX67" s="170"/>
      <c r="URY67" s="170"/>
      <c r="URZ67" s="170"/>
      <c r="USA67" s="170"/>
      <c r="USB67" s="170"/>
      <c r="USC67" s="170"/>
      <c r="USD67" s="170"/>
      <c r="USE67" s="170"/>
      <c r="USF67" s="170"/>
      <c r="USG67" s="170"/>
      <c r="USH67" s="170"/>
      <c r="USI67" s="170"/>
      <c r="USJ67" s="170"/>
      <c r="USK67" s="170"/>
      <c r="USL67" s="170"/>
      <c r="USM67" s="170"/>
      <c r="USN67" s="170"/>
      <c r="USO67" s="170"/>
      <c r="USP67" s="170"/>
      <c r="USQ67" s="170"/>
      <c r="USR67" s="170"/>
      <c r="USS67" s="170"/>
      <c r="UST67" s="170"/>
      <c r="USU67" s="170"/>
      <c r="USV67" s="170"/>
      <c r="USW67" s="170"/>
      <c r="USX67" s="170"/>
      <c r="USY67" s="170"/>
      <c r="USZ67" s="170"/>
      <c r="UTA67" s="170"/>
      <c r="UTB67" s="170"/>
      <c r="UTC67" s="170"/>
      <c r="UTD67" s="170"/>
      <c r="UTE67" s="170"/>
      <c r="UTF67" s="170"/>
      <c r="UTG67" s="170"/>
      <c r="UTH67" s="170"/>
      <c r="UTI67" s="170"/>
      <c r="UTJ67" s="170"/>
      <c r="UTK67" s="170"/>
      <c r="UTL67" s="170"/>
      <c r="UTM67" s="170"/>
      <c r="UTN67" s="170"/>
      <c r="UTO67" s="170"/>
      <c r="UTP67" s="170"/>
      <c r="UTQ67" s="170"/>
      <c r="UTR67" s="170"/>
      <c r="UTS67" s="170"/>
      <c r="UTT67" s="170"/>
      <c r="UTU67" s="170"/>
      <c r="UTV67" s="170"/>
      <c r="UTW67" s="170"/>
      <c r="UTX67" s="170"/>
      <c r="UTY67" s="170"/>
      <c r="UTZ67" s="170"/>
      <c r="UUA67" s="170"/>
      <c r="UUB67" s="170"/>
      <c r="UUC67" s="170"/>
      <c r="UUD67" s="170"/>
      <c r="UUE67" s="170"/>
      <c r="UUF67" s="170"/>
      <c r="UUG67" s="170"/>
      <c r="UUH67" s="170"/>
      <c r="UUI67" s="170"/>
      <c r="UUJ67" s="170"/>
      <c r="UUK67" s="170"/>
      <c r="UUL67" s="170"/>
      <c r="UUM67" s="170"/>
      <c r="UUN67" s="170"/>
      <c r="UUO67" s="170"/>
      <c r="UUP67" s="170"/>
      <c r="UUQ67" s="170"/>
      <c r="UUR67" s="170"/>
      <c r="UUS67" s="170"/>
      <c r="UUT67" s="170"/>
      <c r="UUU67" s="170"/>
      <c r="UUV67" s="170"/>
      <c r="UUW67" s="170"/>
      <c r="UUX67" s="170"/>
      <c r="UUY67" s="170"/>
      <c r="UUZ67" s="170"/>
      <c r="UVA67" s="170"/>
      <c r="UVB67" s="170"/>
      <c r="UVC67" s="170"/>
      <c r="UVD67" s="170"/>
      <c r="UVE67" s="170"/>
      <c r="UVF67" s="170"/>
      <c r="UVG67" s="170"/>
      <c r="UVH67" s="170"/>
      <c r="UVI67" s="170"/>
      <c r="UVJ67" s="170"/>
      <c r="UVK67" s="170"/>
      <c r="UVL67" s="170"/>
      <c r="UVM67" s="170"/>
      <c r="UVN67" s="170"/>
      <c r="UVO67" s="170"/>
      <c r="UVP67" s="170"/>
      <c r="UVQ67" s="170"/>
      <c r="UVR67" s="170"/>
      <c r="UVS67" s="170"/>
      <c r="UVT67" s="170"/>
      <c r="UVU67" s="170"/>
      <c r="UVV67" s="170"/>
      <c r="UVW67" s="170"/>
      <c r="UVX67" s="170"/>
      <c r="UVY67" s="170"/>
      <c r="UVZ67" s="170"/>
      <c r="UWA67" s="170"/>
      <c r="UWB67" s="170"/>
      <c r="UWC67" s="170"/>
      <c r="UWD67" s="170"/>
      <c r="UWE67" s="170"/>
      <c r="UWF67" s="170"/>
      <c r="UWG67" s="170"/>
      <c r="UWH67" s="170"/>
      <c r="UWI67" s="170"/>
      <c r="UWJ67" s="170"/>
      <c r="UWK67" s="170"/>
      <c r="UWL67" s="170"/>
      <c r="UWM67" s="170"/>
      <c r="UWN67" s="170"/>
      <c r="UWO67" s="170"/>
      <c r="UWP67" s="170"/>
      <c r="UWQ67" s="170"/>
      <c r="UWR67" s="170"/>
      <c r="UWS67" s="170"/>
      <c r="UWT67" s="170"/>
      <c r="UWU67" s="170"/>
      <c r="UWV67" s="170"/>
      <c r="UWW67" s="170"/>
      <c r="UWX67" s="170"/>
      <c r="UWY67" s="170"/>
      <c r="UWZ67" s="170"/>
      <c r="UXA67" s="170"/>
      <c r="UXB67" s="170"/>
      <c r="UXC67" s="170"/>
      <c r="UXD67" s="170"/>
      <c r="UXE67" s="170"/>
      <c r="UXF67" s="170"/>
      <c r="UXG67" s="170"/>
      <c r="UXH67" s="170"/>
      <c r="UXI67" s="170"/>
      <c r="UXJ67" s="170"/>
      <c r="UXK67" s="170"/>
      <c r="UXL67" s="170"/>
      <c r="UXM67" s="170"/>
      <c r="UXN67" s="170"/>
      <c r="UXO67" s="170"/>
      <c r="UXP67" s="170"/>
      <c r="UXQ67" s="170"/>
      <c r="UXR67" s="170"/>
      <c r="UXS67" s="170"/>
      <c r="UXT67" s="170"/>
      <c r="UXU67" s="170"/>
      <c r="UXV67" s="170"/>
      <c r="UXW67" s="170"/>
      <c r="UXX67" s="170"/>
      <c r="UXY67" s="170"/>
      <c r="UXZ67" s="170"/>
      <c r="UYA67" s="170"/>
      <c r="UYB67" s="170"/>
      <c r="UYC67" s="170"/>
      <c r="UYD67" s="170"/>
      <c r="UYE67" s="170"/>
      <c r="UYF67" s="170"/>
      <c r="UYG67" s="170"/>
      <c r="UYH67" s="170"/>
      <c r="UYI67" s="170"/>
      <c r="UYJ67" s="170"/>
      <c r="UYK67" s="170"/>
      <c r="UYL67" s="170"/>
      <c r="UYM67" s="170"/>
      <c r="UYN67" s="170"/>
      <c r="UYO67" s="170"/>
      <c r="UYP67" s="170"/>
      <c r="UYQ67" s="170"/>
      <c r="UYR67" s="170"/>
      <c r="UYS67" s="170"/>
      <c r="UYT67" s="170"/>
      <c r="UYU67" s="170"/>
      <c r="UYV67" s="170"/>
      <c r="UYW67" s="170"/>
      <c r="UYX67" s="170"/>
      <c r="UYY67" s="170"/>
      <c r="UYZ67" s="170"/>
      <c r="UZA67" s="170"/>
      <c r="UZB67" s="170"/>
      <c r="UZC67" s="170"/>
      <c r="UZD67" s="170"/>
      <c r="UZE67" s="170"/>
      <c r="UZF67" s="170"/>
      <c r="UZG67" s="170"/>
      <c r="UZH67" s="170"/>
      <c r="UZI67" s="170"/>
      <c r="UZJ67" s="170"/>
      <c r="UZK67" s="170"/>
      <c r="UZL67" s="170"/>
      <c r="UZM67" s="170"/>
      <c r="UZN67" s="170"/>
      <c r="UZO67" s="170"/>
      <c r="UZP67" s="170"/>
      <c r="UZQ67" s="170"/>
      <c r="UZR67" s="170"/>
      <c r="UZS67" s="170"/>
      <c r="UZT67" s="170"/>
      <c r="UZU67" s="170"/>
      <c r="UZV67" s="170"/>
      <c r="UZW67" s="170"/>
      <c r="UZX67" s="170"/>
      <c r="UZY67" s="170"/>
      <c r="UZZ67" s="170"/>
      <c r="VAA67" s="170"/>
      <c r="VAB67" s="170"/>
      <c r="VAC67" s="170"/>
      <c r="VAD67" s="170"/>
      <c r="VAE67" s="170"/>
      <c r="VAF67" s="170"/>
      <c r="VAG67" s="170"/>
      <c r="VAH67" s="170"/>
      <c r="VAI67" s="170"/>
      <c r="VAJ67" s="170"/>
      <c r="VAK67" s="170"/>
      <c r="VAL67" s="170"/>
      <c r="VAM67" s="170"/>
      <c r="VAN67" s="170"/>
      <c r="VAO67" s="170"/>
      <c r="VAP67" s="170"/>
      <c r="VAQ67" s="170"/>
      <c r="VAR67" s="170"/>
      <c r="VAS67" s="170"/>
      <c r="VAT67" s="170"/>
      <c r="VAU67" s="170"/>
      <c r="VAV67" s="170"/>
      <c r="VAW67" s="170"/>
      <c r="VAX67" s="170"/>
      <c r="VAY67" s="170"/>
      <c r="VAZ67" s="170"/>
      <c r="VBA67" s="170"/>
      <c r="VBB67" s="170"/>
      <c r="VBC67" s="170"/>
      <c r="VBD67" s="170"/>
      <c r="VBE67" s="170"/>
      <c r="VBF67" s="170"/>
      <c r="VBG67" s="170"/>
      <c r="VBH67" s="170"/>
      <c r="VBI67" s="170"/>
      <c r="VBJ67" s="170"/>
      <c r="VBK67" s="170"/>
      <c r="VBL67" s="170"/>
      <c r="VBM67" s="170"/>
      <c r="VBN67" s="170"/>
      <c r="VBO67" s="170"/>
      <c r="VBP67" s="170"/>
      <c r="VBQ67" s="170"/>
      <c r="VBR67" s="170"/>
      <c r="VBS67" s="170"/>
      <c r="VBT67" s="170"/>
      <c r="VBU67" s="170"/>
      <c r="VBV67" s="170"/>
      <c r="VBW67" s="170"/>
      <c r="VBX67" s="170"/>
      <c r="VBY67" s="170"/>
      <c r="VBZ67" s="170"/>
      <c r="VCA67" s="170"/>
      <c r="VCB67" s="170"/>
      <c r="VCC67" s="170"/>
      <c r="VCD67" s="170"/>
      <c r="VCE67" s="170"/>
      <c r="VCF67" s="170"/>
      <c r="VCG67" s="170"/>
      <c r="VCH67" s="170"/>
      <c r="VCI67" s="170"/>
      <c r="VCJ67" s="170"/>
      <c r="VCK67" s="170"/>
      <c r="VCL67" s="170"/>
      <c r="VCM67" s="170"/>
      <c r="VCN67" s="170"/>
      <c r="VCO67" s="170"/>
      <c r="VCP67" s="170"/>
      <c r="VCQ67" s="170"/>
      <c r="VCR67" s="170"/>
      <c r="VCS67" s="170"/>
      <c r="VCT67" s="170"/>
      <c r="VCU67" s="170"/>
      <c r="VCV67" s="170"/>
      <c r="VCW67" s="170"/>
      <c r="VCX67" s="170"/>
      <c r="VCY67" s="170"/>
      <c r="VCZ67" s="170"/>
      <c r="VDA67" s="170"/>
      <c r="VDB67" s="170"/>
      <c r="VDC67" s="170"/>
      <c r="VDD67" s="170"/>
      <c r="VDE67" s="170"/>
      <c r="VDF67" s="170"/>
      <c r="VDG67" s="170"/>
      <c r="VDH67" s="170"/>
      <c r="VDI67" s="170"/>
      <c r="VDJ67" s="170"/>
      <c r="VDK67" s="170"/>
      <c r="VDL67" s="170"/>
      <c r="VDM67" s="170"/>
      <c r="VDN67" s="170"/>
      <c r="VDO67" s="170"/>
      <c r="VDP67" s="170"/>
      <c r="VDQ67" s="170"/>
      <c r="VDR67" s="170"/>
      <c r="VDS67" s="170"/>
      <c r="VDT67" s="170"/>
      <c r="VDU67" s="170"/>
      <c r="VDV67" s="170"/>
      <c r="VDW67" s="170"/>
      <c r="VDX67" s="170"/>
      <c r="VDY67" s="170"/>
      <c r="VDZ67" s="170"/>
      <c r="VEA67" s="170"/>
      <c r="VEB67" s="170"/>
      <c r="VEC67" s="170"/>
      <c r="VED67" s="170"/>
      <c r="VEE67" s="170"/>
      <c r="VEF67" s="170"/>
      <c r="VEG67" s="170"/>
      <c r="VEH67" s="170"/>
      <c r="VEI67" s="170"/>
      <c r="VEJ67" s="170"/>
      <c r="VEK67" s="170"/>
      <c r="VEL67" s="170"/>
      <c r="VEM67" s="170"/>
      <c r="VEN67" s="170"/>
      <c r="VEO67" s="170"/>
      <c r="VEP67" s="170"/>
      <c r="VEQ67" s="170"/>
      <c r="VER67" s="170"/>
      <c r="VES67" s="170"/>
      <c r="VET67" s="170"/>
      <c r="VEU67" s="170"/>
      <c r="VEV67" s="170"/>
      <c r="VEW67" s="170"/>
      <c r="VEX67" s="170"/>
      <c r="VEY67" s="170"/>
      <c r="VEZ67" s="170"/>
      <c r="VFA67" s="170"/>
      <c r="VFB67" s="170"/>
      <c r="VFC67" s="170"/>
      <c r="VFD67" s="170"/>
      <c r="VFE67" s="170"/>
      <c r="VFF67" s="170"/>
      <c r="VFG67" s="170"/>
      <c r="VFH67" s="170"/>
      <c r="VFI67" s="170"/>
      <c r="VFJ67" s="170"/>
      <c r="VFK67" s="170"/>
      <c r="VFL67" s="170"/>
      <c r="VFM67" s="170"/>
      <c r="VFN67" s="170"/>
      <c r="VFO67" s="170"/>
      <c r="VFP67" s="170"/>
      <c r="VFQ67" s="170"/>
      <c r="VFR67" s="170"/>
      <c r="VFS67" s="170"/>
      <c r="VFT67" s="170"/>
      <c r="VFU67" s="170"/>
      <c r="VFV67" s="170"/>
      <c r="VFW67" s="170"/>
      <c r="VFX67" s="170"/>
      <c r="VFY67" s="170"/>
      <c r="VFZ67" s="170"/>
      <c r="VGA67" s="170"/>
      <c r="VGB67" s="170"/>
      <c r="VGC67" s="170"/>
      <c r="VGD67" s="170"/>
      <c r="VGE67" s="170"/>
      <c r="VGF67" s="170"/>
      <c r="VGG67" s="170"/>
      <c r="VGH67" s="170"/>
      <c r="VGI67" s="170"/>
      <c r="VGJ67" s="170"/>
      <c r="VGK67" s="170"/>
      <c r="VGL67" s="170"/>
      <c r="VGM67" s="170"/>
      <c r="VGN67" s="170"/>
      <c r="VGO67" s="170"/>
      <c r="VGP67" s="170"/>
      <c r="VGQ67" s="170"/>
      <c r="VGR67" s="170"/>
      <c r="VGS67" s="170"/>
      <c r="VGT67" s="170"/>
      <c r="VGU67" s="170"/>
      <c r="VGV67" s="170"/>
      <c r="VGW67" s="170"/>
      <c r="VGX67" s="170"/>
      <c r="VGY67" s="170"/>
      <c r="VGZ67" s="170"/>
      <c r="VHA67" s="170"/>
      <c r="VHB67" s="170"/>
      <c r="VHC67" s="170"/>
      <c r="VHD67" s="170"/>
      <c r="VHE67" s="170"/>
      <c r="VHF67" s="170"/>
      <c r="VHG67" s="170"/>
      <c r="VHH67" s="170"/>
      <c r="VHI67" s="170"/>
      <c r="VHJ67" s="170"/>
      <c r="VHK67" s="170"/>
      <c r="VHL67" s="170"/>
      <c r="VHM67" s="170"/>
      <c r="VHN67" s="170"/>
      <c r="VHO67" s="170"/>
      <c r="VHP67" s="170"/>
      <c r="VHQ67" s="170"/>
      <c r="VHR67" s="170"/>
      <c r="VHS67" s="170"/>
      <c r="VHT67" s="170"/>
      <c r="VHU67" s="170"/>
      <c r="VHV67" s="170"/>
      <c r="VHW67" s="170"/>
      <c r="VHX67" s="170"/>
      <c r="VHY67" s="170"/>
      <c r="VHZ67" s="170"/>
      <c r="VIA67" s="170"/>
      <c r="VIB67" s="170"/>
      <c r="VIC67" s="170"/>
      <c r="VID67" s="170"/>
      <c r="VIE67" s="170"/>
      <c r="VIF67" s="170"/>
      <c r="VIG67" s="170"/>
      <c r="VIH67" s="170"/>
      <c r="VII67" s="170"/>
      <c r="VIJ67" s="170"/>
      <c r="VIK67" s="170"/>
      <c r="VIL67" s="170"/>
      <c r="VIM67" s="170"/>
      <c r="VIN67" s="170"/>
      <c r="VIO67" s="170"/>
      <c r="VIP67" s="170"/>
      <c r="VIQ67" s="170"/>
      <c r="VIR67" s="170"/>
      <c r="VIS67" s="170"/>
      <c r="VIT67" s="170"/>
      <c r="VIU67" s="170"/>
      <c r="VIV67" s="170"/>
      <c r="VIW67" s="170"/>
      <c r="VIX67" s="170"/>
      <c r="VIY67" s="170"/>
      <c r="VIZ67" s="170"/>
      <c r="VJA67" s="170"/>
      <c r="VJB67" s="170"/>
      <c r="VJC67" s="170"/>
      <c r="VJD67" s="170"/>
      <c r="VJE67" s="170"/>
      <c r="VJF67" s="170"/>
      <c r="VJG67" s="170"/>
      <c r="VJH67" s="170"/>
      <c r="VJI67" s="170"/>
      <c r="VJJ67" s="170"/>
      <c r="VJK67" s="170"/>
      <c r="VJL67" s="170"/>
      <c r="VJM67" s="170"/>
      <c r="VJN67" s="170"/>
      <c r="VJO67" s="170"/>
      <c r="VJP67" s="170"/>
      <c r="VJQ67" s="170"/>
      <c r="VJR67" s="170"/>
      <c r="VJS67" s="170"/>
      <c r="VJT67" s="170"/>
      <c r="VJU67" s="170"/>
      <c r="VJV67" s="170"/>
      <c r="VJW67" s="170"/>
      <c r="VJX67" s="170"/>
      <c r="VJY67" s="170"/>
      <c r="VJZ67" s="170"/>
      <c r="VKA67" s="170"/>
      <c r="VKB67" s="170"/>
      <c r="VKC67" s="170"/>
      <c r="VKD67" s="170"/>
      <c r="VKE67" s="170"/>
      <c r="VKF67" s="170"/>
      <c r="VKG67" s="170"/>
      <c r="VKH67" s="170"/>
      <c r="VKI67" s="170"/>
      <c r="VKJ67" s="170"/>
      <c r="VKK67" s="170"/>
      <c r="VKL67" s="170"/>
      <c r="VKM67" s="170"/>
      <c r="VKN67" s="170"/>
      <c r="VKO67" s="170"/>
      <c r="VKP67" s="170"/>
      <c r="VKQ67" s="170"/>
      <c r="VKR67" s="170"/>
      <c r="VKS67" s="170"/>
      <c r="VKT67" s="170"/>
      <c r="VKU67" s="170"/>
      <c r="VKV67" s="170"/>
      <c r="VKW67" s="170"/>
      <c r="VKX67" s="170"/>
      <c r="VKY67" s="170"/>
      <c r="VKZ67" s="170"/>
      <c r="VLA67" s="170"/>
      <c r="VLB67" s="170"/>
      <c r="VLC67" s="170"/>
      <c r="VLD67" s="170"/>
      <c r="VLE67" s="170"/>
      <c r="VLF67" s="170"/>
      <c r="VLG67" s="170"/>
      <c r="VLH67" s="170"/>
      <c r="VLI67" s="170"/>
      <c r="VLJ67" s="170"/>
      <c r="VLK67" s="170"/>
      <c r="VLL67" s="170"/>
      <c r="VLM67" s="170"/>
      <c r="VLN67" s="170"/>
      <c r="VLO67" s="170"/>
      <c r="VLP67" s="170"/>
      <c r="VLQ67" s="170"/>
      <c r="VLR67" s="170"/>
      <c r="VLS67" s="170"/>
      <c r="VLT67" s="170"/>
      <c r="VLU67" s="170"/>
      <c r="VLV67" s="170"/>
      <c r="VLW67" s="170"/>
      <c r="VLX67" s="170"/>
      <c r="VLY67" s="170"/>
      <c r="VLZ67" s="170"/>
      <c r="VMA67" s="170"/>
      <c r="VMB67" s="170"/>
      <c r="VMC67" s="170"/>
      <c r="VMD67" s="170"/>
      <c r="VME67" s="170"/>
      <c r="VMF67" s="170"/>
      <c r="VMG67" s="170"/>
      <c r="VMH67" s="170"/>
      <c r="VMI67" s="170"/>
      <c r="VMJ67" s="170"/>
      <c r="VMK67" s="170"/>
      <c r="VML67" s="170"/>
      <c r="VMM67" s="170"/>
      <c r="VMN67" s="170"/>
      <c r="VMO67" s="170"/>
      <c r="VMP67" s="170"/>
      <c r="VMQ67" s="170"/>
      <c r="VMR67" s="170"/>
      <c r="VMS67" s="170"/>
      <c r="VMT67" s="170"/>
      <c r="VMU67" s="170"/>
      <c r="VMV67" s="170"/>
      <c r="VMW67" s="170"/>
      <c r="VMX67" s="170"/>
      <c r="VMY67" s="170"/>
      <c r="VMZ67" s="170"/>
      <c r="VNA67" s="170"/>
      <c r="VNB67" s="170"/>
      <c r="VNC67" s="170"/>
      <c r="VND67" s="170"/>
      <c r="VNE67" s="170"/>
      <c r="VNF67" s="170"/>
      <c r="VNG67" s="170"/>
      <c r="VNH67" s="170"/>
      <c r="VNI67" s="170"/>
      <c r="VNJ67" s="170"/>
      <c r="VNK67" s="170"/>
      <c r="VNL67" s="170"/>
      <c r="VNM67" s="170"/>
      <c r="VNN67" s="170"/>
      <c r="VNO67" s="170"/>
      <c r="VNP67" s="170"/>
      <c r="VNQ67" s="170"/>
      <c r="VNR67" s="170"/>
      <c r="VNS67" s="170"/>
      <c r="VNT67" s="170"/>
      <c r="VNU67" s="170"/>
      <c r="VNV67" s="170"/>
      <c r="VNW67" s="170"/>
      <c r="VNX67" s="170"/>
      <c r="VNY67" s="170"/>
      <c r="VNZ67" s="170"/>
      <c r="VOA67" s="170"/>
      <c r="VOB67" s="170"/>
      <c r="VOC67" s="170"/>
      <c r="VOD67" s="170"/>
      <c r="VOE67" s="170"/>
      <c r="VOF67" s="170"/>
      <c r="VOG67" s="170"/>
      <c r="VOH67" s="170"/>
      <c r="VOI67" s="170"/>
      <c r="VOJ67" s="170"/>
      <c r="VOK67" s="170"/>
      <c r="VOL67" s="170"/>
      <c r="VOM67" s="170"/>
      <c r="VON67" s="170"/>
      <c r="VOO67" s="170"/>
      <c r="VOP67" s="170"/>
      <c r="VOQ67" s="170"/>
      <c r="VOR67" s="170"/>
      <c r="VOS67" s="170"/>
      <c r="VOT67" s="170"/>
      <c r="VOU67" s="170"/>
      <c r="VOV67" s="170"/>
      <c r="VOW67" s="170"/>
      <c r="VOX67" s="170"/>
      <c r="VOY67" s="170"/>
      <c r="VOZ67" s="170"/>
      <c r="VPA67" s="170"/>
      <c r="VPB67" s="170"/>
      <c r="VPC67" s="170"/>
      <c r="VPD67" s="170"/>
      <c r="VPE67" s="170"/>
      <c r="VPF67" s="170"/>
      <c r="VPG67" s="170"/>
      <c r="VPH67" s="170"/>
      <c r="VPI67" s="170"/>
      <c r="VPJ67" s="170"/>
      <c r="VPK67" s="170"/>
      <c r="VPL67" s="170"/>
      <c r="VPM67" s="170"/>
      <c r="VPN67" s="170"/>
      <c r="VPO67" s="170"/>
      <c r="VPP67" s="170"/>
      <c r="VPQ67" s="170"/>
      <c r="VPR67" s="170"/>
      <c r="VPS67" s="170"/>
      <c r="VPT67" s="170"/>
      <c r="VPU67" s="170"/>
      <c r="VPV67" s="170"/>
      <c r="VPW67" s="170"/>
      <c r="VPX67" s="170"/>
      <c r="VPY67" s="170"/>
      <c r="VPZ67" s="170"/>
      <c r="VQA67" s="170"/>
      <c r="VQB67" s="170"/>
      <c r="VQC67" s="170"/>
      <c r="VQD67" s="170"/>
      <c r="VQE67" s="170"/>
      <c r="VQF67" s="170"/>
      <c r="VQG67" s="170"/>
      <c r="VQH67" s="170"/>
      <c r="VQI67" s="170"/>
      <c r="VQJ67" s="170"/>
      <c r="VQK67" s="170"/>
      <c r="VQL67" s="170"/>
      <c r="VQM67" s="170"/>
      <c r="VQN67" s="170"/>
      <c r="VQO67" s="170"/>
      <c r="VQP67" s="170"/>
      <c r="VQQ67" s="170"/>
      <c r="VQR67" s="170"/>
      <c r="VQS67" s="170"/>
      <c r="VQT67" s="170"/>
      <c r="VQU67" s="170"/>
      <c r="VQV67" s="170"/>
      <c r="VQW67" s="170"/>
      <c r="VQX67" s="170"/>
      <c r="VQY67" s="170"/>
      <c r="VQZ67" s="170"/>
      <c r="VRA67" s="170"/>
      <c r="VRB67" s="170"/>
      <c r="VRC67" s="170"/>
      <c r="VRD67" s="170"/>
      <c r="VRE67" s="170"/>
      <c r="VRF67" s="170"/>
      <c r="VRG67" s="170"/>
      <c r="VRH67" s="170"/>
      <c r="VRI67" s="170"/>
      <c r="VRJ67" s="170"/>
      <c r="VRK67" s="170"/>
      <c r="VRL67" s="170"/>
      <c r="VRM67" s="170"/>
      <c r="VRN67" s="170"/>
      <c r="VRO67" s="170"/>
      <c r="VRP67" s="170"/>
      <c r="VRQ67" s="170"/>
      <c r="VRR67" s="170"/>
      <c r="VRS67" s="170"/>
      <c r="VRT67" s="170"/>
      <c r="VRU67" s="170"/>
      <c r="VRV67" s="170"/>
      <c r="VRW67" s="170"/>
      <c r="VRX67" s="170"/>
      <c r="VRY67" s="170"/>
      <c r="VRZ67" s="170"/>
      <c r="VSA67" s="170"/>
      <c r="VSB67" s="170"/>
      <c r="VSC67" s="170"/>
      <c r="VSD67" s="170"/>
      <c r="VSE67" s="170"/>
      <c r="VSF67" s="170"/>
      <c r="VSG67" s="170"/>
      <c r="VSH67" s="170"/>
      <c r="VSI67" s="170"/>
      <c r="VSJ67" s="170"/>
      <c r="VSK67" s="170"/>
      <c r="VSL67" s="170"/>
      <c r="VSM67" s="170"/>
      <c r="VSN67" s="170"/>
      <c r="VSO67" s="170"/>
      <c r="VSP67" s="170"/>
      <c r="VSQ67" s="170"/>
      <c r="VSR67" s="170"/>
      <c r="VSS67" s="170"/>
      <c r="VST67" s="170"/>
      <c r="VSU67" s="170"/>
      <c r="VSV67" s="170"/>
      <c r="VSW67" s="170"/>
      <c r="VSX67" s="170"/>
      <c r="VSY67" s="170"/>
      <c r="VSZ67" s="170"/>
      <c r="VTA67" s="170"/>
      <c r="VTB67" s="170"/>
      <c r="VTC67" s="170"/>
      <c r="VTD67" s="170"/>
      <c r="VTE67" s="170"/>
      <c r="VTF67" s="170"/>
      <c r="VTG67" s="170"/>
      <c r="VTH67" s="170"/>
      <c r="VTI67" s="170"/>
      <c r="VTJ67" s="170"/>
      <c r="VTK67" s="170"/>
      <c r="VTL67" s="170"/>
      <c r="VTM67" s="170"/>
      <c r="VTN67" s="170"/>
      <c r="VTO67" s="170"/>
      <c r="VTP67" s="170"/>
      <c r="VTQ67" s="170"/>
      <c r="VTR67" s="170"/>
      <c r="VTS67" s="170"/>
      <c r="VTT67" s="170"/>
      <c r="VTU67" s="170"/>
      <c r="VTV67" s="170"/>
      <c r="VTW67" s="170"/>
      <c r="VTX67" s="170"/>
      <c r="VTY67" s="170"/>
      <c r="VTZ67" s="170"/>
      <c r="VUA67" s="170"/>
      <c r="VUB67" s="170"/>
      <c r="VUC67" s="170"/>
      <c r="VUD67" s="170"/>
      <c r="VUE67" s="170"/>
      <c r="VUF67" s="170"/>
      <c r="VUG67" s="170"/>
      <c r="VUH67" s="170"/>
      <c r="VUI67" s="170"/>
      <c r="VUJ67" s="170"/>
      <c r="VUK67" s="170"/>
      <c r="VUL67" s="170"/>
      <c r="VUM67" s="170"/>
      <c r="VUN67" s="170"/>
      <c r="VUO67" s="170"/>
      <c r="VUP67" s="170"/>
      <c r="VUQ67" s="170"/>
      <c r="VUR67" s="170"/>
      <c r="VUS67" s="170"/>
      <c r="VUT67" s="170"/>
      <c r="VUU67" s="170"/>
      <c r="VUV67" s="170"/>
      <c r="VUW67" s="170"/>
      <c r="VUX67" s="170"/>
      <c r="VUY67" s="170"/>
      <c r="VUZ67" s="170"/>
      <c r="VVA67" s="170"/>
      <c r="VVB67" s="170"/>
      <c r="VVC67" s="170"/>
      <c r="VVD67" s="170"/>
      <c r="VVE67" s="170"/>
      <c r="VVF67" s="170"/>
      <c r="VVG67" s="170"/>
      <c r="VVH67" s="170"/>
      <c r="VVI67" s="170"/>
      <c r="VVJ67" s="170"/>
      <c r="VVK67" s="170"/>
      <c r="VVL67" s="170"/>
      <c r="VVM67" s="170"/>
      <c r="VVN67" s="170"/>
      <c r="VVO67" s="170"/>
      <c r="VVP67" s="170"/>
      <c r="VVQ67" s="170"/>
      <c r="VVR67" s="170"/>
      <c r="VVS67" s="170"/>
      <c r="VVT67" s="170"/>
      <c r="VVU67" s="170"/>
      <c r="VVV67" s="170"/>
      <c r="VVW67" s="170"/>
      <c r="VVX67" s="170"/>
      <c r="VVY67" s="170"/>
      <c r="VVZ67" s="170"/>
      <c r="VWA67" s="170"/>
      <c r="VWB67" s="170"/>
      <c r="VWC67" s="170"/>
      <c r="VWD67" s="170"/>
      <c r="VWE67" s="170"/>
      <c r="VWF67" s="170"/>
      <c r="VWG67" s="170"/>
      <c r="VWH67" s="170"/>
      <c r="VWI67" s="170"/>
      <c r="VWJ67" s="170"/>
      <c r="VWK67" s="170"/>
      <c r="VWL67" s="170"/>
      <c r="VWM67" s="170"/>
      <c r="VWN67" s="170"/>
      <c r="VWO67" s="170"/>
      <c r="VWP67" s="170"/>
      <c r="VWQ67" s="170"/>
      <c r="VWR67" s="170"/>
      <c r="VWS67" s="170"/>
      <c r="VWT67" s="170"/>
      <c r="VWU67" s="170"/>
      <c r="VWV67" s="170"/>
      <c r="VWW67" s="170"/>
      <c r="VWX67" s="170"/>
      <c r="VWY67" s="170"/>
      <c r="VWZ67" s="170"/>
      <c r="VXA67" s="170"/>
      <c r="VXB67" s="170"/>
      <c r="VXC67" s="170"/>
      <c r="VXD67" s="170"/>
      <c r="VXE67" s="170"/>
      <c r="VXF67" s="170"/>
      <c r="VXG67" s="170"/>
      <c r="VXH67" s="170"/>
      <c r="VXI67" s="170"/>
      <c r="VXJ67" s="170"/>
      <c r="VXK67" s="170"/>
      <c r="VXL67" s="170"/>
      <c r="VXM67" s="170"/>
      <c r="VXN67" s="170"/>
      <c r="VXO67" s="170"/>
      <c r="VXP67" s="170"/>
      <c r="VXQ67" s="170"/>
      <c r="VXR67" s="170"/>
      <c r="VXS67" s="170"/>
      <c r="VXT67" s="170"/>
      <c r="VXU67" s="170"/>
      <c r="VXV67" s="170"/>
      <c r="VXW67" s="170"/>
      <c r="VXX67" s="170"/>
      <c r="VXY67" s="170"/>
      <c r="VXZ67" s="170"/>
      <c r="VYA67" s="170"/>
      <c r="VYB67" s="170"/>
      <c r="VYC67" s="170"/>
      <c r="VYD67" s="170"/>
      <c r="VYE67" s="170"/>
      <c r="VYF67" s="170"/>
      <c r="VYG67" s="170"/>
      <c r="VYH67" s="170"/>
      <c r="VYI67" s="170"/>
      <c r="VYJ67" s="170"/>
      <c r="VYK67" s="170"/>
      <c r="VYL67" s="170"/>
      <c r="VYM67" s="170"/>
      <c r="VYN67" s="170"/>
      <c r="VYO67" s="170"/>
      <c r="VYP67" s="170"/>
      <c r="VYQ67" s="170"/>
      <c r="VYR67" s="170"/>
      <c r="VYS67" s="170"/>
      <c r="VYT67" s="170"/>
      <c r="VYU67" s="170"/>
      <c r="VYV67" s="170"/>
      <c r="VYW67" s="170"/>
      <c r="VYX67" s="170"/>
      <c r="VYY67" s="170"/>
      <c r="VYZ67" s="170"/>
      <c r="VZA67" s="170"/>
      <c r="VZB67" s="170"/>
      <c r="VZC67" s="170"/>
      <c r="VZD67" s="170"/>
      <c r="VZE67" s="170"/>
      <c r="VZF67" s="170"/>
      <c r="VZG67" s="170"/>
      <c r="VZH67" s="170"/>
      <c r="VZI67" s="170"/>
      <c r="VZJ67" s="170"/>
      <c r="VZK67" s="170"/>
      <c r="VZL67" s="170"/>
      <c r="VZM67" s="170"/>
      <c r="VZN67" s="170"/>
      <c r="VZO67" s="170"/>
      <c r="VZP67" s="170"/>
      <c r="VZQ67" s="170"/>
      <c r="VZR67" s="170"/>
      <c r="VZS67" s="170"/>
      <c r="VZT67" s="170"/>
      <c r="VZU67" s="170"/>
      <c r="VZV67" s="170"/>
      <c r="VZW67" s="170"/>
      <c r="VZX67" s="170"/>
      <c r="VZY67" s="170"/>
      <c r="VZZ67" s="170"/>
      <c r="WAA67" s="170"/>
      <c r="WAB67" s="170"/>
      <c r="WAC67" s="170"/>
      <c r="WAD67" s="170"/>
      <c r="WAE67" s="170"/>
      <c r="WAF67" s="170"/>
      <c r="WAG67" s="170"/>
      <c r="WAH67" s="170"/>
      <c r="WAI67" s="170"/>
      <c r="WAJ67" s="170"/>
      <c r="WAK67" s="170"/>
      <c r="WAL67" s="170"/>
      <c r="WAM67" s="170"/>
      <c r="WAN67" s="170"/>
      <c r="WAO67" s="170"/>
      <c r="WAP67" s="170"/>
      <c r="WAQ67" s="170"/>
      <c r="WAR67" s="170"/>
      <c r="WAS67" s="170"/>
      <c r="WAT67" s="170"/>
      <c r="WAU67" s="170"/>
      <c r="WAV67" s="170"/>
      <c r="WAW67" s="170"/>
      <c r="WAX67" s="170"/>
      <c r="WAY67" s="170"/>
      <c r="WAZ67" s="170"/>
      <c r="WBA67" s="170"/>
      <c r="WBB67" s="170"/>
      <c r="WBC67" s="170"/>
      <c r="WBD67" s="170"/>
      <c r="WBE67" s="170"/>
      <c r="WBF67" s="170"/>
      <c r="WBG67" s="170"/>
      <c r="WBH67" s="170"/>
      <c r="WBI67" s="170"/>
      <c r="WBJ67" s="170"/>
      <c r="WBK67" s="170"/>
      <c r="WBL67" s="170"/>
      <c r="WBM67" s="170"/>
      <c r="WBN67" s="170"/>
      <c r="WBO67" s="170"/>
      <c r="WBP67" s="170"/>
      <c r="WBQ67" s="170"/>
      <c r="WBR67" s="170"/>
      <c r="WBS67" s="170"/>
      <c r="WBT67" s="170"/>
      <c r="WBU67" s="170"/>
      <c r="WBV67" s="170"/>
      <c r="WBW67" s="170"/>
      <c r="WBX67" s="170"/>
      <c r="WBY67" s="170"/>
      <c r="WBZ67" s="170"/>
      <c r="WCA67" s="170"/>
      <c r="WCB67" s="170"/>
      <c r="WCC67" s="170"/>
      <c r="WCD67" s="170"/>
      <c r="WCE67" s="170"/>
      <c r="WCF67" s="170"/>
      <c r="WCG67" s="170"/>
      <c r="WCH67" s="170"/>
      <c r="WCI67" s="170"/>
      <c r="WCJ67" s="170"/>
      <c r="WCK67" s="170"/>
      <c r="WCL67" s="170"/>
      <c r="WCM67" s="170"/>
      <c r="WCN67" s="170"/>
      <c r="WCO67" s="170"/>
      <c r="WCP67" s="170"/>
      <c r="WCQ67" s="170"/>
      <c r="WCR67" s="170"/>
      <c r="WCS67" s="170"/>
      <c r="WCT67" s="170"/>
      <c r="WCU67" s="170"/>
      <c r="WCV67" s="170"/>
      <c r="WCW67" s="170"/>
      <c r="WCX67" s="170"/>
      <c r="WCY67" s="170"/>
      <c r="WCZ67" s="170"/>
      <c r="WDA67" s="170"/>
      <c r="WDB67" s="170"/>
      <c r="WDC67" s="170"/>
      <c r="WDD67" s="170"/>
      <c r="WDE67" s="170"/>
      <c r="WDF67" s="170"/>
      <c r="WDG67" s="170"/>
      <c r="WDH67" s="170"/>
      <c r="WDI67" s="170"/>
      <c r="WDJ67" s="170"/>
      <c r="WDK67" s="170"/>
      <c r="WDL67" s="170"/>
      <c r="WDM67" s="170"/>
      <c r="WDN67" s="170"/>
      <c r="WDO67" s="170"/>
      <c r="WDP67" s="170"/>
      <c r="WDQ67" s="170"/>
      <c r="WDR67" s="170"/>
      <c r="WDS67" s="170"/>
      <c r="WDT67" s="170"/>
      <c r="WDU67" s="170"/>
      <c r="WDV67" s="170"/>
      <c r="WDW67" s="170"/>
      <c r="WDX67" s="170"/>
      <c r="WDY67" s="170"/>
      <c r="WDZ67" s="170"/>
      <c r="WEA67" s="170"/>
      <c r="WEB67" s="170"/>
      <c r="WEC67" s="170"/>
      <c r="WED67" s="170"/>
      <c r="WEE67" s="170"/>
      <c r="WEF67" s="170"/>
      <c r="WEG67" s="170"/>
      <c r="WEH67" s="170"/>
      <c r="WEI67" s="170"/>
      <c r="WEJ67" s="170"/>
      <c r="WEK67" s="170"/>
      <c r="WEL67" s="170"/>
      <c r="WEM67" s="170"/>
      <c r="WEN67" s="170"/>
      <c r="WEO67" s="170"/>
      <c r="WEP67" s="170"/>
      <c r="WEQ67" s="170"/>
      <c r="WER67" s="170"/>
      <c r="WES67" s="170"/>
      <c r="WET67" s="170"/>
      <c r="WEU67" s="170"/>
      <c r="WEV67" s="170"/>
      <c r="WEW67" s="170"/>
      <c r="WEX67" s="170"/>
      <c r="WEY67" s="170"/>
      <c r="WEZ67" s="170"/>
      <c r="WFA67" s="170"/>
      <c r="WFB67" s="170"/>
      <c r="WFC67" s="170"/>
      <c r="WFD67" s="170"/>
      <c r="WFE67" s="170"/>
      <c r="WFF67" s="170"/>
      <c r="WFG67" s="170"/>
      <c r="WFH67" s="170"/>
      <c r="WFI67" s="170"/>
      <c r="WFJ67" s="170"/>
      <c r="WFK67" s="170"/>
      <c r="WFL67" s="170"/>
      <c r="WFM67" s="170"/>
      <c r="WFN67" s="170"/>
      <c r="WFO67" s="170"/>
      <c r="WFP67" s="170"/>
      <c r="WFQ67" s="170"/>
      <c r="WFR67" s="170"/>
      <c r="WFS67" s="170"/>
      <c r="WFT67" s="170"/>
      <c r="WFU67" s="170"/>
      <c r="WFV67" s="170"/>
      <c r="WFW67" s="170"/>
      <c r="WFX67" s="170"/>
      <c r="WFY67" s="170"/>
      <c r="WFZ67" s="170"/>
      <c r="WGA67" s="170"/>
      <c r="WGB67" s="170"/>
      <c r="WGC67" s="170"/>
      <c r="WGD67" s="170"/>
      <c r="WGE67" s="170"/>
      <c r="WGF67" s="170"/>
      <c r="WGG67" s="170"/>
      <c r="WGH67" s="170"/>
      <c r="WGI67" s="170"/>
      <c r="WGJ67" s="170"/>
      <c r="WGK67" s="170"/>
      <c r="WGL67" s="170"/>
      <c r="WGM67" s="170"/>
      <c r="WGN67" s="170"/>
      <c r="WGO67" s="170"/>
      <c r="WGP67" s="170"/>
      <c r="WGQ67" s="170"/>
      <c r="WGR67" s="170"/>
      <c r="WGS67" s="170"/>
      <c r="WGT67" s="170"/>
      <c r="WGU67" s="170"/>
      <c r="WGV67" s="170"/>
      <c r="WGW67" s="170"/>
      <c r="WGX67" s="170"/>
      <c r="WGY67" s="170"/>
      <c r="WGZ67" s="170"/>
      <c r="WHA67" s="170"/>
      <c r="WHB67" s="170"/>
      <c r="WHC67" s="170"/>
      <c r="WHD67" s="170"/>
      <c r="WHE67" s="170"/>
      <c r="WHF67" s="170"/>
      <c r="WHG67" s="170"/>
      <c r="WHH67" s="170"/>
      <c r="WHI67" s="170"/>
      <c r="WHJ67" s="170"/>
      <c r="WHK67" s="170"/>
      <c r="WHL67" s="170"/>
      <c r="WHM67" s="170"/>
      <c r="WHN67" s="170"/>
      <c r="WHO67" s="170"/>
      <c r="WHP67" s="170"/>
      <c r="WHQ67" s="170"/>
      <c r="WHR67" s="170"/>
      <c r="WHS67" s="170"/>
      <c r="WHT67" s="170"/>
      <c r="WHU67" s="170"/>
      <c r="WHV67" s="170"/>
      <c r="WHW67" s="170"/>
      <c r="WHX67" s="170"/>
      <c r="WHY67" s="170"/>
      <c r="WHZ67" s="170"/>
      <c r="WIA67" s="170"/>
      <c r="WIB67" s="170"/>
      <c r="WIC67" s="170"/>
      <c r="WID67" s="170"/>
      <c r="WIE67" s="170"/>
      <c r="WIF67" s="170"/>
      <c r="WIG67" s="170"/>
      <c r="WIH67" s="170"/>
      <c r="WII67" s="170"/>
      <c r="WIJ67" s="170"/>
      <c r="WIK67" s="170"/>
      <c r="WIL67" s="170"/>
      <c r="WIM67" s="170"/>
      <c r="WIN67" s="170"/>
      <c r="WIO67" s="170"/>
      <c r="WIP67" s="170"/>
      <c r="WIQ67" s="170"/>
      <c r="WIR67" s="170"/>
      <c r="WIS67" s="170"/>
      <c r="WIT67" s="170"/>
      <c r="WIU67" s="170"/>
      <c r="WIV67" s="170"/>
      <c r="WIW67" s="170"/>
      <c r="WIX67" s="170"/>
      <c r="WIY67" s="170"/>
      <c r="WIZ67" s="170"/>
      <c r="WJA67" s="170"/>
      <c r="WJB67" s="170"/>
      <c r="WJC67" s="170"/>
      <c r="WJD67" s="170"/>
      <c r="WJE67" s="170"/>
      <c r="WJF67" s="170"/>
      <c r="WJG67" s="170"/>
      <c r="WJH67" s="170"/>
      <c r="WJI67" s="170"/>
      <c r="WJJ67" s="170"/>
      <c r="WJK67" s="170"/>
      <c r="WJL67" s="170"/>
      <c r="WJM67" s="170"/>
      <c r="WJN67" s="170"/>
      <c r="WJO67" s="170"/>
      <c r="WJP67" s="170"/>
      <c r="WJQ67" s="170"/>
      <c r="WJR67" s="170"/>
      <c r="WJS67" s="170"/>
      <c r="WJT67" s="170"/>
      <c r="WJU67" s="170"/>
      <c r="WJV67" s="170"/>
      <c r="WJW67" s="170"/>
      <c r="WJX67" s="170"/>
      <c r="WJY67" s="170"/>
      <c r="WJZ67" s="170"/>
      <c r="WKA67" s="170"/>
      <c r="WKB67" s="170"/>
      <c r="WKC67" s="170"/>
      <c r="WKD67" s="170"/>
      <c r="WKE67" s="170"/>
      <c r="WKF67" s="170"/>
      <c r="WKG67" s="170"/>
      <c r="WKH67" s="170"/>
      <c r="WKI67" s="170"/>
      <c r="WKJ67" s="170"/>
      <c r="WKK67" s="170"/>
      <c r="WKL67" s="170"/>
      <c r="WKM67" s="170"/>
      <c r="WKN67" s="170"/>
      <c r="WKO67" s="170"/>
      <c r="WKP67" s="170"/>
      <c r="WKQ67" s="170"/>
      <c r="WKR67" s="170"/>
      <c r="WKS67" s="170"/>
      <c r="WKT67" s="170"/>
      <c r="WKU67" s="170"/>
      <c r="WKV67" s="170"/>
      <c r="WKW67" s="170"/>
      <c r="WKX67" s="170"/>
      <c r="WKY67" s="170"/>
      <c r="WKZ67" s="170"/>
      <c r="WLA67" s="170"/>
      <c r="WLB67" s="170"/>
      <c r="WLC67" s="170"/>
      <c r="WLD67" s="170"/>
      <c r="WLE67" s="170"/>
      <c r="WLF67" s="170"/>
      <c r="WLG67" s="170"/>
      <c r="WLH67" s="170"/>
      <c r="WLI67" s="170"/>
      <c r="WLJ67" s="170"/>
      <c r="WLK67" s="170"/>
      <c r="WLL67" s="170"/>
      <c r="WLM67" s="170"/>
      <c r="WLN67" s="170"/>
      <c r="WLO67" s="170"/>
      <c r="WLP67" s="170"/>
      <c r="WLQ67" s="170"/>
      <c r="WLR67" s="170"/>
      <c r="WLS67" s="170"/>
      <c r="WLT67" s="170"/>
      <c r="WLU67" s="170"/>
      <c r="WLV67" s="170"/>
      <c r="WLW67" s="170"/>
      <c r="WLX67" s="170"/>
      <c r="WLY67" s="170"/>
      <c r="WLZ67" s="170"/>
      <c r="WMA67" s="170"/>
      <c r="WMB67" s="170"/>
      <c r="WMC67" s="170"/>
      <c r="WMD67" s="170"/>
      <c r="WME67" s="170"/>
      <c r="WMF67" s="170"/>
      <c r="WMG67" s="170"/>
      <c r="WMH67" s="170"/>
      <c r="WMI67" s="170"/>
      <c r="WMJ67" s="170"/>
      <c r="WMK67" s="170"/>
      <c r="WML67" s="170"/>
      <c r="WMM67" s="170"/>
      <c r="WMN67" s="170"/>
      <c r="WMO67" s="170"/>
      <c r="WMP67" s="170"/>
      <c r="WMQ67" s="170"/>
      <c r="WMR67" s="170"/>
      <c r="WMS67" s="170"/>
      <c r="WMT67" s="170"/>
      <c r="WMU67" s="170"/>
      <c r="WMV67" s="170"/>
      <c r="WMW67" s="170"/>
      <c r="WMX67" s="170"/>
      <c r="WMY67" s="170"/>
      <c r="WMZ67" s="170"/>
      <c r="WNA67" s="170"/>
      <c r="WNB67" s="170"/>
      <c r="WNC67" s="170"/>
      <c r="WND67" s="170"/>
      <c r="WNE67" s="170"/>
      <c r="WNF67" s="170"/>
      <c r="WNG67" s="170"/>
      <c r="WNH67" s="170"/>
      <c r="WNI67" s="170"/>
      <c r="WNJ67" s="170"/>
      <c r="WNK67" s="170"/>
      <c r="WNL67" s="170"/>
      <c r="WNM67" s="170"/>
      <c r="WNN67" s="170"/>
      <c r="WNO67" s="170"/>
      <c r="WNP67" s="170"/>
      <c r="WNQ67" s="170"/>
      <c r="WNR67" s="170"/>
      <c r="WNS67" s="170"/>
      <c r="WNT67" s="170"/>
      <c r="WNU67" s="170"/>
      <c r="WNV67" s="170"/>
      <c r="WNW67" s="170"/>
      <c r="WNX67" s="170"/>
      <c r="WNY67" s="170"/>
      <c r="WNZ67" s="170"/>
      <c r="WOA67" s="170"/>
      <c r="WOB67" s="170"/>
      <c r="WOC67" s="170"/>
      <c r="WOD67" s="170"/>
      <c r="WOE67" s="170"/>
      <c r="WOF67" s="170"/>
      <c r="WOG67" s="170"/>
      <c r="WOH67" s="170"/>
      <c r="WOI67" s="170"/>
      <c r="WOJ67" s="170"/>
      <c r="WOK67" s="170"/>
      <c r="WOL67" s="170"/>
      <c r="WOM67" s="170"/>
      <c r="WON67" s="170"/>
      <c r="WOO67" s="170"/>
      <c r="WOP67" s="170"/>
      <c r="WOQ67" s="170"/>
      <c r="WOR67" s="170"/>
      <c r="WOS67" s="170"/>
      <c r="WOT67" s="170"/>
      <c r="WOU67" s="170"/>
      <c r="WOV67" s="170"/>
      <c r="WOW67" s="170"/>
      <c r="WOX67" s="170"/>
      <c r="WOY67" s="170"/>
      <c r="WOZ67" s="170"/>
      <c r="WPA67" s="170"/>
      <c r="WPB67" s="170"/>
      <c r="WPC67" s="170"/>
      <c r="WPD67" s="170"/>
      <c r="WPE67" s="170"/>
      <c r="WPF67" s="170"/>
      <c r="WPG67" s="170"/>
      <c r="WPH67" s="170"/>
      <c r="WPI67" s="170"/>
      <c r="WPJ67" s="170"/>
      <c r="WPK67" s="170"/>
      <c r="WPL67" s="170"/>
      <c r="WPM67" s="170"/>
      <c r="WPN67" s="170"/>
      <c r="WPO67" s="170"/>
      <c r="WPP67" s="170"/>
      <c r="WPQ67" s="170"/>
      <c r="WPR67" s="170"/>
      <c r="WPS67" s="170"/>
      <c r="WPT67" s="170"/>
      <c r="WPU67" s="170"/>
      <c r="WPV67" s="170"/>
      <c r="WPW67" s="170"/>
      <c r="WPX67" s="170"/>
      <c r="WPY67" s="170"/>
      <c r="WPZ67" s="170"/>
      <c r="WQA67" s="170"/>
      <c r="WQB67" s="170"/>
      <c r="WQC67" s="170"/>
      <c r="WQD67" s="170"/>
      <c r="WQE67" s="170"/>
      <c r="WQF67" s="170"/>
      <c r="WQG67" s="170"/>
      <c r="WQH67" s="170"/>
      <c r="WQI67" s="170"/>
      <c r="WQJ67" s="170"/>
      <c r="WQK67" s="170"/>
      <c r="WQL67" s="170"/>
      <c r="WQM67" s="170"/>
      <c r="WQN67" s="170"/>
      <c r="WQO67" s="170"/>
      <c r="WQP67" s="170"/>
      <c r="WQQ67" s="170"/>
      <c r="WQR67" s="170"/>
      <c r="WQS67" s="170"/>
      <c r="WQT67" s="170"/>
      <c r="WQU67" s="170"/>
      <c r="WQV67" s="170"/>
      <c r="WQW67" s="170"/>
      <c r="WQX67" s="170"/>
      <c r="WQY67" s="170"/>
      <c r="WQZ67" s="170"/>
      <c r="WRA67" s="170"/>
      <c r="WRB67" s="170"/>
      <c r="WRC67" s="170"/>
      <c r="WRD67" s="170"/>
      <c r="WRE67" s="170"/>
      <c r="WRF67" s="170"/>
      <c r="WRG67" s="170"/>
      <c r="WRH67" s="170"/>
      <c r="WRI67" s="170"/>
      <c r="WRJ67" s="170"/>
      <c r="WRK67" s="170"/>
      <c r="WRL67" s="170"/>
      <c r="WRM67" s="170"/>
      <c r="WRN67" s="170"/>
      <c r="WRO67" s="170"/>
      <c r="WRP67" s="170"/>
      <c r="WRQ67" s="170"/>
      <c r="WRR67" s="170"/>
      <c r="WRS67" s="170"/>
      <c r="WRT67" s="170"/>
      <c r="WRU67" s="170"/>
      <c r="WRV67" s="170"/>
      <c r="WRW67" s="170"/>
      <c r="WRX67" s="170"/>
      <c r="WRY67" s="170"/>
      <c r="WRZ67" s="170"/>
      <c r="WSA67" s="170"/>
      <c r="WSB67" s="170"/>
      <c r="WSC67" s="170"/>
      <c r="WSD67" s="170"/>
      <c r="WSE67" s="170"/>
      <c r="WSF67" s="170"/>
      <c r="WSG67" s="170"/>
      <c r="WSH67" s="170"/>
      <c r="WSI67" s="170"/>
      <c r="WSJ67" s="170"/>
      <c r="WSK67" s="170"/>
      <c r="WSL67" s="170"/>
      <c r="WSM67" s="170"/>
      <c r="WSN67" s="170"/>
      <c r="WSO67" s="170"/>
      <c r="WSP67" s="170"/>
      <c r="WSQ67" s="170"/>
      <c r="WSR67" s="170"/>
      <c r="WSS67" s="170"/>
      <c r="WST67" s="170"/>
      <c r="WSU67" s="170"/>
      <c r="WSV67" s="170"/>
      <c r="WSW67" s="170"/>
      <c r="WSX67" s="170"/>
      <c r="WSY67" s="170"/>
      <c r="WSZ67" s="170"/>
      <c r="WTA67" s="170"/>
      <c r="WTB67" s="170"/>
      <c r="WTC67" s="170"/>
      <c r="WTD67" s="170"/>
      <c r="WTE67" s="170"/>
      <c r="WTF67" s="170"/>
      <c r="WTG67" s="170"/>
      <c r="WTH67" s="170"/>
      <c r="WTI67" s="170"/>
      <c r="WTJ67" s="170"/>
      <c r="WTK67" s="170"/>
      <c r="WTL67" s="170"/>
      <c r="WTM67" s="170"/>
      <c r="WTN67" s="170"/>
      <c r="WTO67" s="170"/>
      <c r="WTP67" s="170"/>
      <c r="WTQ67" s="170"/>
      <c r="WTR67" s="170"/>
      <c r="WTS67" s="170"/>
      <c r="WTT67" s="170"/>
      <c r="WTU67" s="170"/>
      <c r="WTV67" s="170"/>
      <c r="WTW67" s="170"/>
      <c r="WTX67" s="170"/>
      <c r="WTY67" s="170"/>
      <c r="WTZ67" s="170"/>
      <c r="WUA67" s="170"/>
      <c r="WUB67" s="170"/>
      <c r="WUC67" s="170"/>
      <c r="WUD67" s="170"/>
      <c r="WUE67" s="170"/>
      <c r="WUF67" s="170"/>
      <c r="WUG67" s="170"/>
      <c r="WUH67" s="170"/>
      <c r="WUI67" s="170"/>
      <c r="WUJ67" s="170"/>
      <c r="WUK67" s="170"/>
      <c r="WUL67" s="170"/>
      <c r="WUM67" s="170"/>
      <c r="WUN67" s="170"/>
      <c r="WUO67" s="170"/>
      <c r="WUP67" s="170"/>
      <c r="WUQ67" s="170"/>
      <c r="WUR67" s="170"/>
      <c r="WUS67" s="170"/>
      <c r="WUT67" s="170"/>
      <c r="WUU67" s="170"/>
      <c r="WUV67" s="170"/>
      <c r="WUW67" s="170"/>
      <c r="WUX67" s="170"/>
      <c r="WUY67" s="170"/>
      <c r="WUZ67" s="170"/>
      <c r="WVA67" s="170"/>
      <c r="WVB67" s="170"/>
      <c r="WVC67" s="170"/>
      <c r="WVD67" s="170"/>
      <c r="WVE67" s="170"/>
      <c r="WVF67" s="170"/>
      <c r="WVG67" s="170"/>
      <c r="WVH67" s="170"/>
      <c r="WVI67" s="170"/>
      <c r="WVJ67" s="170"/>
      <c r="WVK67" s="170"/>
      <c r="WVL67" s="170"/>
      <c r="WVM67" s="170"/>
      <c r="WVN67" s="170"/>
      <c r="WVO67" s="170"/>
      <c r="WVP67" s="170"/>
      <c r="WVQ67" s="170"/>
      <c r="WVR67" s="170"/>
      <c r="WVS67" s="170"/>
      <c r="WVT67" s="170"/>
      <c r="WVU67" s="170"/>
      <c r="WVV67" s="170"/>
      <c r="WVW67" s="170"/>
      <c r="WVX67" s="170"/>
      <c r="WVY67" s="170"/>
      <c r="WVZ67" s="170"/>
      <c r="WWA67" s="170"/>
      <c r="WWB67" s="170"/>
      <c r="WWC67" s="170"/>
      <c r="WWD67" s="170"/>
      <c r="WWE67" s="170"/>
      <c r="WWF67" s="170"/>
      <c r="WWG67" s="170"/>
      <c r="WWH67" s="170"/>
      <c r="WWI67" s="170"/>
      <c r="WWJ67" s="170"/>
      <c r="WWK67" s="170"/>
      <c r="WWL67" s="170"/>
      <c r="WWM67" s="170"/>
      <c r="WWN67" s="170"/>
      <c r="WWO67" s="170"/>
      <c r="WWP67" s="170"/>
      <c r="WWQ67" s="170"/>
      <c r="WWR67" s="170"/>
      <c r="WWS67" s="170"/>
      <c r="WWT67" s="170"/>
      <c r="WWU67" s="170"/>
      <c r="WWV67" s="170"/>
      <c r="WWW67" s="170"/>
      <c r="WWX67" s="170"/>
      <c r="WWY67" s="170"/>
      <c r="WWZ67" s="170"/>
      <c r="WXA67" s="170"/>
      <c r="WXB67" s="170"/>
      <c r="WXC67" s="170"/>
      <c r="WXD67" s="170"/>
      <c r="WXE67" s="170"/>
      <c r="WXF67" s="170"/>
      <c r="WXG67" s="170"/>
      <c r="WXH67" s="170"/>
      <c r="WXI67" s="170"/>
      <c r="WXJ67" s="170"/>
      <c r="WXK67" s="170"/>
      <c r="WXL67" s="170"/>
      <c r="WXM67" s="170"/>
      <c r="WXN67" s="170"/>
      <c r="WXO67" s="170"/>
      <c r="WXP67" s="170"/>
      <c r="WXQ67" s="170"/>
      <c r="WXR67" s="170"/>
      <c r="WXS67" s="170"/>
      <c r="WXT67" s="170"/>
      <c r="WXU67" s="170"/>
      <c r="WXV67" s="170"/>
      <c r="WXW67" s="170"/>
      <c r="WXX67" s="170"/>
      <c r="WXY67" s="170"/>
      <c r="WXZ67" s="170"/>
      <c r="WYA67" s="170"/>
      <c r="WYB67" s="170"/>
      <c r="WYC67" s="170"/>
      <c r="WYD67" s="170"/>
      <c r="WYE67" s="170"/>
      <c r="WYF67" s="170"/>
      <c r="WYG67" s="170"/>
      <c r="WYH67" s="170"/>
      <c r="WYI67" s="170"/>
      <c r="WYJ67" s="170"/>
      <c r="WYK67" s="170"/>
      <c r="WYL67" s="170"/>
      <c r="WYM67" s="170"/>
      <c r="WYN67" s="170"/>
      <c r="WYO67" s="170"/>
      <c r="WYP67" s="170"/>
      <c r="WYQ67" s="170"/>
      <c r="WYR67" s="170"/>
      <c r="WYS67" s="170"/>
      <c r="WYT67" s="170"/>
      <c r="WYU67" s="170"/>
      <c r="WYV67" s="170"/>
      <c r="WYW67" s="170"/>
      <c r="WYX67" s="170"/>
      <c r="WYY67" s="170"/>
      <c r="WYZ67" s="170"/>
      <c r="WZA67" s="170"/>
      <c r="WZB67" s="170"/>
      <c r="WZC67" s="170"/>
      <c r="WZD67" s="170"/>
      <c r="WZE67" s="170"/>
      <c r="WZF67" s="170"/>
      <c r="WZG67" s="170"/>
      <c r="WZH67" s="170"/>
      <c r="WZI67" s="170"/>
      <c r="WZJ67" s="170"/>
      <c r="WZK67" s="170"/>
      <c r="WZL67" s="170"/>
      <c r="WZM67" s="170"/>
      <c r="WZN67" s="170"/>
      <c r="WZO67" s="170"/>
      <c r="WZP67" s="170"/>
      <c r="WZQ67" s="170"/>
      <c r="WZR67" s="170"/>
      <c r="WZS67" s="170"/>
      <c r="WZT67" s="170"/>
      <c r="WZU67" s="170"/>
      <c r="WZV67" s="170"/>
      <c r="WZW67" s="170"/>
      <c r="WZX67" s="170"/>
      <c r="WZY67" s="170"/>
      <c r="WZZ67" s="170"/>
      <c r="XAA67" s="170"/>
      <c r="XAB67" s="170"/>
      <c r="XAC67" s="170"/>
      <c r="XAD67" s="170"/>
      <c r="XAE67" s="170"/>
      <c r="XAF67" s="170"/>
      <c r="XAG67" s="170"/>
      <c r="XAH67" s="170"/>
      <c r="XAI67" s="170"/>
      <c r="XAJ67" s="170"/>
      <c r="XAK67" s="170"/>
      <c r="XAL67" s="170"/>
      <c r="XAM67" s="170"/>
      <c r="XAN67" s="170"/>
      <c r="XAO67" s="170"/>
      <c r="XAP67" s="170"/>
      <c r="XAQ67" s="170"/>
      <c r="XAR67" s="170"/>
      <c r="XAS67" s="170"/>
      <c r="XAT67" s="170"/>
      <c r="XAU67" s="170"/>
      <c r="XAV67" s="170"/>
      <c r="XAW67" s="170"/>
      <c r="XAX67" s="170"/>
      <c r="XAY67" s="170"/>
      <c r="XAZ67" s="170"/>
      <c r="XBA67" s="170"/>
      <c r="XBB67" s="170"/>
      <c r="XBC67" s="170"/>
      <c r="XBD67" s="170"/>
      <c r="XBE67" s="170"/>
      <c r="XBF67" s="170"/>
      <c r="XBG67" s="170"/>
      <c r="XBH67" s="170"/>
      <c r="XBI67" s="170"/>
      <c r="XBJ67" s="170"/>
      <c r="XBK67" s="170"/>
      <c r="XBL67" s="170"/>
      <c r="XBM67" s="170"/>
      <c r="XBN67" s="170"/>
      <c r="XBO67" s="170"/>
      <c r="XBP67" s="170"/>
      <c r="XBQ67" s="170"/>
      <c r="XBR67" s="170"/>
      <c r="XBS67" s="170"/>
      <c r="XBT67" s="170"/>
      <c r="XBU67" s="170"/>
      <c r="XBV67" s="170"/>
      <c r="XBW67" s="170"/>
      <c r="XBX67" s="170"/>
      <c r="XBY67" s="170"/>
      <c r="XBZ67" s="170"/>
      <c r="XCA67" s="170"/>
      <c r="XCB67" s="170"/>
      <c r="XCC67" s="170"/>
      <c r="XCD67" s="170"/>
      <c r="XCE67" s="170"/>
      <c r="XCF67" s="170"/>
      <c r="XCG67" s="170"/>
      <c r="XCH67" s="170"/>
      <c r="XCI67" s="170"/>
      <c r="XCJ67" s="170"/>
      <c r="XCK67" s="170"/>
      <c r="XCL67" s="170"/>
      <c r="XCM67" s="170"/>
      <c r="XCN67" s="170"/>
      <c r="XCO67" s="170"/>
      <c r="XCP67" s="170"/>
      <c r="XCQ67" s="170"/>
      <c r="XCR67" s="170"/>
      <c r="XCS67" s="170"/>
      <c r="XCT67" s="170"/>
      <c r="XCU67" s="170"/>
      <c r="XCV67" s="170"/>
      <c r="XCW67" s="170"/>
      <c r="XCX67" s="170"/>
      <c r="XCY67" s="170"/>
      <c r="XCZ67" s="170"/>
      <c r="XDA67" s="170"/>
      <c r="XDB67" s="170"/>
      <c r="XDC67" s="170"/>
      <c r="XDD67" s="170"/>
      <c r="XDE67" s="170"/>
      <c r="XDF67" s="170"/>
      <c r="XDG67" s="170"/>
      <c r="XDH67" s="170"/>
      <c r="XDI67" s="170"/>
      <c r="XDJ67" s="170"/>
      <c r="XDK67" s="170"/>
      <c r="XDL67" s="170"/>
      <c r="XDM67" s="170"/>
      <c r="XDN67" s="170"/>
      <c r="XDO67" s="170"/>
      <c r="XDP67" s="170"/>
      <c r="XDQ67" s="170"/>
      <c r="XDR67" s="170"/>
      <c r="XDS67" s="170"/>
      <c r="XDT67" s="170"/>
      <c r="XDU67" s="170"/>
      <c r="XDV67" s="170"/>
      <c r="XDW67" s="170"/>
      <c r="XDX67" s="170"/>
      <c r="XDY67" s="170"/>
      <c r="XDZ67" s="170"/>
      <c r="XEA67" s="170"/>
      <c r="XEB67" s="170"/>
      <c r="XEC67" s="170"/>
      <c r="XED67" s="170"/>
      <c r="XEE67" s="170"/>
      <c r="XEF67" s="170"/>
      <c r="XEG67" s="170"/>
      <c r="XEH67" s="170"/>
      <c r="XEI67" s="170"/>
      <c r="XEJ67" s="170"/>
      <c r="XEK67" s="170"/>
      <c r="XEL67" s="170"/>
      <c r="XEM67" s="170"/>
      <c r="XEN67" s="170"/>
      <c r="XEO67" s="170"/>
      <c r="XEP67" s="170"/>
      <c r="XEQ67" s="170"/>
      <c r="XER67" s="170"/>
      <c r="XES67" s="170"/>
      <c r="XET67" s="170"/>
      <c r="XEU67" s="170"/>
      <c r="XEV67" s="170"/>
      <c r="XEW67" s="170"/>
      <c r="XEX67" s="170"/>
      <c r="XEY67" s="170"/>
      <c r="XEZ67" s="170"/>
      <c r="XFA67" s="170"/>
      <c r="XFB67" s="170"/>
      <c r="XFC67" s="170"/>
      <c r="XFD67" s="170"/>
    </row>
    <row r="68" spans="1:16384"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16384" s="46" customFormat="1" ht="12.75" customHeight="1">
      <c r="A69" s="106" t="s">
        <v>1635</v>
      </c>
      <c r="B69" s="173"/>
      <c r="C69" s="175"/>
      <c r="D69" s="176"/>
      <c r="E69" s="176"/>
      <c r="F69" s="176"/>
      <c r="G69" s="176"/>
      <c r="H69" s="176"/>
      <c r="I69" s="176"/>
      <c r="J69" s="176"/>
      <c r="Y69" s="177"/>
      <c r="Z69" s="177"/>
      <c r="AA69" s="177"/>
      <c r="AB69" s="177"/>
      <c r="AE69" s="2415" t="s">
        <v>408</v>
      </c>
      <c r="AF69" s="2415"/>
      <c r="AG69" s="2415"/>
      <c r="AH69" s="2415"/>
      <c r="AI69" s="2415"/>
      <c r="AJ69" s="2415"/>
      <c r="AK69" s="2415"/>
      <c r="AL69" s="1299"/>
      <c r="AM69" s="153"/>
      <c r="AN69" s="439"/>
    </row>
    <row r="70" spans="1:16384"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16384" s="46" customFormat="1" ht="12.75" customHeight="1">
      <c r="B71" s="2341" t="s">
        <v>729</v>
      </c>
      <c r="C71" s="2341"/>
      <c r="D71" s="2341"/>
      <c r="E71" s="2341"/>
      <c r="F71" s="2341"/>
      <c r="G71" s="2341"/>
      <c r="H71" s="2341"/>
      <c r="I71" s="2341"/>
      <c r="J71" s="2341"/>
      <c r="K71" s="2341"/>
      <c r="P71" s="153"/>
      <c r="Q71" s="153"/>
      <c r="R71" s="153"/>
      <c r="S71" s="153"/>
      <c r="T71" s="153"/>
      <c r="U71" s="153"/>
      <c r="V71" s="153"/>
      <c r="W71" s="153"/>
      <c r="X71" s="153"/>
      <c r="AF71" s="2363" t="s">
        <v>1042</v>
      </c>
      <c r="AG71" s="2363"/>
      <c r="AH71" s="2363"/>
      <c r="AI71" s="2363"/>
      <c r="AJ71" s="2363"/>
      <c r="AK71" s="2363"/>
      <c r="AL71" s="2363"/>
      <c r="AN71" s="439"/>
      <c r="AP71" s="46" t="s">
        <v>136</v>
      </c>
    </row>
    <row r="72" spans="1:16384" s="46" customFormat="1" ht="12.75" customHeight="1">
      <c r="B72" s="2515" t="s">
        <v>1459</v>
      </c>
      <c r="C72" s="2515"/>
      <c r="D72" s="2515"/>
      <c r="E72" s="2515"/>
      <c r="F72" s="2515"/>
      <c r="G72" s="2515"/>
      <c r="H72" s="2515"/>
      <c r="I72" s="2515"/>
      <c r="J72" s="2515"/>
      <c r="K72" s="2515"/>
      <c r="L72" s="2515"/>
      <c r="M72" s="2515"/>
      <c r="N72" s="2515"/>
      <c r="O72" s="2515"/>
      <c r="P72" s="2515"/>
      <c r="Q72" s="2515"/>
      <c r="R72" s="2515"/>
      <c r="S72" s="2515"/>
      <c r="T72" s="2341" t="s">
        <v>136</v>
      </c>
      <c r="U72" s="2341"/>
      <c r="V72" s="2341"/>
      <c r="W72" s="2341"/>
      <c r="X72" s="2341"/>
      <c r="Y72" s="2341"/>
      <c r="Z72" s="2341"/>
      <c r="AA72" s="2341"/>
      <c r="AB72" s="2341"/>
      <c r="AC72" s="2341"/>
      <c r="AD72" s="153"/>
      <c r="AE72" s="153"/>
      <c r="AF72" s="153"/>
      <c r="AG72" s="153"/>
      <c r="AH72" s="153"/>
      <c r="AI72" s="153"/>
      <c r="AJ72" s="147"/>
      <c r="AK72" s="25"/>
      <c r="AL72" s="25"/>
      <c r="AM72" s="25"/>
      <c r="AN72" s="439"/>
      <c r="AP72" s="46" t="s">
        <v>1457</v>
      </c>
    </row>
    <row r="73" spans="1:16384"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6"/>
      <c r="AJ73" s="1306" t="s">
        <v>648</v>
      </c>
      <c r="AK73" s="2360">
        <f>VLOOKUP($B$71,$AP$45:$AR$50,2,FALSE)</f>
        <v>10</v>
      </c>
      <c r="AL73" s="2361"/>
      <c r="AM73" s="2361"/>
      <c r="AN73" s="1326"/>
      <c r="AP73" s="46" t="s">
        <v>1458</v>
      </c>
    </row>
    <row r="74" spans="1:16384"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16384"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16384" s="46" customFormat="1" ht="12.75" customHeight="1">
      <c r="A76" s="152" t="s">
        <v>1636</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16384"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16384" s="46" customFormat="1" ht="12.75" customHeight="1">
      <c r="A78" s="183"/>
      <c r="B78" s="63" t="s">
        <v>1637</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415" t="s">
        <v>1081</v>
      </c>
      <c r="AF78" s="2415"/>
      <c r="AG78" s="2415"/>
      <c r="AH78" s="2415"/>
      <c r="AI78" s="2415"/>
      <c r="AJ78" s="2415"/>
      <c r="AK78" s="2415"/>
      <c r="AL78" s="1299"/>
      <c r="AM78" s="163"/>
      <c r="AN78" s="439"/>
    </row>
    <row r="79" spans="1:16384"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16384" s="46" customFormat="1" ht="12.75" customHeight="1">
      <c r="A80" s="163"/>
      <c r="B80" s="2373" t="s">
        <v>2080</v>
      </c>
      <c r="C80" s="2373"/>
      <c r="D80" s="2373"/>
      <c r="E80" s="2373"/>
      <c r="F80" s="2373"/>
      <c r="G80" s="2373"/>
      <c r="H80" s="2373"/>
      <c r="I80" s="2373"/>
      <c r="J80" s="2373"/>
      <c r="K80" s="2373"/>
      <c r="L80" s="2373"/>
      <c r="M80" s="2373"/>
      <c r="N80" s="2373"/>
      <c r="O80" s="2373"/>
      <c r="P80" s="2373"/>
      <c r="Q80" s="2373"/>
      <c r="R80" s="2373"/>
      <c r="S80" s="2373"/>
      <c r="T80" s="2373"/>
      <c r="U80" s="2373"/>
      <c r="V80" s="2373"/>
      <c r="W80" s="2373"/>
      <c r="X80" s="2373"/>
      <c r="Y80" s="2373"/>
      <c r="Z80" s="2373"/>
      <c r="AA80" s="2373"/>
      <c r="AB80" s="2373"/>
      <c r="AC80" s="2373"/>
      <c r="AD80" s="2373"/>
      <c r="AE80" s="2373"/>
      <c r="AF80" s="2373"/>
      <c r="AG80" s="2373"/>
      <c r="AH80" s="2373"/>
      <c r="AI80" s="2373"/>
      <c r="AJ80" s="2373"/>
      <c r="AK80" s="2373"/>
      <c r="AL80" s="1301"/>
      <c r="AM80" s="163"/>
      <c r="AN80" s="439"/>
    </row>
    <row r="81" spans="1:42" s="46" customFormat="1" ht="12.75" customHeight="1">
      <c r="A81" s="163"/>
      <c r="B81" s="2373"/>
      <c r="C81" s="2373"/>
      <c r="D81" s="2373"/>
      <c r="E81" s="2373"/>
      <c r="F81" s="2373"/>
      <c r="G81" s="2373"/>
      <c r="H81" s="2373"/>
      <c r="I81" s="2373"/>
      <c r="J81" s="2373"/>
      <c r="K81" s="2373"/>
      <c r="L81" s="2373"/>
      <c r="M81" s="2373"/>
      <c r="N81" s="2373"/>
      <c r="O81" s="2373"/>
      <c r="P81" s="2373"/>
      <c r="Q81" s="2373"/>
      <c r="R81" s="2373"/>
      <c r="S81" s="2373"/>
      <c r="T81" s="2373"/>
      <c r="U81" s="2373"/>
      <c r="V81" s="2373"/>
      <c r="W81" s="2373"/>
      <c r="X81" s="2373"/>
      <c r="Y81" s="2373"/>
      <c r="Z81" s="2373"/>
      <c r="AA81" s="2373"/>
      <c r="AB81" s="2373"/>
      <c r="AC81" s="2373"/>
      <c r="AD81" s="2373"/>
      <c r="AE81" s="2373"/>
      <c r="AF81" s="2373"/>
      <c r="AG81" s="2373"/>
      <c r="AH81" s="2373"/>
      <c r="AI81" s="2373"/>
      <c r="AJ81" s="2373"/>
      <c r="AK81" s="2373"/>
      <c r="AL81" s="1301"/>
      <c r="AM81" s="163"/>
      <c r="AN81" s="439"/>
    </row>
    <row r="82" spans="1:42" s="46" customFormat="1" ht="12.75" customHeight="1">
      <c r="A82" s="163"/>
      <c r="B82" s="2373"/>
      <c r="C82" s="2373"/>
      <c r="D82" s="2373"/>
      <c r="E82" s="2373"/>
      <c r="F82" s="2373"/>
      <c r="G82" s="2373"/>
      <c r="H82" s="2373"/>
      <c r="I82" s="2373"/>
      <c r="J82" s="2373"/>
      <c r="K82" s="2373"/>
      <c r="L82" s="2373"/>
      <c r="M82" s="2373"/>
      <c r="N82" s="2373"/>
      <c r="O82" s="2373"/>
      <c r="P82" s="2373"/>
      <c r="Q82" s="2373"/>
      <c r="R82" s="2373"/>
      <c r="S82" s="2373"/>
      <c r="T82" s="2373"/>
      <c r="U82" s="2373"/>
      <c r="V82" s="2373"/>
      <c r="W82" s="2373"/>
      <c r="X82" s="2373"/>
      <c r="Y82" s="2373"/>
      <c r="Z82" s="2373"/>
      <c r="AA82" s="2373"/>
      <c r="AB82" s="2373"/>
      <c r="AC82" s="2373"/>
      <c r="AD82" s="2373"/>
      <c r="AE82" s="2373"/>
      <c r="AF82" s="2373"/>
      <c r="AG82" s="2373"/>
      <c r="AH82" s="2373"/>
      <c r="AI82" s="2373"/>
      <c r="AJ82" s="2373"/>
      <c r="AK82" s="2373"/>
      <c r="AL82" s="1301"/>
      <c r="AM82" s="163"/>
      <c r="AN82" s="439"/>
    </row>
    <row r="83" spans="1:42" s="46" customFormat="1" ht="12.75" customHeight="1">
      <c r="A83" s="163"/>
      <c r="B83" s="2373"/>
      <c r="C83" s="2373"/>
      <c r="D83" s="2373"/>
      <c r="E83" s="2373"/>
      <c r="F83" s="2373"/>
      <c r="G83" s="2373"/>
      <c r="H83" s="2373"/>
      <c r="I83" s="2373"/>
      <c r="J83" s="2373"/>
      <c r="K83" s="2373"/>
      <c r="L83" s="2373"/>
      <c r="M83" s="2373"/>
      <c r="N83" s="2373"/>
      <c r="O83" s="2373"/>
      <c r="P83" s="2373"/>
      <c r="Q83" s="2373"/>
      <c r="R83" s="2373"/>
      <c r="S83" s="2373"/>
      <c r="T83" s="2373"/>
      <c r="U83" s="2373"/>
      <c r="V83" s="2373"/>
      <c r="W83" s="2373"/>
      <c r="X83" s="2373"/>
      <c r="Y83" s="2373"/>
      <c r="Z83" s="2373"/>
      <c r="AA83" s="2373"/>
      <c r="AB83" s="2373"/>
      <c r="AC83" s="2373"/>
      <c r="AD83" s="2373"/>
      <c r="AE83" s="2373"/>
      <c r="AF83" s="2373"/>
      <c r="AG83" s="2373"/>
      <c r="AH83" s="2373"/>
      <c r="AI83" s="2373"/>
      <c r="AJ83" s="2373"/>
      <c r="AK83" s="2373"/>
      <c r="AL83" s="1301"/>
      <c r="AM83" s="163"/>
      <c r="AN83" s="439"/>
    </row>
    <row r="84" spans="1:42" s="46" customFormat="1" ht="12.75" customHeight="1">
      <c r="A84" s="163"/>
      <c r="B84" s="2373"/>
      <c r="C84" s="2373"/>
      <c r="D84" s="2373"/>
      <c r="E84" s="2373"/>
      <c r="F84" s="2373"/>
      <c r="G84" s="2373"/>
      <c r="H84" s="2373"/>
      <c r="I84" s="2373"/>
      <c r="J84" s="2373"/>
      <c r="K84" s="2373"/>
      <c r="L84" s="2373"/>
      <c r="M84" s="2373"/>
      <c r="N84" s="2373"/>
      <c r="O84" s="2373"/>
      <c r="P84" s="2373"/>
      <c r="Q84" s="2373"/>
      <c r="R84" s="2373"/>
      <c r="S84" s="2373"/>
      <c r="T84" s="2373"/>
      <c r="U84" s="2373"/>
      <c r="V84" s="2373"/>
      <c r="W84" s="2373"/>
      <c r="X84" s="2373"/>
      <c r="Y84" s="2373"/>
      <c r="Z84" s="2373"/>
      <c r="AA84" s="2373"/>
      <c r="AB84" s="2373"/>
      <c r="AC84" s="2373"/>
      <c r="AD84" s="2373"/>
      <c r="AE84" s="2373"/>
      <c r="AF84" s="2373"/>
      <c r="AG84" s="2373"/>
      <c r="AH84" s="2373"/>
      <c r="AI84" s="2373"/>
      <c r="AJ84" s="2373"/>
      <c r="AK84" s="2373"/>
      <c r="AL84" s="1301"/>
      <c r="AM84" s="163"/>
      <c r="AN84" s="439"/>
    </row>
    <row r="85" spans="1:42" s="46" customFormat="1" ht="12.75" customHeight="1">
      <c r="A85" s="163"/>
      <c r="B85" s="2373"/>
      <c r="C85" s="2373"/>
      <c r="D85" s="2373"/>
      <c r="E85" s="2373"/>
      <c r="F85" s="2373"/>
      <c r="G85" s="2373"/>
      <c r="H85" s="2373"/>
      <c r="I85" s="2373"/>
      <c r="J85" s="2373"/>
      <c r="K85" s="2373"/>
      <c r="L85" s="2373"/>
      <c r="M85" s="2373"/>
      <c r="N85" s="2373"/>
      <c r="O85" s="2373"/>
      <c r="P85" s="2373"/>
      <c r="Q85" s="2373"/>
      <c r="R85" s="2373"/>
      <c r="S85" s="2373"/>
      <c r="T85" s="2373"/>
      <c r="U85" s="2373"/>
      <c r="V85" s="2373"/>
      <c r="W85" s="2373"/>
      <c r="X85" s="2373"/>
      <c r="Y85" s="2373"/>
      <c r="Z85" s="2373"/>
      <c r="AA85" s="2373"/>
      <c r="AB85" s="2373"/>
      <c r="AC85" s="2373"/>
      <c r="AD85" s="2373"/>
      <c r="AE85" s="2373"/>
      <c r="AF85" s="2373"/>
      <c r="AG85" s="2373"/>
      <c r="AH85" s="2373"/>
      <c r="AI85" s="2373"/>
      <c r="AJ85" s="2373"/>
      <c r="AK85" s="2373"/>
      <c r="AL85" s="1301"/>
      <c r="AM85" s="163"/>
      <c r="AN85" s="439"/>
    </row>
    <row r="86" spans="1:42" ht="12.75" customHeight="1">
      <c r="A86" s="163"/>
      <c r="B86" s="2373"/>
      <c r="C86" s="2373"/>
      <c r="D86" s="2373"/>
      <c r="E86" s="2373"/>
      <c r="F86" s="2373"/>
      <c r="G86" s="2373"/>
      <c r="H86" s="2373"/>
      <c r="I86" s="2373"/>
      <c r="J86" s="2373"/>
      <c r="K86" s="2373"/>
      <c r="L86" s="2373"/>
      <c r="M86" s="2373"/>
      <c r="N86" s="2373"/>
      <c r="O86" s="2373"/>
      <c r="P86" s="2373"/>
      <c r="Q86" s="2373"/>
      <c r="R86" s="2373"/>
      <c r="S86" s="2373"/>
      <c r="T86" s="2373"/>
      <c r="U86" s="2373"/>
      <c r="V86" s="2373"/>
      <c r="W86" s="2373"/>
      <c r="X86" s="2373"/>
      <c r="Y86" s="2373"/>
      <c r="Z86" s="2373"/>
      <c r="AA86" s="2373"/>
      <c r="AB86" s="2373"/>
      <c r="AC86" s="2373"/>
      <c r="AD86" s="2373"/>
      <c r="AE86" s="2373"/>
      <c r="AF86" s="2373"/>
      <c r="AG86" s="2373"/>
      <c r="AH86" s="2373"/>
      <c r="AI86" s="2373"/>
      <c r="AJ86" s="2373"/>
      <c r="AK86" s="2373"/>
      <c r="AL86" s="1301"/>
      <c r="AM86" s="163"/>
    </row>
    <row r="87" spans="1:42" s="46" customFormat="1" ht="12.75" customHeight="1">
      <c r="A87" s="28"/>
      <c r="B87" s="2373"/>
      <c r="C87" s="2373"/>
      <c r="D87" s="2373"/>
      <c r="E87" s="2373"/>
      <c r="F87" s="2373"/>
      <c r="G87" s="2373"/>
      <c r="H87" s="2373"/>
      <c r="I87" s="2373"/>
      <c r="J87" s="2373"/>
      <c r="K87" s="2373"/>
      <c r="L87" s="2373"/>
      <c r="M87" s="2373"/>
      <c r="N87" s="2373"/>
      <c r="O87" s="2373"/>
      <c r="P87" s="2373"/>
      <c r="Q87" s="2373"/>
      <c r="R87" s="2373"/>
      <c r="S87" s="2373"/>
      <c r="T87" s="2373"/>
      <c r="U87" s="2373"/>
      <c r="V87" s="2373"/>
      <c r="W87" s="2373"/>
      <c r="X87" s="2373"/>
      <c r="Y87" s="2373"/>
      <c r="Z87" s="2373"/>
      <c r="AA87" s="2373"/>
      <c r="AB87" s="2373"/>
      <c r="AC87" s="2373"/>
      <c r="AD87" s="2373"/>
      <c r="AE87" s="2373"/>
      <c r="AF87" s="2373"/>
      <c r="AG87" s="2373"/>
      <c r="AH87" s="2373"/>
      <c r="AI87" s="2373"/>
      <c r="AJ87" s="2373"/>
      <c r="AK87" s="2373"/>
      <c r="AL87" s="1301"/>
      <c r="AM87" s="153"/>
      <c r="AN87" s="439"/>
    </row>
    <row r="88" spans="1:42" s="46" customFormat="1" ht="12.75" customHeight="1">
      <c r="A88" s="28"/>
      <c r="B88" s="2373"/>
      <c r="C88" s="2373"/>
      <c r="D88" s="2373"/>
      <c r="E88" s="2373"/>
      <c r="F88" s="2373"/>
      <c r="G88" s="2373"/>
      <c r="H88" s="2373"/>
      <c r="I88" s="2373"/>
      <c r="J88" s="2373"/>
      <c r="K88" s="2373"/>
      <c r="L88" s="2373"/>
      <c r="M88" s="2373"/>
      <c r="N88" s="2373"/>
      <c r="O88" s="2373"/>
      <c r="P88" s="2373"/>
      <c r="Q88" s="2373"/>
      <c r="R88" s="2373"/>
      <c r="S88" s="2373"/>
      <c r="T88" s="2373"/>
      <c r="U88" s="2373"/>
      <c r="V88" s="2373"/>
      <c r="W88" s="2373"/>
      <c r="X88" s="2373"/>
      <c r="Y88" s="2373"/>
      <c r="Z88" s="2373"/>
      <c r="AA88" s="2373"/>
      <c r="AB88" s="2373"/>
      <c r="AC88" s="2373"/>
      <c r="AD88" s="2373"/>
      <c r="AE88" s="2373"/>
      <c r="AF88" s="2373"/>
      <c r="AG88" s="2373"/>
      <c r="AH88" s="2373"/>
      <c r="AI88" s="2373"/>
      <c r="AJ88" s="2373"/>
      <c r="AK88" s="2373"/>
      <c r="AL88" s="1301"/>
      <c r="AM88" s="153"/>
      <c r="AN88" s="439"/>
    </row>
    <row r="89" spans="1:42" s="46" customFormat="1" ht="14.45" customHeight="1">
      <c r="A89" s="28"/>
      <c r="B89" s="2373"/>
      <c r="C89" s="2373"/>
      <c r="D89" s="2373"/>
      <c r="E89" s="2373"/>
      <c r="F89" s="2373"/>
      <c r="G89" s="2373"/>
      <c r="H89" s="2373"/>
      <c r="I89" s="2373"/>
      <c r="J89" s="2373"/>
      <c r="K89" s="2373"/>
      <c r="L89" s="2373"/>
      <c r="M89" s="2373"/>
      <c r="N89" s="2373"/>
      <c r="O89" s="2373"/>
      <c r="P89" s="2373"/>
      <c r="Q89" s="2373"/>
      <c r="R89" s="2373"/>
      <c r="S89" s="2373"/>
      <c r="T89" s="2373"/>
      <c r="U89" s="2373"/>
      <c r="V89" s="2373"/>
      <c r="W89" s="2373"/>
      <c r="X89" s="2373"/>
      <c r="Y89" s="2373"/>
      <c r="Z89" s="2373"/>
      <c r="AA89" s="2373"/>
      <c r="AB89" s="2373"/>
      <c r="AC89" s="2373"/>
      <c r="AD89" s="2373"/>
      <c r="AE89" s="2373"/>
      <c r="AF89" s="2373"/>
      <c r="AG89" s="2373"/>
      <c r="AH89" s="2373"/>
      <c r="AI89" s="2373"/>
      <c r="AJ89" s="2373"/>
      <c r="AK89" s="2373"/>
      <c r="AL89" s="1301"/>
      <c r="AM89" s="153"/>
      <c r="AN89" s="439"/>
    </row>
    <row r="90" spans="1:42" s="46" customFormat="1" ht="12.75" customHeight="1">
      <c r="A90" s="28"/>
      <c r="B90" s="2373"/>
      <c r="C90" s="2373"/>
      <c r="D90" s="2373"/>
      <c r="E90" s="2373"/>
      <c r="F90" s="2373"/>
      <c r="G90" s="2373"/>
      <c r="H90" s="2373"/>
      <c r="I90" s="2373"/>
      <c r="J90" s="2373"/>
      <c r="K90" s="2373"/>
      <c r="L90" s="2373"/>
      <c r="M90" s="2373"/>
      <c r="N90" s="2373"/>
      <c r="O90" s="2373"/>
      <c r="P90" s="2373"/>
      <c r="Q90" s="2373"/>
      <c r="R90" s="2373"/>
      <c r="S90" s="2373"/>
      <c r="T90" s="2373"/>
      <c r="U90" s="2373"/>
      <c r="V90" s="2373"/>
      <c r="W90" s="2373"/>
      <c r="X90" s="2373"/>
      <c r="Y90" s="2373"/>
      <c r="Z90" s="2373"/>
      <c r="AA90" s="2373"/>
      <c r="AB90" s="2373"/>
      <c r="AC90" s="2373"/>
      <c r="AD90" s="2373"/>
      <c r="AE90" s="2373"/>
      <c r="AF90" s="2373"/>
      <c r="AG90" s="2373"/>
      <c r="AH90" s="2373"/>
      <c r="AI90" s="2373"/>
      <c r="AJ90" s="2373"/>
      <c r="AK90" s="2373"/>
      <c r="AL90" s="153"/>
      <c r="AM90" s="153"/>
      <c r="AN90" s="439"/>
    </row>
    <row r="91" spans="1:42" s="46" customFormat="1" ht="12.75" customHeight="1">
      <c r="A91" s="28"/>
      <c r="B91" s="144" t="s">
        <v>1402</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1416</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641</v>
      </c>
      <c r="E95" s="677" t="s">
        <v>1460</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63" t="s">
        <v>937</v>
      </c>
      <c r="AG95" s="2363"/>
      <c r="AH95" s="2363"/>
      <c r="AI95" s="2363"/>
      <c r="AJ95" s="2363"/>
      <c r="AK95" s="2363"/>
      <c r="AL95" s="2363"/>
      <c r="AM95" s="153"/>
      <c r="AN95" s="439"/>
    </row>
    <row r="96" spans="1:42" s="46" customFormat="1" ht="12.75" customHeight="1">
      <c r="A96" s="153"/>
      <c r="B96" s="153"/>
      <c r="C96" s="27"/>
      <c r="D96" s="144"/>
      <c r="E96" s="677" t="s">
        <v>1461</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7" t="s">
        <v>1462</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7" t="s">
        <v>1463</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7"/>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38"/>
    </row>
    <row r="100" spans="1:53" s="46" customFormat="1" ht="12.75" customHeight="1">
      <c r="A100" s="57"/>
      <c r="B100" s="74"/>
      <c r="C100" s="77"/>
      <c r="D100" s="144" t="s">
        <v>214</v>
      </c>
      <c r="E100" s="677" t="s">
        <v>1383</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63" t="s">
        <v>63</v>
      </c>
      <c r="AG100" s="2363"/>
      <c r="AH100" s="2363"/>
      <c r="AI100" s="2363"/>
      <c r="AJ100" s="2363"/>
      <c r="AK100" s="2363"/>
      <c r="AL100" s="2363"/>
      <c r="AM100" s="153"/>
      <c r="AN100" s="439"/>
    </row>
    <row r="101" spans="1:53" s="46" customFormat="1" ht="12.75" customHeight="1">
      <c r="A101" s="28"/>
      <c r="B101" s="161"/>
      <c r="C101" s="187"/>
      <c r="D101" s="144"/>
      <c r="E101" s="677" t="s">
        <v>1464</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1">
        <v>0</v>
      </c>
    </row>
    <row r="102" spans="1:53" s="46" customFormat="1" ht="12.75" customHeight="1">
      <c r="A102" s="28"/>
      <c r="B102" s="148"/>
      <c r="C102" s="188"/>
      <c r="D102" s="144"/>
      <c r="E102" s="677" t="s">
        <v>1465</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641</v>
      </c>
      <c r="AP102" s="46">
        <v>7</v>
      </c>
    </row>
    <row r="103" spans="1:53" s="46" customFormat="1" ht="12.75" customHeight="1">
      <c r="A103" s="28"/>
      <c r="B103" s="148"/>
      <c r="C103" s="188"/>
      <c r="D103" s="144"/>
      <c r="E103" s="677" t="s">
        <v>1466</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5"/>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992</v>
      </c>
      <c r="AP104" s="46">
        <v>5</v>
      </c>
    </row>
    <row r="105" spans="1:53" s="46" customFormat="1" ht="12.75" customHeight="1">
      <c r="A105" s="28"/>
      <c r="B105" s="74"/>
      <c r="C105" s="77"/>
      <c r="D105" s="144" t="s">
        <v>992</v>
      </c>
      <c r="E105" s="677" t="s">
        <v>1384</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63" t="s">
        <v>64</v>
      </c>
      <c r="AG105" s="2363"/>
      <c r="AH105" s="2363"/>
      <c r="AI105" s="2363"/>
      <c r="AJ105" s="2363"/>
      <c r="AK105" s="2363"/>
      <c r="AL105" s="2363"/>
      <c r="AM105" s="153"/>
      <c r="AN105" s="439"/>
      <c r="AO105" s="144" t="s">
        <v>798</v>
      </c>
      <c r="AP105" s="46">
        <v>4</v>
      </c>
    </row>
    <row r="106" spans="1:53" s="46" customFormat="1" ht="12.75" customHeight="1">
      <c r="A106" s="28"/>
      <c r="B106" s="161"/>
      <c r="C106" s="187"/>
      <c r="D106" s="144"/>
      <c r="E106" s="677" t="s">
        <v>1467</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799</v>
      </c>
      <c r="AP106" s="46">
        <v>3</v>
      </c>
    </row>
    <row r="107" spans="1:53" s="46" customFormat="1" ht="12.75" customHeight="1">
      <c r="A107" s="28"/>
      <c r="B107" s="161"/>
      <c r="C107" s="187"/>
      <c r="D107" s="144"/>
      <c r="E107" s="677" t="s">
        <v>1465</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7" t="s">
        <v>1466</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6"/>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798</v>
      </c>
      <c r="E110" s="677" t="s">
        <v>1383</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63" t="s">
        <v>65</v>
      </c>
      <c r="AG110" s="2363"/>
      <c r="AH110" s="2363"/>
      <c r="AI110" s="2363"/>
      <c r="AJ110" s="2363"/>
      <c r="AK110" s="2363"/>
      <c r="AL110" s="2363"/>
      <c r="AM110" s="153"/>
      <c r="AN110" s="439"/>
      <c r="AO110" s="46" t="str">
        <f>S138</f>
        <v>N/A</v>
      </c>
    </row>
    <row r="111" spans="1:53" s="46" customFormat="1" ht="12.75" customHeight="1">
      <c r="A111" s="28"/>
      <c r="B111" s="161"/>
      <c r="C111" s="187"/>
      <c r="D111" s="144"/>
      <c r="E111" s="677" t="s">
        <v>1468</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7" t="s">
        <v>1469</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7"/>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799</v>
      </c>
      <c r="E114" s="677" t="s">
        <v>1384</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63" t="s">
        <v>66</v>
      </c>
      <c r="AG114" s="2363"/>
      <c r="AH114" s="2363"/>
      <c r="AI114" s="2363"/>
      <c r="AJ114" s="2363"/>
      <c r="AK114" s="2363"/>
      <c r="AL114" s="2363"/>
      <c r="AM114" s="153"/>
      <c r="AN114" s="1138"/>
    </row>
    <row r="115" spans="1:47" s="46" customFormat="1" ht="12.75" customHeight="1">
      <c r="A115" s="28"/>
      <c r="B115" s="74"/>
      <c r="C115" s="77"/>
      <c r="D115" s="144"/>
      <c r="E115" s="677" t="s">
        <v>1470</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1">
        <v>0</v>
      </c>
      <c r="AT116" s="46" t="s">
        <v>136</v>
      </c>
      <c r="AU116" s="751">
        <v>0</v>
      </c>
    </row>
    <row r="117" spans="1:47" s="46" customFormat="1" ht="12.75" customHeight="1">
      <c r="A117" s="28"/>
      <c r="B117" s="161"/>
      <c r="C117" s="187"/>
      <c r="D117" s="28" t="s">
        <v>163</v>
      </c>
      <c r="E117" s="190"/>
      <c r="F117" s="190"/>
      <c r="G117" s="190"/>
      <c r="H117" s="2372" t="s">
        <v>136</v>
      </c>
      <c r="I117" s="2372"/>
      <c r="J117" s="190"/>
      <c r="K117" s="190"/>
      <c r="L117" s="190"/>
      <c r="M117" s="190"/>
      <c r="AN117" s="439"/>
      <c r="AO117" s="144" t="s">
        <v>641</v>
      </c>
      <c r="AP117" s="46">
        <v>3</v>
      </c>
      <c r="AT117" s="144" t="s">
        <v>641</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2081</v>
      </c>
      <c r="E119" s="190"/>
      <c r="F119" s="190"/>
      <c r="G119" s="190"/>
      <c r="H119" s="190"/>
      <c r="I119" s="190"/>
      <c r="J119" s="190"/>
      <c r="K119" s="190"/>
      <c r="L119" s="190"/>
      <c r="M119" s="190"/>
      <c r="AN119" s="439"/>
    </row>
    <row r="120" spans="1:47" s="46" customFormat="1" ht="12.75" customHeight="1">
      <c r="A120" s="28"/>
      <c r="B120" s="161"/>
      <c r="C120" s="187"/>
      <c r="D120" s="28" t="s">
        <v>2082</v>
      </c>
      <c r="E120" s="190"/>
      <c r="F120" s="190"/>
      <c r="G120" s="190"/>
      <c r="H120" s="190"/>
      <c r="I120" s="190"/>
      <c r="J120" s="190"/>
      <c r="K120" s="190"/>
      <c r="L120" s="190"/>
      <c r="M120" s="190"/>
      <c r="AN120" s="439"/>
    </row>
    <row r="121" spans="1:47" s="46" customFormat="1" ht="12.75" customHeight="1">
      <c r="A121" s="28"/>
      <c r="B121" s="161"/>
      <c r="C121" s="187"/>
      <c r="D121" s="59" t="s">
        <v>2083</v>
      </c>
      <c r="E121" s="190"/>
      <c r="F121" s="190"/>
      <c r="G121" s="190"/>
      <c r="H121" s="190"/>
      <c r="I121" s="190"/>
      <c r="J121" s="190"/>
      <c r="K121" s="190"/>
      <c r="L121" s="190"/>
      <c r="M121" s="190"/>
      <c r="AN121" s="439"/>
      <c r="AO121" s="46" t="s">
        <v>136</v>
      </c>
      <c r="AP121" s="751">
        <v>0</v>
      </c>
    </row>
    <row r="122" spans="1:47" s="46" customFormat="1" ht="12.75" customHeight="1">
      <c r="A122" s="28"/>
      <c r="B122" s="161"/>
      <c r="C122" s="187"/>
      <c r="D122" s="28" t="s">
        <v>2084</v>
      </c>
      <c r="E122" s="28"/>
      <c r="AN122" s="439"/>
      <c r="AO122" s="46" t="s">
        <v>1649</v>
      </c>
      <c r="AP122" s="46">
        <v>3</v>
      </c>
    </row>
    <row r="123" spans="1:47" s="46" customFormat="1" ht="12.75" customHeight="1">
      <c r="A123" s="28"/>
      <c r="B123" s="161"/>
      <c r="C123" s="187"/>
      <c r="D123" s="28"/>
      <c r="E123" s="28" t="s">
        <v>163</v>
      </c>
      <c r="F123" s="190"/>
      <c r="G123" s="190"/>
      <c r="H123" s="2519" t="s">
        <v>136</v>
      </c>
      <c r="I123" s="2519"/>
      <c r="J123" s="2519"/>
      <c r="K123" s="2519"/>
      <c r="L123" s="2519"/>
      <c r="M123" s="2519"/>
      <c r="N123" s="2519"/>
      <c r="O123" s="2519"/>
      <c r="P123" s="2519"/>
      <c r="Q123" s="2519"/>
      <c r="R123" s="2519"/>
      <c r="S123" s="2519"/>
      <c r="T123" s="2519"/>
      <c r="U123" s="2519"/>
      <c r="V123" s="2519"/>
      <c r="W123" s="2519"/>
      <c r="X123" s="2519"/>
      <c r="Y123" s="2519"/>
      <c r="Z123" s="2519"/>
      <c r="AA123" s="2519"/>
      <c r="AB123" s="2519"/>
      <c r="AC123" s="2519"/>
      <c r="AD123" s="2519"/>
      <c r="AE123" s="2519"/>
      <c r="AN123" s="439"/>
      <c r="AO123" s="46" t="s">
        <v>1650</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98"/>
      <c r="AM124" s="46"/>
      <c r="AN124" s="1138"/>
    </row>
    <row r="125" spans="1:47" s="46" customFormat="1" ht="12.75" customHeight="1">
      <c r="A125" s="28"/>
      <c r="B125" s="1809" t="s">
        <v>136</v>
      </c>
      <c r="C125" s="1809"/>
      <c r="D125" s="436"/>
      <c r="E125" s="2373" t="s">
        <v>2000</v>
      </c>
      <c r="F125" s="2373"/>
      <c r="G125" s="2373"/>
      <c r="H125" s="2373"/>
      <c r="I125" s="2373"/>
      <c r="J125" s="2373"/>
      <c r="K125" s="2373"/>
      <c r="L125" s="2373"/>
      <c r="M125" s="2373"/>
      <c r="N125" s="2373"/>
      <c r="O125" s="2373"/>
      <c r="P125" s="2373"/>
      <c r="Q125" s="2373"/>
      <c r="R125" s="2373"/>
      <c r="S125" s="2373"/>
      <c r="T125" s="2373"/>
      <c r="U125" s="2373"/>
      <c r="V125" s="2373"/>
      <c r="W125" s="2373"/>
      <c r="X125" s="2373"/>
      <c r="Y125" s="2373"/>
      <c r="Z125" s="2373"/>
      <c r="AA125" s="2373"/>
      <c r="AB125" s="2373"/>
      <c r="AC125" s="2373"/>
      <c r="AD125" s="2373"/>
      <c r="AE125" s="2373"/>
      <c r="AF125" s="2373"/>
      <c r="AG125" s="2373"/>
      <c r="AH125" s="436"/>
      <c r="AI125" s="436"/>
      <c r="AJ125" s="436"/>
      <c r="AK125" s="436"/>
      <c r="AL125" s="1298"/>
      <c r="AN125" s="439"/>
    </row>
    <row r="126" spans="1:47" s="46" customFormat="1" ht="12.75" customHeight="1">
      <c r="A126" s="28"/>
      <c r="B126" s="161"/>
      <c r="C126" s="187"/>
      <c r="D126" s="436"/>
      <c r="E126" s="2373"/>
      <c r="F126" s="2373"/>
      <c r="G126" s="2373"/>
      <c r="H126" s="2373"/>
      <c r="I126" s="2373"/>
      <c r="J126" s="2373"/>
      <c r="K126" s="2373"/>
      <c r="L126" s="2373"/>
      <c r="M126" s="2373"/>
      <c r="N126" s="2373"/>
      <c r="O126" s="2373"/>
      <c r="P126" s="2373"/>
      <c r="Q126" s="2373"/>
      <c r="R126" s="2373"/>
      <c r="S126" s="2373"/>
      <c r="T126" s="2373"/>
      <c r="U126" s="2373"/>
      <c r="V126" s="2373"/>
      <c r="W126" s="2373"/>
      <c r="X126" s="2373"/>
      <c r="Y126" s="2373"/>
      <c r="Z126" s="2373"/>
      <c r="AA126" s="2373"/>
      <c r="AB126" s="2373"/>
      <c r="AC126" s="2373"/>
      <c r="AD126" s="2373"/>
      <c r="AE126" s="2373"/>
      <c r="AF126" s="2373"/>
      <c r="AG126" s="2373"/>
      <c r="AH126" s="436"/>
      <c r="AI126" s="436"/>
      <c r="AJ126" s="436"/>
      <c r="AK126" s="436"/>
      <c r="AL126" s="1298"/>
      <c r="AN126" s="439"/>
    </row>
    <row r="127" spans="1:47" s="46" customFormat="1" ht="12.75" customHeight="1">
      <c r="A127" s="28"/>
      <c r="B127" s="161"/>
      <c r="C127" s="187"/>
      <c r="D127" s="436"/>
      <c r="E127" s="2373"/>
      <c r="F127" s="2373"/>
      <c r="G127" s="2373"/>
      <c r="H127" s="2373"/>
      <c r="I127" s="2373"/>
      <c r="J127" s="2373"/>
      <c r="K127" s="2373"/>
      <c r="L127" s="2373"/>
      <c r="M127" s="2373"/>
      <c r="N127" s="2373"/>
      <c r="O127" s="2373"/>
      <c r="P127" s="2373"/>
      <c r="Q127" s="2373"/>
      <c r="R127" s="2373"/>
      <c r="S127" s="2373"/>
      <c r="T127" s="2373"/>
      <c r="U127" s="2373"/>
      <c r="V127" s="2373"/>
      <c r="W127" s="2373"/>
      <c r="X127" s="2373"/>
      <c r="Y127" s="2373"/>
      <c r="Z127" s="2373"/>
      <c r="AA127" s="2373"/>
      <c r="AB127" s="2373"/>
      <c r="AC127" s="2373"/>
      <c r="AD127" s="2373"/>
      <c r="AE127" s="2373"/>
      <c r="AF127" s="2373"/>
      <c r="AG127" s="2373"/>
      <c r="AH127" s="436"/>
      <c r="AI127" s="436"/>
      <c r="AJ127" s="436"/>
      <c r="AK127" s="436"/>
      <c r="AL127" s="1298"/>
      <c r="AN127" s="439"/>
    </row>
    <row r="128" spans="1:47" s="46" customFormat="1" ht="12.75" customHeight="1">
      <c r="A128" s="28"/>
      <c r="B128" s="161"/>
      <c r="C128" s="187"/>
      <c r="D128" s="477"/>
      <c r="E128" s="2518"/>
      <c r="F128" s="2518"/>
      <c r="G128" s="2518"/>
      <c r="H128" s="2518"/>
      <c r="I128" s="2518"/>
      <c r="J128" s="2518"/>
      <c r="K128" s="2518"/>
      <c r="L128" s="2518"/>
      <c r="M128" s="2518"/>
      <c r="N128" s="2518"/>
      <c r="O128" s="2518"/>
      <c r="P128" s="2518"/>
      <c r="Q128" s="2518"/>
      <c r="R128" s="2518"/>
      <c r="S128" s="2518"/>
      <c r="T128" s="2518"/>
      <c r="U128" s="2518"/>
      <c r="V128" s="2518"/>
      <c r="W128" s="2518"/>
      <c r="X128" s="2518"/>
      <c r="Y128" s="2518"/>
      <c r="Z128" s="2518"/>
      <c r="AA128" s="2518"/>
      <c r="AB128" s="2518"/>
      <c r="AC128" s="2518"/>
      <c r="AD128" s="2518"/>
      <c r="AE128" s="2518"/>
      <c r="AF128" s="2518"/>
      <c r="AG128" s="2518"/>
      <c r="AH128" s="477"/>
      <c r="AI128" s="477"/>
      <c r="AJ128" s="477"/>
      <c r="AK128" s="477"/>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1415</v>
      </c>
      <c r="AJ129" s="2360">
        <f>VLOOKUP($H$117,$AO$101:$AP$106,2,FALSE)+VLOOKUP($H$123,$AO$121:$AP$123,2,FALSE)</f>
        <v>0</v>
      </c>
      <c r="AK129" s="2362"/>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5"/>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641</v>
      </c>
      <c r="E133" s="2517" t="s">
        <v>2085</v>
      </c>
      <c r="F133" s="2517"/>
      <c r="G133" s="2517"/>
      <c r="H133" s="2517"/>
      <c r="I133" s="2517"/>
      <c r="J133" s="2517"/>
      <c r="K133" s="2517"/>
      <c r="L133" s="2517"/>
      <c r="M133" s="2517"/>
      <c r="N133" s="2517"/>
      <c r="O133" s="2517"/>
      <c r="P133" s="2517"/>
      <c r="Q133" s="2517"/>
      <c r="R133" s="2517"/>
      <c r="S133" s="2517"/>
      <c r="T133" s="2517"/>
      <c r="U133" s="2517"/>
      <c r="V133" s="2517"/>
      <c r="W133" s="2517"/>
      <c r="X133" s="2517"/>
      <c r="Y133" s="2517"/>
      <c r="Z133" s="2517"/>
      <c r="AA133" s="2517"/>
      <c r="AB133" s="2517"/>
      <c r="AC133" s="2517"/>
      <c r="AD133" s="2517"/>
      <c r="AF133" s="2363" t="s">
        <v>66</v>
      </c>
      <c r="AG133" s="2363"/>
      <c r="AH133" s="2363"/>
      <c r="AI133" s="2363"/>
      <c r="AJ133" s="2363"/>
      <c r="AK133" s="2363"/>
      <c r="AL133" s="2363"/>
      <c r="AM133" s="153"/>
      <c r="AN133" s="474"/>
    </row>
    <row r="134" spans="1:42" s="46" customFormat="1" ht="12.75" customHeight="1">
      <c r="A134" s="195"/>
      <c r="B134" s="161"/>
      <c r="C134" s="187"/>
      <c r="D134" s="144"/>
      <c r="E134" s="2517"/>
      <c r="F134" s="2517"/>
      <c r="G134" s="2517"/>
      <c r="H134" s="2517"/>
      <c r="I134" s="2517"/>
      <c r="J134" s="2517"/>
      <c r="K134" s="2517"/>
      <c r="L134" s="2517"/>
      <c r="M134" s="2517"/>
      <c r="N134" s="2517"/>
      <c r="O134" s="2517"/>
      <c r="P134" s="2517"/>
      <c r="Q134" s="2517"/>
      <c r="R134" s="2517"/>
      <c r="S134" s="2517"/>
      <c r="T134" s="2517"/>
      <c r="U134" s="2517"/>
      <c r="V134" s="2517"/>
      <c r="W134" s="2517"/>
      <c r="X134" s="2517"/>
      <c r="Y134" s="2517"/>
      <c r="Z134" s="2517"/>
      <c r="AA134" s="2517"/>
      <c r="AB134" s="2517"/>
      <c r="AC134" s="2517"/>
      <c r="AD134" s="2517"/>
      <c r="AE134" s="153"/>
      <c r="AF134" s="74"/>
      <c r="AG134" s="153"/>
      <c r="AH134" s="153"/>
      <c r="AI134" s="153"/>
      <c r="AJ134" s="153"/>
      <c r="AK134" s="153"/>
      <c r="AL134" s="153"/>
      <c r="AM134" s="153"/>
      <c r="AN134" s="439"/>
    </row>
    <row r="135" spans="1:42" s="46" customFormat="1" ht="12.75" customHeight="1">
      <c r="A135" s="28"/>
      <c r="B135" s="161"/>
      <c r="C135" s="188"/>
      <c r="D135" s="144"/>
      <c r="E135" s="2517"/>
      <c r="F135" s="2517"/>
      <c r="G135" s="2517"/>
      <c r="H135" s="2517"/>
      <c r="I135" s="2517"/>
      <c r="J135" s="2517"/>
      <c r="K135" s="2517"/>
      <c r="L135" s="2517"/>
      <c r="M135" s="2517"/>
      <c r="N135" s="2517"/>
      <c r="O135" s="2517"/>
      <c r="P135" s="2517"/>
      <c r="Q135" s="2517"/>
      <c r="R135" s="2517"/>
      <c r="S135" s="2517"/>
      <c r="T135" s="2517"/>
      <c r="U135" s="2517"/>
      <c r="V135" s="2517"/>
      <c r="W135" s="2517"/>
      <c r="X135" s="2517"/>
      <c r="Y135" s="2517"/>
      <c r="Z135" s="2517"/>
      <c r="AA135" s="2517"/>
      <c r="AB135" s="2517"/>
      <c r="AC135" s="2517"/>
      <c r="AD135" s="2517"/>
      <c r="AE135" s="153"/>
      <c r="AF135" s="74"/>
      <c r="AG135" s="153"/>
      <c r="AH135" s="153"/>
      <c r="AI135" s="153"/>
      <c r="AJ135" s="153"/>
      <c r="AK135" s="153"/>
      <c r="AL135" s="153"/>
      <c r="AM135" s="153"/>
      <c r="AN135" s="439"/>
    </row>
    <row r="136" spans="1:42" s="46" customFormat="1" ht="12.75" customHeight="1">
      <c r="A136" s="57"/>
      <c r="B136" s="173"/>
      <c r="C136" s="196"/>
      <c r="D136" s="144"/>
      <c r="E136" s="2517"/>
      <c r="F136" s="2517"/>
      <c r="G136" s="2517"/>
      <c r="H136" s="2517"/>
      <c r="I136" s="2517"/>
      <c r="J136" s="2517"/>
      <c r="K136" s="2517"/>
      <c r="L136" s="2517"/>
      <c r="M136" s="2517"/>
      <c r="N136" s="2517"/>
      <c r="O136" s="2517"/>
      <c r="P136" s="2517"/>
      <c r="Q136" s="2517"/>
      <c r="R136" s="2517"/>
      <c r="S136" s="2517"/>
      <c r="T136" s="2517"/>
      <c r="U136" s="2517"/>
      <c r="V136" s="2517"/>
      <c r="W136" s="2517"/>
      <c r="X136" s="2517"/>
      <c r="Y136" s="2517"/>
      <c r="Z136" s="2517"/>
      <c r="AA136" s="2517"/>
      <c r="AB136" s="2517"/>
      <c r="AC136" s="2517"/>
      <c r="AD136" s="2517"/>
      <c r="AE136" s="27"/>
      <c r="AF136" s="173"/>
      <c r="AG136" s="27"/>
      <c r="AH136" s="27"/>
      <c r="AI136" s="27"/>
      <c r="AJ136" s="27"/>
      <c r="AK136" s="153"/>
      <c r="AL136" s="153"/>
      <c r="AM136" s="153"/>
      <c r="AN136" s="439"/>
    </row>
    <row r="137" spans="1:42" s="46" customFormat="1" ht="23.1" customHeight="1">
      <c r="A137" s="28"/>
      <c r="B137" s="173"/>
      <c r="C137" s="196"/>
      <c r="D137" s="144"/>
      <c r="E137" s="2517"/>
      <c r="F137" s="2517"/>
      <c r="G137" s="2517"/>
      <c r="H137" s="2517"/>
      <c r="I137" s="2517"/>
      <c r="J137" s="2517"/>
      <c r="K137" s="2517"/>
      <c r="L137" s="2517"/>
      <c r="M137" s="2517"/>
      <c r="N137" s="2517"/>
      <c r="O137" s="2517"/>
      <c r="P137" s="2517"/>
      <c r="Q137" s="2517"/>
      <c r="R137" s="2517"/>
      <c r="S137" s="2517"/>
      <c r="T137" s="2517"/>
      <c r="U137" s="2517"/>
      <c r="V137" s="2517"/>
      <c r="W137" s="2517"/>
      <c r="X137" s="2517"/>
      <c r="Y137" s="2517"/>
      <c r="Z137" s="2517"/>
      <c r="AA137" s="2517"/>
      <c r="AB137" s="2517"/>
      <c r="AC137" s="2517"/>
      <c r="AD137" s="2517"/>
      <c r="AE137" s="27"/>
      <c r="AF137" s="173"/>
      <c r="AG137" s="27"/>
      <c r="AH137" s="27"/>
      <c r="AI137" s="27"/>
      <c r="AJ137" s="27"/>
      <c r="AK137" s="153"/>
      <c r="AL137" s="153"/>
      <c r="AM137" s="153"/>
      <c r="AN137" s="439"/>
      <c r="AO137" s="137" t="s">
        <v>136</v>
      </c>
      <c r="AP137" s="752">
        <v>0</v>
      </c>
    </row>
    <row r="138" spans="1:42" s="46" customFormat="1" ht="12.75" customHeight="1">
      <c r="A138" s="28"/>
      <c r="B138" s="173"/>
      <c r="C138" s="77"/>
      <c r="D138" s="144"/>
      <c r="E138" s="27" t="s">
        <v>113</v>
      </c>
      <c r="F138" s="1155"/>
      <c r="G138" s="1155"/>
      <c r="H138" s="1155"/>
      <c r="I138" s="1155"/>
      <c r="J138" s="1155"/>
      <c r="K138" s="1155"/>
      <c r="L138" s="1155"/>
      <c r="M138" s="1155"/>
      <c r="N138" s="1155"/>
      <c r="O138" s="1155"/>
      <c r="P138" s="1155"/>
      <c r="Q138" s="1155"/>
      <c r="R138" s="1155"/>
      <c r="S138" s="2520" t="s">
        <v>136</v>
      </c>
      <c r="T138" s="2520"/>
      <c r="U138" s="1155"/>
      <c r="V138" s="1155"/>
      <c r="W138" s="1155"/>
      <c r="X138" s="1155"/>
      <c r="Y138" s="1155"/>
      <c r="Z138" s="1155"/>
      <c r="AA138" s="1155"/>
      <c r="AB138" s="1155"/>
      <c r="AC138" s="1155"/>
      <c r="AD138" s="1155"/>
      <c r="AF138" s="173"/>
      <c r="AG138" s="27"/>
      <c r="AH138" s="27"/>
      <c r="AI138" s="27"/>
      <c r="AJ138" s="27"/>
      <c r="AK138" s="153"/>
      <c r="AL138" s="153"/>
      <c r="AM138" s="153"/>
      <c r="AN138" s="439"/>
      <c r="AO138" s="144" t="s">
        <v>641</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0" t="s">
        <v>1385</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63" t="s">
        <v>114</v>
      </c>
      <c r="AG140" s="2363"/>
      <c r="AH140" s="2363"/>
      <c r="AI140" s="2363"/>
      <c r="AJ140" s="2363"/>
      <c r="AK140" s="2363"/>
      <c r="AL140" s="2363"/>
      <c r="AM140" s="153"/>
      <c r="AN140" s="439"/>
      <c r="AO140" s="144" t="s">
        <v>992</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38"/>
      <c r="AO141" s="144" t="s">
        <v>798</v>
      </c>
      <c r="AP141" s="206">
        <v>4</v>
      </c>
    </row>
    <row r="142" spans="1:42" s="46" customFormat="1" ht="12.75" customHeight="1">
      <c r="A142" s="28"/>
      <c r="B142" s="74"/>
      <c r="C142" s="77"/>
      <c r="D142" s="28" t="s">
        <v>163</v>
      </c>
      <c r="E142" s="190"/>
      <c r="F142" s="190"/>
      <c r="G142" s="190"/>
      <c r="H142" s="2372" t="s">
        <v>641</v>
      </c>
      <c r="I142" s="2372"/>
      <c r="J142" s="197"/>
      <c r="K142" s="197"/>
      <c r="L142" s="197"/>
      <c r="M142" s="197"/>
      <c r="N142" s="197"/>
      <c r="O142" s="197"/>
      <c r="P142" s="197"/>
      <c r="Q142" s="197"/>
      <c r="R142" s="197"/>
      <c r="S142" s="197"/>
      <c r="T142" s="197"/>
      <c r="U142" s="190"/>
      <c r="V142" s="190"/>
      <c r="W142" s="190"/>
      <c r="AN142" s="439"/>
      <c r="AO142" s="144" t="s">
        <v>799</v>
      </c>
      <c r="AP142" s="46">
        <v>3</v>
      </c>
    </row>
    <row r="143" spans="1:42" s="46" customFormat="1" ht="12.75" customHeight="1">
      <c r="A143" s="28"/>
      <c r="B143" s="74"/>
      <c r="C143" s="77"/>
      <c r="E143" s="190"/>
      <c r="F143" s="197"/>
      <c r="G143" s="197"/>
      <c r="H143" s="197"/>
      <c r="I143" s="814"/>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711</v>
      </c>
      <c r="AJ144" s="2360">
        <f>VLOOKUP($H$142,$AO$116:$AP$118,2,FALSE)</f>
        <v>3</v>
      </c>
      <c r="AK144" s="2362"/>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641</v>
      </c>
      <c r="E148" s="27" t="s">
        <v>1040</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63" t="s">
        <v>66</v>
      </c>
      <c r="AG148" s="2363"/>
      <c r="AH148" s="2363"/>
      <c r="AI148" s="2363"/>
      <c r="AJ148" s="2363"/>
      <c r="AK148" s="2363"/>
      <c r="AL148" s="2363"/>
      <c r="AM148" s="153"/>
      <c r="AN148" s="439"/>
    </row>
    <row r="149" spans="1:42" s="46" customFormat="1" ht="12.75" customHeight="1">
      <c r="A149" s="28"/>
      <c r="D149" s="144"/>
      <c r="E149" s="27" t="s">
        <v>1041</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2"/>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1386</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63" t="s">
        <v>114</v>
      </c>
      <c r="AG151" s="2363"/>
      <c r="AH151" s="2363"/>
      <c r="AI151" s="2363"/>
      <c r="AJ151" s="2363"/>
      <c r="AK151" s="2363"/>
      <c r="AL151" s="2363"/>
      <c r="AM151" s="153"/>
      <c r="AN151" s="439"/>
    </row>
    <row r="152" spans="1:42" s="46" customFormat="1" ht="12.75" customHeight="1">
      <c r="A152" s="28"/>
      <c r="B152" s="74"/>
      <c r="C152" s="77"/>
      <c r="D152" s="144"/>
      <c r="E152" s="27" t="s">
        <v>1387</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2"/>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38"/>
      <c r="AP153" s="206"/>
    </row>
    <row r="154" spans="1:42" s="46" customFormat="1" ht="12.75" customHeight="1">
      <c r="A154" s="28"/>
      <c r="B154" s="74"/>
      <c r="C154" s="77"/>
      <c r="D154" s="28" t="s">
        <v>163</v>
      </c>
      <c r="E154" s="190"/>
      <c r="F154" s="190"/>
      <c r="G154" s="190"/>
      <c r="H154" s="2372" t="s">
        <v>136</v>
      </c>
      <c r="I154" s="2372"/>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712</v>
      </c>
      <c r="AJ156" s="2360">
        <f>VLOOKUP(H154,AT116:AU118,2,FALSE)</f>
        <v>0</v>
      </c>
      <c r="AK156" s="2362"/>
      <c r="AL156" s="25"/>
      <c r="AN156" s="1138"/>
      <c r="AO156" s="137" t="s">
        <v>136</v>
      </c>
      <c r="AP156" s="752">
        <v>0</v>
      </c>
    </row>
    <row r="157" spans="1:42" s="46" customFormat="1" ht="12.75" customHeight="1">
      <c r="A157" s="28"/>
      <c r="B157" s="74"/>
      <c r="C157" s="77"/>
      <c r="AN157" s="439"/>
      <c r="AO157" s="144" t="s">
        <v>641</v>
      </c>
      <c r="AP157" s="46">
        <v>3</v>
      </c>
    </row>
    <row r="158" spans="1:42" s="46" customFormat="1" ht="12.75" customHeight="1">
      <c r="C158" s="48" t="s">
        <v>343</v>
      </c>
      <c r="AN158" s="439"/>
      <c r="AO158" s="144" t="s">
        <v>214</v>
      </c>
      <c r="AP158" s="46">
        <v>2</v>
      </c>
    </row>
    <row r="159" spans="1:42" s="46" customFormat="1" ht="12.75" customHeight="1">
      <c r="C159" s="48"/>
      <c r="D159" s="478" t="s">
        <v>1243</v>
      </c>
      <c r="AN159" s="439"/>
    </row>
    <row r="160" spans="1:42" s="46" customFormat="1" ht="12.75" customHeight="1">
      <c r="C160" s="48"/>
      <c r="AN160" s="439"/>
    </row>
    <row r="161" spans="1:42" s="46" customFormat="1" ht="12.75" customHeight="1">
      <c r="C161" s="48"/>
      <c r="D161" s="144" t="s">
        <v>641</v>
      </c>
      <c r="E161" s="2373" t="s">
        <v>817</v>
      </c>
      <c r="F161" s="2373"/>
      <c r="G161" s="2373"/>
      <c r="H161" s="2373"/>
      <c r="I161" s="2373"/>
      <c r="J161" s="2373"/>
      <c r="K161" s="2373"/>
      <c r="L161" s="2373"/>
      <c r="M161" s="2373"/>
      <c r="N161" s="2373"/>
      <c r="O161" s="2373"/>
      <c r="P161" s="2373"/>
      <c r="Q161" s="2373"/>
      <c r="R161" s="2373"/>
      <c r="S161" s="2373"/>
      <c r="T161" s="2373"/>
      <c r="U161" s="2373"/>
      <c r="V161" s="2373"/>
      <c r="W161" s="2373"/>
      <c r="X161" s="2373"/>
      <c r="Y161" s="2373"/>
      <c r="Z161" s="2373"/>
      <c r="AA161" s="2373"/>
      <c r="AB161" s="2373"/>
      <c r="AC161" s="2373"/>
      <c r="AF161" s="2363" t="s">
        <v>64</v>
      </c>
      <c r="AG161" s="2363"/>
      <c r="AH161" s="2363"/>
      <c r="AI161" s="2363"/>
      <c r="AJ161" s="2363"/>
      <c r="AK161" s="2363"/>
      <c r="AL161" s="2363"/>
      <c r="AN161" s="439"/>
    </row>
    <row r="162" spans="1:42" s="46" customFormat="1" ht="12.75" customHeight="1">
      <c r="C162" s="48"/>
      <c r="E162" s="2373"/>
      <c r="F162" s="2373"/>
      <c r="G162" s="2373"/>
      <c r="H162" s="2373"/>
      <c r="I162" s="2373"/>
      <c r="J162" s="2373"/>
      <c r="K162" s="2373"/>
      <c r="L162" s="2373"/>
      <c r="M162" s="2373"/>
      <c r="N162" s="2373"/>
      <c r="O162" s="2373"/>
      <c r="P162" s="2373"/>
      <c r="Q162" s="2373"/>
      <c r="R162" s="2373"/>
      <c r="S162" s="2373"/>
      <c r="T162" s="2373"/>
      <c r="U162" s="2373"/>
      <c r="V162" s="2373"/>
      <c r="W162" s="2373"/>
      <c r="X162" s="2373"/>
      <c r="Y162" s="2373"/>
      <c r="Z162" s="2373"/>
      <c r="AA162" s="2373"/>
      <c r="AB162" s="2373"/>
      <c r="AC162" s="2373"/>
      <c r="AN162" s="439"/>
    </row>
    <row r="163" spans="1:42" s="46" customFormat="1" ht="12.75" customHeight="1">
      <c r="C163" s="48"/>
      <c r="D163" s="144"/>
      <c r="E163" s="2373"/>
      <c r="F163" s="2373"/>
      <c r="G163" s="2373"/>
      <c r="H163" s="2373"/>
      <c r="I163" s="2373"/>
      <c r="J163" s="2373"/>
      <c r="K163" s="2373"/>
      <c r="L163" s="2373"/>
      <c r="M163" s="2373"/>
      <c r="N163" s="2373"/>
      <c r="O163" s="2373"/>
      <c r="P163" s="2373"/>
      <c r="Q163" s="2373"/>
      <c r="R163" s="2373"/>
      <c r="S163" s="2373"/>
      <c r="T163" s="2373"/>
      <c r="U163" s="2373"/>
      <c r="V163" s="2373"/>
      <c r="W163" s="2373"/>
      <c r="X163" s="2373"/>
      <c r="Y163" s="2373"/>
      <c r="Z163" s="2373"/>
      <c r="AA163" s="2373"/>
      <c r="AB163" s="2373"/>
      <c r="AC163" s="2373"/>
      <c r="AN163" s="439"/>
    </row>
    <row r="164" spans="1:42" s="46" customFormat="1" ht="15" customHeight="1">
      <c r="C164" s="48"/>
      <c r="E164" s="541"/>
      <c r="F164" s="541"/>
      <c r="G164" s="541"/>
      <c r="H164" s="541"/>
      <c r="I164" s="541"/>
      <c r="J164" s="541"/>
      <c r="K164" s="541"/>
      <c r="L164" s="541"/>
      <c r="M164" s="541"/>
      <c r="N164" s="541"/>
      <c r="O164" s="541"/>
      <c r="P164" s="541"/>
      <c r="Q164" s="541"/>
      <c r="R164" s="541"/>
      <c r="S164" s="541"/>
      <c r="T164" s="541"/>
      <c r="U164" s="541"/>
      <c r="V164" s="541"/>
      <c r="W164" s="541"/>
      <c r="X164" s="541"/>
      <c r="Y164" s="541"/>
      <c r="Z164" s="541"/>
      <c r="AA164" s="541"/>
      <c r="AB164" s="541"/>
      <c r="AN164" s="439"/>
    </row>
    <row r="165" spans="1:42" s="46" customFormat="1" ht="12.75" customHeight="1">
      <c r="C165" s="48"/>
      <c r="D165" s="144" t="s">
        <v>214</v>
      </c>
      <c r="E165" s="2373" t="s">
        <v>1931</v>
      </c>
      <c r="F165" s="2373"/>
      <c r="G165" s="2373"/>
      <c r="H165" s="2373"/>
      <c r="I165" s="2373"/>
      <c r="J165" s="2373"/>
      <c r="K165" s="2373"/>
      <c r="L165" s="2373"/>
      <c r="M165" s="2373"/>
      <c r="N165" s="2373"/>
      <c r="O165" s="2373"/>
      <c r="P165" s="2373"/>
      <c r="Q165" s="2373"/>
      <c r="R165" s="2373"/>
      <c r="S165" s="2373"/>
      <c r="T165" s="2373"/>
      <c r="U165" s="2373"/>
      <c r="V165" s="2373"/>
      <c r="W165" s="2373"/>
      <c r="X165" s="2373"/>
      <c r="Y165" s="2373"/>
      <c r="Z165" s="2373"/>
      <c r="AA165" s="2373"/>
      <c r="AB165" s="2373"/>
      <c r="AC165" s="2373"/>
      <c r="AF165" s="2363" t="s">
        <v>65</v>
      </c>
      <c r="AG165" s="2363"/>
      <c r="AH165" s="2363"/>
      <c r="AI165" s="2363"/>
      <c r="AJ165" s="2363"/>
      <c r="AK165" s="2363"/>
      <c r="AL165" s="2363"/>
      <c r="AN165" s="439"/>
    </row>
    <row r="166" spans="1:42" s="46" customFormat="1" ht="12.75" customHeight="1">
      <c r="C166" s="48"/>
      <c r="E166" s="2373"/>
      <c r="F166" s="2373"/>
      <c r="G166" s="2373"/>
      <c r="H166" s="2373"/>
      <c r="I166" s="2373"/>
      <c r="J166" s="2373"/>
      <c r="K166" s="2373"/>
      <c r="L166" s="2373"/>
      <c r="M166" s="2373"/>
      <c r="N166" s="2373"/>
      <c r="O166" s="2373"/>
      <c r="P166" s="2373"/>
      <c r="Q166" s="2373"/>
      <c r="R166" s="2373"/>
      <c r="S166" s="2373"/>
      <c r="T166" s="2373"/>
      <c r="U166" s="2373"/>
      <c r="V166" s="2373"/>
      <c r="W166" s="2373"/>
      <c r="X166" s="2373"/>
      <c r="Y166" s="2373"/>
      <c r="Z166" s="2373"/>
      <c r="AA166" s="2373"/>
      <c r="AB166" s="2373"/>
      <c r="AC166" s="2373"/>
      <c r="AN166" s="439"/>
    </row>
    <row r="167" spans="1:42" s="46" customFormat="1" ht="15" customHeight="1">
      <c r="C167" s="48"/>
      <c r="D167" s="144"/>
      <c r="E167" s="2373"/>
      <c r="F167" s="2373"/>
      <c r="G167" s="2373"/>
      <c r="H167" s="2373"/>
      <c r="I167" s="2373"/>
      <c r="J167" s="2373"/>
      <c r="K167" s="2373"/>
      <c r="L167" s="2373"/>
      <c r="M167" s="2373"/>
      <c r="N167" s="2373"/>
      <c r="O167" s="2373"/>
      <c r="P167" s="2373"/>
      <c r="Q167" s="2373"/>
      <c r="R167" s="2373"/>
      <c r="S167" s="2373"/>
      <c r="T167" s="2373"/>
      <c r="U167" s="2373"/>
      <c r="V167" s="2373"/>
      <c r="W167" s="2373"/>
      <c r="X167" s="2373"/>
      <c r="Y167" s="2373"/>
      <c r="Z167" s="2373"/>
      <c r="AA167" s="2373"/>
      <c r="AB167" s="2373"/>
      <c r="AC167" s="2373"/>
      <c r="AN167" s="439"/>
    </row>
    <row r="168" spans="1:42" s="137" customFormat="1" ht="12.75" customHeight="1">
      <c r="A168" s="46"/>
      <c r="B168" s="46"/>
      <c r="C168" s="48"/>
      <c r="D168" s="46"/>
      <c r="E168" s="541"/>
      <c r="F168" s="541"/>
      <c r="G168" s="541"/>
      <c r="H168" s="541"/>
      <c r="I168" s="541"/>
      <c r="J168" s="541"/>
      <c r="K168" s="541"/>
      <c r="L168" s="541"/>
      <c r="M168" s="541"/>
      <c r="N168" s="541"/>
      <c r="O168" s="541"/>
      <c r="P168" s="541"/>
      <c r="Q168" s="541"/>
      <c r="R168" s="541"/>
      <c r="S168" s="541"/>
      <c r="T168" s="541"/>
      <c r="U168" s="541"/>
      <c r="V168" s="541"/>
      <c r="W168" s="541"/>
      <c r="X168" s="541"/>
      <c r="Y168" s="541"/>
      <c r="Z168" s="541"/>
      <c r="AA168" s="541"/>
      <c r="AB168" s="541"/>
      <c r="AC168" s="46"/>
      <c r="AD168" s="46"/>
      <c r="AE168" s="46"/>
      <c r="AM168" s="46"/>
      <c r="AN168" s="1138"/>
    </row>
    <row r="169" spans="1:42" s="46" customFormat="1" ht="12.75" customHeight="1">
      <c r="C169" s="48"/>
      <c r="D169" s="144" t="s">
        <v>992</v>
      </c>
      <c r="E169" s="2373" t="s">
        <v>1932</v>
      </c>
      <c r="F169" s="2373"/>
      <c r="G169" s="2373"/>
      <c r="H169" s="2373"/>
      <c r="I169" s="2373"/>
      <c r="J169" s="2373"/>
      <c r="K169" s="2373"/>
      <c r="L169" s="2373"/>
      <c r="M169" s="2373"/>
      <c r="N169" s="2373"/>
      <c r="O169" s="2373"/>
      <c r="P169" s="2373"/>
      <c r="Q169" s="2373"/>
      <c r="R169" s="2373"/>
      <c r="S169" s="2373"/>
      <c r="T169" s="2373"/>
      <c r="U169" s="2373"/>
      <c r="V169" s="2373"/>
      <c r="W169" s="2373"/>
      <c r="X169" s="2373"/>
      <c r="Y169" s="2373"/>
      <c r="Z169" s="2373"/>
      <c r="AA169" s="2373"/>
      <c r="AB169" s="2373"/>
      <c r="AC169" s="2373"/>
      <c r="AF169" s="2363" t="s">
        <v>66</v>
      </c>
      <c r="AG169" s="2363"/>
      <c r="AH169" s="2363"/>
      <c r="AI169" s="2363"/>
      <c r="AJ169" s="2363"/>
      <c r="AK169" s="2363"/>
      <c r="AL169" s="2363"/>
      <c r="AN169" s="439"/>
    </row>
    <row r="170" spans="1:42" s="46" customFormat="1" ht="12.75" customHeight="1">
      <c r="A170" s="28"/>
      <c r="B170" s="161"/>
      <c r="C170" s="188"/>
      <c r="E170" s="2373"/>
      <c r="F170" s="2373"/>
      <c r="G170" s="2373"/>
      <c r="H170" s="2373"/>
      <c r="I170" s="2373"/>
      <c r="J170" s="2373"/>
      <c r="K170" s="2373"/>
      <c r="L170" s="2373"/>
      <c r="M170" s="2373"/>
      <c r="N170" s="2373"/>
      <c r="O170" s="2373"/>
      <c r="P170" s="2373"/>
      <c r="Q170" s="2373"/>
      <c r="R170" s="2373"/>
      <c r="S170" s="2373"/>
      <c r="T170" s="2373"/>
      <c r="U170" s="2373"/>
      <c r="V170" s="2373"/>
      <c r="W170" s="2373"/>
      <c r="X170" s="2373"/>
      <c r="Y170" s="2373"/>
      <c r="Z170" s="2373"/>
      <c r="AA170" s="2373"/>
      <c r="AB170" s="2373"/>
      <c r="AC170" s="2373"/>
      <c r="AE170" s="2363"/>
      <c r="AF170" s="2363"/>
      <c r="AG170" s="2363"/>
      <c r="AH170" s="2363"/>
      <c r="AI170" s="2363"/>
      <c r="AJ170" s="2363"/>
      <c r="AK170" s="2363"/>
      <c r="AL170" s="1302"/>
      <c r="AM170" s="153"/>
      <c r="AN170" s="439"/>
      <c r="AO170" s="46" t="s">
        <v>136</v>
      </c>
      <c r="AP170" s="751">
        <v>0</v>
      </c>
    </row>
    <row r="171" spans="1:42" s="46" customFormat="1" ht="12.75" customHeight="1">
      <c r="A171" s="195"/>
      <c r="D171" s="144"/>
      <c r="E171" s="2373"/>
      <c r="F171" s="2373"/>
      <c r="G171" s="2373"/>
      <c r="H171" s="2373"/>
      <c r="I171" s="2373"/>
      <c r="J171" s="2373"/>
      <c r="K171" s="2373"/>
      <c r="L171" s="2373"/>
      <c r="M171" s="2373"/>
      <c r="N171" s="2373"/>
      <c r="O171" s="2373"/>
      <c r="P171" s="2373"/>
      <c r="Q171" s="2373"/>
      <c r="R171" s="2373"/>
      <c r="S171" s="2373"/>
      <c r="T171" s="2373"/>
      <c r="U171" s="2373"/>
      <c r="V171" s="2373"/>
      <c r="W171" s="2373"/>
      <c r="X171" s="2373"/>
      <c r="Y171" s="2373"/>
      <c r="Z171" s="2373"/>
      <c r="AA171" s="2373"/>
      <c r="AB171" s="2373"/>
      <c r="AC171" s="2373"/>
      <c r="AF171" s="8"/>
      <c r="AG171" s="153"/>
      <c r="AH171" s="153"/>
      <c r="AI171" s="153"/>
      <c r="AJ171" s="153"/>
      <c r="AK171" s="153"/>
      <c r="AL171" s="153"/>
      <c r="AM171" s="153"/>
      <c r="AN171" s="439"/>
      <c r="AO171" s="144" t="s">
        <v>641</v>
      </c>
      <c r="AP171" s="46">
        <v>3</v>
      </c>
    </row>
    <row r="172" spans="1:42" s="46" customFormat="1" ht="12.75" customHeight="1">
      <c r="A172" s="28"/>
      <c r="B172" s="161"/>
      <c r="C172" s="188"/>
      <c r="D172" s="144"/>
      <c r="E172" s="539"/>
      <c r="F172" s="539"/>
      <c r="G172" s="539"/>
      <c r="H172" s="539"/>
      <c r="I172" s="539"/>
      <c r="J172" s="539"/>
      <c r="K172" s="539"/>
      <c r="L172" s="539"/>
      <c r="M172" s="539"/>
      <c r="N172" s="539"/>
      <c r="O172" s="539"/>
      <c r="P172" s="539"/>
      <c r="Q172" s="539"/>
      <c r="R172" s="539"/>
      <c r="S172" s="539"/>
      <c r="T172" s="539"/>
      <c r="U172" s="539"/>
      <c r="V172" s="539"/>
      <c r="W172" s="539"/>
      <c r="X172" s="539"/>
      <c r="Y172" s="539"/>
      <c r="Z172" s="539"/>
      <c r="AA172" s="539"/>
      <c r="AB172" s="539"/>
      <c r="AE172" s="153"/>
      <c r="AN172" s="439"/>
      <c r="AO172" s="144" t="s">
        <v>214</v>
      </c>
      <c r="AP172" s="46">
        <v>2</v>
      </c>
    </row>
    <row r="173" spans="1:42" s="46" customFormat="1" ht="12.75" customHeight="1">
      <c r="A173" s="183"/>
      <c r="B173" s="161"/>
      <c r="C173" s="202"/>
      <c r="D173" s="144" t="s">
        <v>798</v>
      </c>
      <c r="E173" s="2373" t="s">
        <v>1933</v>
      </c>
      <c r="F173" s="2373"/>
      <c r="G173" s="2373"/>
      <c r="H173" s="2373"/>
      <c r="I173" s="2373"/>
      <c r="J173" s="2373"/>
      <c r="K173" s="2373"/>
      <c r="L173" s="2373"/>
      <c r="M173" s="2373"/>
      <c r="N173" s="2373"/>
      <c r="O173" s="2373"/>
      <c r="P173" s="2373"/>
      <c r="Q173" s="2373"/>
      <c r="R173" s="2373"/>
      <c r="S173" s="2373"/>
      <c r="T173" s="2373"/>
      <c r="U173" s="2373"/>
      <c r="V173" s="2373"/>
      <c r="W173" s="2373"/>
      <c r="X173" s="2373"/>
      <c r="Y173" s="2373"/>
      <c r="Z173" s="2373"/>
      <c r="AA173" s="2373"/>
      <c r="AB173" s="2373"/>
      <c r="AC173" s="2373"/>
      <c r="AF173" s="2363" t="s">
        <v>65</v>
      </c>
      <c r="AG173" s="2363"/>
      <c r="AH173" s="2363"/>
      <c r="AI173" s="2363"/>
      <c r="AJ173" s="2363"/>
      <c r="AK173" s="2363"/>
      <c r="AL173" s="2363"/>
      <c r="AN173" s="439"/>
    </row>
    <row r="174" spans="1:42" s="46" customFormat="1" ht="12.75" customHeight="1">
      <c r="A174" s="183"/>
      <c r="B174" s="161"/>
      <c r="C174" s="202"/>
      <c r="D174" s="144"/>
      <c r="E174" s="2373"/>
      <c r="F174" s="2373"/>
      <c r="G174" s="2373"/>
      <c r="H174" s="2373"/>
      <c r="I174" s="2373"/>
      <c r="J174" s="2373"/>
      <c r="K174" s="2373"/>
      <c r="L174" s="2373"/>
      <c r="M174" s="2373"/>
      <c r="N174" s="2373"/>
      <c r="O174" s="2373"/>
      <c r="P174" s="2373"/>
      <c r="Q174" s="2373"/>
      <c r="R174" s="2373"/>
      <c r="S174" s="2373"/>
      <c r="T174" s="2373"/>
      <c r="U174" s="2373"/>
      <c r="V174" s="2373"/>
      <c r="W174" s="2373"/>
      <c r="X174" s="2373"/>
      <c r="Y174" s="2373"/>
      <c r="Z174" s="2373"/>
      <c r="AA174" s="2373"/>
      <c r="AB174" s="2373"/>
      <c r="AC174" s="2373"/>
      <c r="AE174" s="179"/>
      <c r="AF174" s="179"/>
      <c r="AG174" s="179"/>
      <c r="AH174" s="179"/>
      <c r="AI174" s="179"/>
      <c r="AJ174" s="179"/>
      <c r="AK174" s="179"/>
      <c r="AL174" s="1302"/>
      <c r="AM174" s="203"/>
      <c r="AN174" s="439"/>
    </row>
    <row r="175" spans="1:42" s="46" customFormat="1" ht="12.75" customHeight="1">
      <c r="A175" s="183"/>
      <c r="B175" s="161"/>
      <c r="C175" s="202"/>
      <c r="D175" s="144"/>
      <c r="E175" s="2373"/>
      <c r="F175" s="2373"/>
      <c r="G175" s="2373"/>
      <c r="H175" s="2373"/>
      <c r="I175" s="2373"/>
      <c r="J175" s="2373"/>
      <c r="K175" s="2373"/>
      <c r="L175" s="2373"/>
      <c r="M175" s="2373"/>
      <c r="N175" s="2373"/>
      <c r="O175" s="2373"/>
      <c r="P175" s="2373"/>
      <c r="Q175" s="2373"/>
      <c r="R175" s="2373"/>
      <c r="S175" s="2373"/>
      <c r="T175" s="2373"/>
      <c r="U175" s="2373"/>
      <c r="V175" s="2373"/>
      <c r="W175" s="2373"/>
      <c r="X175" s="2373"/>
      <c r="Y175" s="2373"/>
      <c r="Z175" s="2373"/>
      <c r="AA175" s="2373"/>
      <c r="AB175" s="2373"/>
      <c r="AC175" s="2373"/>
      <c r="AE175" s="179"/>
      <c r="AF175" s="179"/>
      <c r="AG175" s="179"/>
      <c r="AH175" s="179"/>
      <c r="AI175" s="179"/>
      <c r="AJ175" s="179"/>
      <c r="AK175" s="179"/>
      <c r="AL175" s="1302"/>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2"/>
      <c r="AM176" s="203"/>
      <c r="AN176" s="439"/>
    </row>
    <row r="177" spans="1:42" s="46" customFormat="1" ht="12.75" customHeight="1">
      <c r="A177" s="28"/>
      <c r="B177" s="161"/>
      <c r="C177" s="188"/>
      <c r="D177" s="144" t="s">
        <v>799</v>
      </c>
      <c r="E177" s="2373" t="s">
        <v>1934</v>
      </c>
      <c r="F177" s="2373"/>
      <c r="G177" s="2373"/>
      <c r="H177" s="2373"/>
      <c r="I177" s="2373"/>
      <c r="J177" s="2373"/>
      <c r="K177" s="2373"/>
      <c r="L177" s="2373"/>
      <c r="M177" s="2373"/>
      <c r="N177" s="2373"/>
      <c r="O177" s="2373"/>
      <c r="P177" s="2373"/>
      <c r="Q177" s="2373"/>
      <c r="R177" s="2373"/>
      <c r="S177" s="2373"/>
      <c r="T177" s="2373"/>
      <c r="U177" s="2373"/>
      <c r="V177" s="2373"/>
      <c r="W177" s="2373"/>
      <c r="X177" s="2373"/>
      <c r="Y177" s="2373"/>
      <c r="Z177" s="2373"/>
      <c r="AA177" s="2373"/>
      <c r="AB177" s="2373"/>
      <c r="AC177" s="2373"/>
      <c r="AF177" s="2363" t="s">
        <v>66</v>
      </c>
      <c r="AG177" s="2363"/>
      <c r="AH177" s="2363"/>
      <c r="AI177" s="2363"/>
      <c r="AJ177" s="2363"/>
      <c r="AK177" s="2363"/>
      <c r="AL177" s="2363"/>
      <c r="AM177" s="203"/>
      <c r="AN177" s="439"/>
    </row>
    <row r="178" spans="1:42" s="46" customFormat="1" ht="12.75" customHeight="1">
      <c r="A178" s="28"/>
      <c r="B178" s="161"/>
      <c r="C178" s="188"/>
      <c r="D178" s="144"/>
      <c r="E178" s="2373"/>
      <c r="F178" s="2373"/>
      <c r="G178" s="2373"/>
      <c r="H178" s="2373"/>
      <c r="I178" s="2373"/>
      <c r="J178" s="2373"/>
      <c r="K178" s="2373"/>
      <c r="L178" s="2373"/>
      <c r="M178" s="2373"/>
      <c r="N178" s="2373"/>
      <c r="O178" s="2373"/>
      <c r="P178" s="2373"/>
      <c r="Q178" s="2373"/>
      <c r="R178" s="2373"/>
      <c r="S178" s="2373"/>
      <c r="T178" s="2373"/>
      <c r="U178" s="2373"/>
      <c r="V178" s="2373"/>
      <c r="W178" s="2373"/>
      <c r="X178" s="2373"/>
      <c r="Y178" s="2373"/>
      <c r="Z178" s="2373"/>
      <c r="AA178" s="2373"/>
      <c r="AB178" s="2373"/>
      <c r="AC178" s="2373"/>
      <c r="AE178" s="153"/>
      <c r="AF178" s="74"/>
      <c r="AH178" s="153"/>
      <c r="AI178" s="153"/>
      <c r="AJ178" s="153"/>
      <c r="AK178" s="153"/>
      <c r="AL178" s="153"/>
      <c r="AM178" s="203"/>
      <c r="AN178" s="439"/>
    </row>
    <row r="179" spans="1:42" s="46" customFormat="1" ht="12.75" customHeight="1">
      <c r="A179" s="28"/>
      <c r="B179" s="161"/>
      <c r="C179" s="188"/>
      <c r="D179" s="144"/>
      <c r="E179" s="2373"/>
      <c r="F179" s="2373"/>
      <c r="G179" s="2373"/>
      <c r="H179" s="2373"/>
      <c r="I179" s="2373"/>
      <c r="J179" s="2373"/>
      <c r="K179" s="2373"/>
      <c r="L179" s="2373"/>
      <c r="M179" s="2373"/>
      <c r="N179" s="2373"/>
      <c r="O179" s="2373"/>
      <c r="P179" s="2373"/>
      <c r="Q179" s="2373"/>
      <c r="R179" s="2373"/>
      <c r="S179" s="2373"/>
      <c r="T179" s="2373"/>
      <c r="U179" s="2373"/>
      <c r="V179" s="2373"/>
      <c r="W179" s="2373"/>
      <c r="X179" s="2373"/>
      <c r="Y179" s="2373"/>
      <c r="Z179" s="2373"/>
      <c r="AA179" s="2373"/>
      <c r="AB179" s="2373"/>
      <c r="AC179" s="2373"/>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38"/>
    </row>
    <row r="181" spans="1:42" s="46" customFormat="1" ht="12.75" customHeight="1">
      <c r="A181" s="195"/>
      <c r="B181" s="74"/>
      <c r="C181" s="77"/>
      <c r="D181" s="144" t="s">
        <v>308</v>
      </c>
      <c r="E181" s="2373" t="s">
        <v>1651</v>
      </c>
      <c r="F181" s="2373"/>
      <c r="G181" s="2373"/>
      <c r="H181" s="2373"/>
      <c r="I181" s="2373"/>
      <c r="J181" s="2373"/>
      <c r="K181" s="2373"/>
      <c r="L181" s="2373"/>
      <c r="M181" s="2373"/>
      <c r="N181" s="2373"/>
      <c r="O181" s="2373"/>
      <c r="P181" s="2373"/>
      <c r="Q181" s="2373"/>
      <c r="R181" s="2373"/>
      <c r="S181" s="2373"/>
      <c r="T181" s="2373"/>
      <c r="U181" s="2373"/>
      <c r="V181" s="2373"/>
      <c r="W181" s="2373"/>
      <c r="X181" s="2373"/>
      <c r="Y181" s="2373"/>
      <c r="Z181" s="2373"/>
      <c r="AA181" s="2373"/>
      <c r="AB181" s="2373"/>
      <c r="AC181" s="2373"/>
      <c r="AF181" s="2363" t="s">
        <v>114</v>
      </c>
      <c r="AG181" s="2363"/>
      <c r="AH181" s="2363"/>
      <c r="AI181" s="2363"/>
      <c r="AJ181" s="2363"/>
      <c r="AK181" s="2363"/>
      <c r="AL181" s="2363"/>
      <c r="AM181" s="203"/>
      <c r="AN181" s="439"/>
    </row>
    <row r="182" spans="1:42" s="46" customFormat="1" ht="23.1" customHeight="1">
      <c r="A182" s="195"/>
      <c r="B182" s="74"/>
      <c r="C182" s="77"/>
      <c r="D182" s="144"/>
      <c r="E182" s="2373"/>
      <c r="F182" s="2373"/>
      <c r="G182" s="2373"/>
      <c r="H182" s="2373"/>
      <c r="I182" s="2373"/>
      <c r="J182" s="2373"/>
      <c r="K182" s="2373"/>
      <c r="L182" s="2373"/>
      <c r="M182" s="2373"/>
      <c r="N182" s="2373"/>
      <c r="O182" s="2373"/>
      <c r="P182" s="2373"/>
      <c r="Q182" s="2373"/>
      <c r="R182" s="2373"/>
      <c r="S182" s="2373"/>
      <c r="T182" s="2373"/>
      <c r="U182" s="2373"/>
      <c r="V182" s="2373"/>
      <c r="W182" s="2373"/>
      <c r="X182" s="2373"/>
      <c r="Y182" s="2373"/>
      <c r="Z182" s="2373"/>
      <c r="AA182" s="2373"/>
      <c r="AB182" s="2373"/>
      <c r="AC182" s="2373"/>
      <c r="AE182" s="179"/>
      <c r="AF182" s="179"/>
      <c r="AG182" s="179"/>
      <c r="AH182" s="179"/>
      <c r="AI182" s="179"/>
      <c r="AJ182" s="179"/>
      <c r="AK182" s="179"/>
      <c r="AL182" s="1302"/>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0">
        <v>0</v>
      </c>
    </row>
    <row r="184" spans="1:42" s="46" customFormat="1" ht="12.75" customHeight="1">
      <c r="A184" s="195"/>
      <c r="B184" s="74"/>
      <c r="C184" s="77"/>
      <c r="D184" s="144" t="s">
        <v>309</v>
      </c>
      <c r="E184" s="2373" t="s">
        <v>1652</v>
      </c>
      <c r="F184" s="2373"/>
      <c r="G184" s="2373"/>
      <c r="H184" s="2373"/>
      <c r="I184" s="2373"/>
      <c r="J184" s="2373"/>
      <c r="K184" s="2373"/>
      <c r="L184" s="2373"/>
      <c r="M184" s="2373"/>
      <c r="N184" s="2373"/>
      <c r="O184" s="2373"/>
      <c r="P184" s="2373"/>
      <c r="Q184" s="2373"/>
      <c r="R184" s="2373"/>
      <c r="S184" s="2373"/>
      <c r="T184" s="2373"/>
      <c r="U184" s="2373"/>
      <c r="V184" s="2373"/>
      <c r="W184" s="2373"/>
      <c r="X184" s="2373"/>
      <c r="Y184" s="2373"/>
      <c r="Z184" s="2373"/>
      <c r="AA184" s="2373"/>
      <c r="AB184" s="2373"/>
      <c r="AC184" s="2373"/>
      <c r="AF184" s="2363" t="s">
        <v>354</v>
      </c>
      <c r="AG184" s="2363"/>
      <c r="AH184" s="2363"/>
      <c r="AI184" s="2363"/>
      <c r="AJ184" s="2363"/>
      <c r="AK184" s="2363"/>
      <c r="AL184" s="2363"/>
      <c r="AM184" s="203"/>
      <c r="AN184" s="439"/>
      <c r="AO184" s="144" t="s">
        <v>641</v>
      </c>
      <c r="AP184" s="46">
        <v>3</v>
      </c>
    </row>
    <row r="185" spans="1:42" s="46" customFormat="1" ht="23.1" customHeight="1">
      <c r="A185" s="195"/>
      <c r="B185" s="74"/>
      <c r="C185" s="77"/>
      <c r="D185" s="144"/>
      <c r="E185" s="2373"/>
      <c r="F185" s="2373"/>
      <c r="G185" s="2373"/>
      <c r="H185" s="2373"/>
      <c r="I185" s="2373"/>
      <c r="J185" s="2373"/>
      <c r="K185" s="2373"/>
      <c r="L185" s="2373"/>
      <c r="M185" s="2373"/>
      <c r="N185" s="2373"/>
      <c r="O185" s="2373"/>
      <c r="P185" s="2373"/>
      <c r="Q185" s="2373"/>
      <c r="R185" s="2373"/>
      <c r="S185" s="2373"/>
      <c r="T185" s="2373"/>
      <c r="U185" s="2373"/>
      <c r="V185" s="2373"/>
      <c r="W185" s="2373"/>
      <c r="X185" s="2373"/>
      <c r="Y185" s="2373"/>
      <c r="Z185" s="2373"/>
      <c r="AA185" s="2373"/>
      <c r="AB185" s="2373"/>
      <c r="AC185" s="2373"/>
      <c r="AE185" s="179"/>
      <c r="AF185" s="179"/>
      <c r="AG185" s="179"/>
      <c r="AH185" s="179"/>
      <c r="AI185" s="179"/>
      <c r="AJ185" s="179"/>
      <c r="AK185" s="179"/>
      <c r="AL185" s="1302"/>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2"/>
      <c r="AM186" s="203"/>
      <c r="AN186" s="439"/>
    </row>
    <row r="187" spans="1:42" s="46" customFormat="1" ht="12.75" customHeight="1">
      <c r="A187" s="195"/>
      <c r="B187" s="74"/>
      <c r="C187" s="77"/>
      <c r="D187" s="28" t="s">
        <v>163</v>
      </c>
      <c r="E187" s="190"/>
      <c r="F187" s="190"/>
      <c r="G187" s="190"/>
      <c r="H187" s="2372" t="s">
        <v>214</v>
      </c>
      <c r="I187" s="2372"/>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771</v>
      </c>
      <c r="AJ189" s="2360">
        <f>VLOOKUP($H$187,$AO$137:$AP$144,2,FALSE)</f>
        <v>4</v>
      </c>
      <c r="AK189" s="2362"/>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1244</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641</v>
      </c>
      <c r="E193" s="2373" t="s">
        <v>2236</v>
      </c>
      <c r="F193" s="2373"/>
      <c r="G193" s="2373"/>
      <c r="H193" s="2373"/>
      <c r="I193" s="2373"/>
      <c r="J193" s="2373"/>
      <c r="K193" s="2373"/>
      <c r="L193" s="2373"/>
      <c r="M193" s="2373"/>
      <c r="N193" s="2373"/>
      <c r="O193" s="2373"/>
      <c r="P193" s="2373"/>
      <c r="Q193" s="2373"/>
      <c r="R193" s="2373"/>
      <c r="S193" s="2373"/>
      <c r="T193" s="2373"/>
      <c r="U193" s="2373"/>
      <c r="V193" s="2373"/>
      <c r="W193" s="2373"/>
      <c r="X193" s="2373"/>
      <c r="Y193" s="2373"/>
      <c r="Z193" s="2373"/>
      <c r="AA193" s="2373"/>
      <c r="AB193" s="2373"/>
      <c r="AC193" s="46"/>
      <c r="AD193" s="46"/>
      <c r="AF193" s="2363" t="s">
        <v>66</v>
      </c>
      <c r="AG193" s="2363"/>
      <c r="AH193" s="2363"/>
      <c r="AI193" s="2363"/>
      <c r="AJ193" s="2363"/>
      <c r="AK193" s="2363"/>
      <c r="AL193" s="2363"/>
      <c r="AM193" s="153"/>
      <c r="AN193" s="1138"/>
    </row>
    <row r="194" spans="1:42" s="137" customFormat="1" ht="12.75" customHeight="1">
      <c r="A194" s="28"/>
      <c r="B194" s="161"/>
      <c r="C194" s="196"/>
      <c r="D194" s="144"/>
      <c r="E194" s="2373"/>
      <c r="F194" s="2373"/>
      <c r="G194" s="2373"/>
      <c r="H194" s="2373"/>
      <c r="I194" s="2373"/>
      <c r="J194" s="2373"/>
      <c r="K194" s="2373"/>
      <c r="L194" s="2373"/>
      <c r="M194" s="2373"/>
      <c r="N194" s="2373"/>
      <c r="O194" s="2373"/>
      <c r="P194" s="2373"/>
      <c r="Q194" s="2373"/>
      <c r="R194" s="2373"/>
      <c r="S194" s="2373"/>
      <c r="T194" s="2373"/>
      <c r="U194" s="2373"/>
      <c r="V194" s="2373"/>
      <c r="W194" s="2373"/>
      <c r="X194" s="2373"/>
      <c r="Y194" s="2373"/>
      <c r="Z194" s="2373"/>
      <c r="AA194" s="2373"/>
      <c r="AB194" s="2373"/>
      <c r="AC194" s="46"/>
      <c r="AD194" s="46"/>
      <c r="AE194" s="27"/>
      <c r="AM194" s="153"/>
      <c r="AN194" s="1138"/>
      <c r="AO194" s="2591"/>
      <c r="AP194" s="2591"/>
    </row>
    <row r="195" spans="1:42" s="137" customFormat="1" ht="12.75" customHeight="1">
      <c r="A195" s="28"/>
      <c r="B195" s="161"/>
      <c r="C195" s="196"/>
      <c r="D195" s="144"/>
      <c r="E195" s="2373"/>
      <c r="F195" s="2373"/>
      <c r="G195" s="2373"/>
      <c r="H195" s="2373"/>
      <c r="I195" s="2373"/>
      <c r="J195" s="2373"/>
      <c r="K195" s="2373"/>
      <c r="L195" s="2373"/>
      <c r="M195" s="2373"/>
      <c r="N195" s="2373"/>
      <c r="O195" s="2373"/>
      <c r="P195" s="2373"/>
      <c r="Q195" s="2373"/>
      <c r="R195" s="2373"/>
      <c r="S195" s="2373"/>
      <c r="T195" s="2373"/>
      <c r="U195" s="2373"/>
      <c r="V195" s="2373"/>
      <c r="W195" s="2373"/>
      <c r="X195" s="2373"/>
      <c r="Y195" s="2373"/>
      <c r="Z195" s="2373"/>
      <c r="AA195" s="2373"/>
      <c r="AB195" s="2373"/>
      <c r="AC195" s="46"/>
      <c r="AD195" s="46"/>
      <c r="AE195" s="27"/>
      <c r="AF195" s="173"/>
      <c r="AG195" s="27"/>
      <c r="AH195" s="27"/>
      <c r="AI195" s="27"/>
      <c r="AJ195" s="27"/>
      <c r="AK195" s="27"/>
      <c r="AL195" s="27"/>
      <c r="AM195" s="153"/>
      <c r="AN195" s="1138"/>
    </row>
    <row r="196" spans="1:42" s="46" customFormat="1" ht="12.75" customHeight="1">
      <c r="A196" s="28"/>
      <c r="B196" s="161"/>
      <c r="C196" s="196"/>
      <c r="D196" s="144"/>
      <c r="E196" s="2373"/>
      <c r="F196" s="2373"/>
      <c r="G196" s="2373"/>
      <c r="H196" s="2373"/>
      <c r="I196" s="2373"/>
      <c r="J196" s="2373"/>
      <c r="K196" s="2373"/>
      <c r="L196" s="2373"/>
      <c r="M196" s="2373"/>
      <c r="N196" s="2373"/>
      <c r="O196" s="2373"/>
      <c r="P196" s="2373"/>
      <c r="Q196" s="2373"/>
      <c r="R196" s="2373"/>
      <c r="S196" s="2373"/>
      <c r="T196" s="2373"/>
      <c r="U196" s="2373"/>
      <c r="V196" s="2373"/>
      <c r="W196" s="2373"/>
      <c r="X196" s="2373"/>
      <c r="Y196" s="2373"/>
      <c r="Z196" s="2373"/>
      <c r="AA196" s="2373"/>
      <c r="AB196" s="2373"/>
      <c r="AE196" s="27"/>
      <c r="AF196" s="173"/>
      <c r="AG196" s="27"/>
      <c r="AH196" s="27"/>
      <c r="AI196" s="27"/>
      <c r="AJ196" s="27"/>
      <c r="AK196" s="27"/>
      <c r="AL196" s="27"/>
      <c r="AM196" s="153"/>
      <c r="AN196" s="439"/>
      <c r="AO196" s="46" t="s">
        <v>136</v>
      </c>
      <c r="AP196" s="751">
        <v>0</v>
      </c>
    </row>
    <row r="197" spans="1:42" s="46" customFormat="1" ht="12.75" customHeight="1">
      <c r="A197" s="28"/>
      <c r="B197" s="161"/>
      <c r="C197" s="196"/>
      <c r="D197" s="144"/>
      <c r="E197" s="539"/>
      <c r="F197" s="539"/>
      <c r="G197" s="539"/>
      <c r="H197" s="539"/>
      <c r="I197" s="539"/>
      <c r="J197" s="539"/>
      <c r="K197" s="539"/>
      <c r="L197" s="539"/>
      <c r="M197" s="539"/>
      <c r="N197" s="539"/>
      <c r="O197" s="539"/>
      <c r="P197" s="539"/>
      <c r="Q197" s="539"/>
      <c r="R197" s="539"/>
      <c r="S197" s="539"/>
      <c r="T197" s="539"/>
      <c r="U197" s="539"/>
      <c r="V197" s="539"/>
      <c r="W197" s="539"/>
      <c r="X197" s="539"/>
      <c r="Y197" s="539"/>
      <c r="Z197" s="539"/>
      <c r="AA197" s="539"/>
      <c r="AB197" s="539"/>
      <c r="AE197" s="27"/>
      <c r="AF197" s="173"/>
      <c r="AG197" s="27"/>
      <c r="AH197" s="27"/>
      <c r="AI197" s="27"/>
      <c r="AJ197" s="27"/>
      <c r="AK197" s="27"/>
      <c r="AL197" s="27"/>
      <c r="AM197" s="153"/>
      <c r="AN197" s="439"/>
      <c r="AO197" s="144" t="s">
        <v>641</v>
      </c>
      <c r="AP197" s="46">
        <v>2</v>
      </c>
    </row>
    <row r="198" spans="1:42" s="46" customFormat="1" ht="12.75" customHeight="1">
      <c r="A198" s="28"/>
      <c r="B198" s="74"/>
      <c r="C198" s="77"/>
      <c r="D198" s="144" t="s">
        <v>214</v>
      </c>
      <c r="E198" s="2373" t="s">
        <v>2237</v>
      </c>
      <c r="F198" s="2373"/>
      <c r="G198" s="2373"/>
      <c r="H198" s="2373"/>
      <c r="I198" s="2373"/>
      <c r="J198" s="2373"/>
      <c r="K198" s="2373"/>
      <c r="L198" s="2373"/>
      <c r="M198" s="2373"/>
      <c r="N198" s="2373"/>
      <c r="O198" s="2373"/>
      <c r="P198" s="2373"/>
      <c r="Q198" s="2373"/>
      <c r="R198" s="2373"/>
      <c r="S198" s="2373"/>
      <c r="T198" s="2373"/>
      <c r="U198" s="2373"/>
      <c r="V198" s="2373"/>
      <c r="W198" s="2373"/>
      <c r="X198" s="2373"/>
      <c r="Y198" s="2373"/>
      <c r="Z198" s="2373"/>
      <c r="AA198" s="2373"/>
      <c r="AB198" s="2373"/>
      <c r="AF198" s="2363" t="s">
        <v>114</v>
      </c>
      <c r="AG198" s="2363"/>
      <c r="AH198" s="2363"/>
      <c r="AI198" s="2363"/>
      <c r="AJ198" s="2363"/>
      <c r="AK198" s="2363"/>
      <c r="AL198" s="2363"/>
      <c r="AM198" s="153"/>
      <c r="AN198" s="439"/>
      <c r="AO198" s="144" t="s">
        <v>214</v>
      </c>
      <c r="AP198" s="46">
        <v>1</v>
      </c>
    </row>
    <row r="199" spans="1:42" s="46" customFormat="1" ht="12.75" customHeight="1">
      <c r="A199" s="153"/>
      <c r="B199" s="8"/>
      <c r="C199" s="204"/>
      <c r="E199" s="2373"/>
      <c r="F199" s="2373"/>
      <c r="G199" s="2373"/>
      <c r="H199" s="2373"/>
      <c r="I199" s="2373"/>
      <c r="J199" s="2373"/>
      <c r="K199" s="2373"/>
      <c r="L199" s="2373"/>
      <c r="M199" s="2373"/>
      <c r="N199" s="2373"/>
      <c r="O199" s="2373"/>
      <c r="P199" s="2373"/>
      <c r="Q199" s="2373"/>
      <c r="R199" s="2373"/>
      <c r="S199" s="2373"/>
      <c r="T199" s="2373"/>
      <c r="U199" s="2373"/>
      <c r="V199" s="2373"/>
      <c r="W199" s="2373"/>
      <c r="X199" s="2373"/>
      <c r="Y199" s="2373"/>
      <c r="Z199" s="2373"/>
      <c r="AA199" s="2373"/>
      <c r="AB199" s="2373"/>
      <c r="AD199" s="8"/>
      <c r="AE199" s="27"/>
      <c r="AM199" s="153"/>
      <c r="AN199" s="439"/>
    </row>
    <row r="200" spans="1:42" s="46" customFormat="1" ht="12.75" customHeight="1">
      <c r="A200" s="153"/>
      <c r="B200" s="8"/>
      <c r="C200" s="204"/>
      <c r="E200" s="2373"/>
      <c r="F200" s="2373"/>
      <c r="G200" s="2373"/>
      <c r="H200" s="2373"/>
      <c r="I200" s="2373"/>
      <c r="J200" s="2373"/>
      <c r="K200" s="2373"/>
      <c r="L200" s="2373"/>
      <c r="M200" s="2373"/>
      <c r="N200" s="2373"/>
      <c r="O200" s="2373"/>
      <c r="P200" s="2373"/>
      <c r="Q200" s="2373"/>
      <c r="R200" s="2373"/>
      <c r="S200" s="2373"/>
      <c r="T200" s="2373"/>
      <c r="U200" s="2373"/>
      <c r="V200" s="2373"/>
      <c r="W200" s="2373"/>
      <c r="X200" s="2373"/>
      <c r="Y200" s="2373"/>
      <c r="Z200" s="2373"/>
      <c r="AA200" s="2373"/>
      <c r="AB200" s="2373"/>
      <c r="AD200" s="8"/>
      <c r="AE200" s="27"/>
      <c r="AM200" s="153"/>
      <c r="AN200" s="439"/>
    </row>
    <row r="201" spans="1:42" s="16" customFormat="1" ht="12.75" customHeight="1">
      <c r="A201" s="153"/>
      <c r="B201" s="8"/>
      <c r="C201" s="204"/>
      <c r="D201" s="46"/>
      <c r="E201" s="2373"/>
      <c r="F201" s="2373"/>
      <c r="G201" s="2373"/>
      <c r="H201" s="2373"/>
      <c r="I201" s="2373"/>
      <c r="J201" s="2373"/>
      <c r="K201" s="2373"/>
      <c r="L201" s="2373"/>
      <c r="M201" s="2373"/>
      <c r="N201" s="2373"/>
      <c r="O201" s="2373"/>
      <c r="P201" s="2373"/>
      <c r="Q201" s="2373"/>
      <c r="R201" s="2373"/>
      <c r="S201" s="2373"/>
      <c r="T201" s="2373"/>
      <c r="U201" s="2373"/>
      <c r="V201" s="2373"/>
      <c r="W201" s="2373"/>
      <c r="X201" s="2373"/>
      <c r="Y201" s="2373"/>
      <c r="Z201" s="2373"/>
      <c r="AA201" s="2373"/>
      <c r="AB201" s="2373"/>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88"/>
      <c r="F202" s="1388"/>
      <c r="G202" s="1388"/>
      <c r="H202" s="1388"/>
      <c r="I202" s="1388"/>
      <c r="J202" s="1388"/>
      <c r="K202" s="1388"/>
      <c r="L202" s="1388"/>
      <c r="M202" s="1388"/>
      <c r="N202" s="1388"/>
      <c r="O202" s="1388"/>
      <c r="P202" s="1388"/>
      <c r="Q202" s="1388"/>
      <c r="R202" s="1388"/>
      <c r="S202" s="1388"/>
      <c r="T202" s="1388"/>
      <c r="U202" s="1388"/>
      <c r="V202" s="1388"/>
      <c r="W202" s="1388"/>
      <c r="X202" s="1388"/>
      <c r="Y202" s="1388"/>
      <c r="Z202" s="1388"/>
      <c r="AA202" s="1388"/>
      <c r="AB202" s="1388"/>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335" t="s">
        <v>2238</v>
      </c>
      <c r="F203" s="2335"/>
      <c r="G203" s="2335"/>
      <c r="H203" s="2335"/>
      <c r="I203" s="2335"/>
      <c r="J203" s="2335"/>
      <c r="K203" s="2335"/>
      <c r="L203" s="2335"/>
      <c r="M203" s="2335"/>
      <c r="N203" s="2335"/>
      <c r="O203" s="2335"/>
      <c r="P203" s="2335"/>
      <c r="Q203" s="2335"/>
      <c r="R203" s="2335"/>
      <c r="S203" s="2335"/>
      <c r="T203" s="2335"/>
      <c r="U203" s="2335"/>
      <c r="V203" s="2335"/>
      <c r="W203" s="2335"/>
      <c r="X203" s="2335"/>
      <c r="Y203" s="2335"/>
      <c r="Z203" s="2335"/>
      <c r="AA203" s="2335"/>
      <c r="AB203" s="2335"/>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335"/>
      <c r="F204" s="2335"/>
      <c r="G204" s="2335"/>
      <c r="H204" s="2335"/>
      <c r="I204" s="2335"/>
      <c r="J204" s="2335"/>
      <c r="K204" s="2335"/>
      <c r="L204" s="2335"/>
      <c r="M204" s="2335"/>
      <c r="N204" s="2335"/>
      <c r="O204" s="2335"/>
      <c r="P204" s="2335"/>
      <c r="Q204" s="2335"/>
      <c r="R204" s="2335"/>
      <c r="S204" s="2335"/>
      <c r="T204" s="2335"/>
      <c r="U204" s="2335"/>
      <c r="V204" s="2335"/>
      <c r="W204" s="2335"/>
      <c r="X204" s="2335"/>
      <c r="Y204" s="2335"/>
      <c r="Z204" s="2335"/>
      <c r="AA204" s="2335"/>
      <c r="AB204" s="2335"/>
      <c r="AC204" s="46"/>
      <c r="AD204" s="8"/>
      <c r="AE204" s="27"/>
      <c r="AF204" s="27"/>
      <c r="AG204" s="27"/>
      <c r="AH204" s="27"/>
      <c r="AI204" s="27"/>
      <c r="AJ204" s="46"/>
      <c r="AK204" s="153"/>
      <c r="AL204" s="153"/>
      <c r="AM204" s="153"/>
      <c r="AN204" s="317"/>
    </row>
    <row r="205" spans="1:42" s="16" customFormat="1" ht="18" customHeight="1">
      <c r="A205" s="153"/>
      <c r="B205" s="8"/>
      <c r="C205" s="204"/>
      <c r="D205" s="46"/>
      <c r="E205" s="2335"/>
      <c r="F205" s="2335"/>
      <c r="G205" s="2335"/>
      <c r="H205" s="2335"/>
      <c r="I205" s="2335"/>
      <c r="J205" s="2335"/>
      <c r="K205" s="2335"/>
      <c r="L205" s="2335"/>
      <c r="M205" s="2335"/>
      <c r="N205" s="2335"/>
      <c r="O205" s="2335"/>
      <c r="P205" s="2335"/>
      <c r="Q205" s="2335"/>
      <c r="R205" s="2335"/>
      <c r="S205" s="2335"/>
      <c r="T205" s="2335"/>
      <c r="U205" s="2335"/>
      <c r="V205" s="2335"/>
      <c r="W205" s="2335"/>
      <c r="X205" s="2335"/>
      <c r="Y205" s="2335"/>
      <c r="Z205" s="2335"/>
      <c r="AA205" s="2335"/>
      <c r="AB205" s="2335"/>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372" t="s">
        <v>214</v>
      </c>
      <c r="I206" s="2372"/>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60">
        <f>VLOOKUP($H$206,$AO$156:$AP$158,2,FALSE)</f>
        <v>2</v>
      </c>
      <c r="AK208" s="2362"/>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641</v>
      </c>
      <c r="E212" s="2521" t="s">
        <v>1388</v>
      </c>
      <c r="F212" s="2521"/>
      <c r="G212" s="2521"/>
      <c r="H212" s="2521"/>
      <c r="I212" s="2521"/>
      <c r="J212" s="2521"/>
      <c r="K212" s="2521"/>
      <c r="L212" s="2521"/>
      <c r="M212" s="2521"/>
      <c r="N212" s="2521"/>
      <c r="O212" s="2521"/>
      <c r="P212" s="2521"/>
      <c r="Q212" s="2521"/>
      <c r="R212" s="2521"/>
      <c r="S212" s="2521"/>
      <c r="T212" s="2521"/>
      <c r="U212" s="2521"/>
      <c r="V212" s="2521"/>
      <c r="W212" s="2521"/>
      <c r="X212" s="2521"/>
      <c r="Y212" s="2521"/>
      <c r="Z212" s="2521"/>
      <c r="AA212" s="2521"/>
      <c r="AB212" s="2521"/>
      <c r="AC212" s="46"/>
      <c r="AD212" s="46"/>
      <c r="AF212" s="2363" t="s">
        <v>66</v>
      </c>
      <c r="AG212" s="2363"/>
      <c r="AH212" s="2363"/>
      <c r="AI212" s="2363"/>
      <c r="AJ212" s="2363"/>
      <c r="AK212" s="2363"/>
      <c r="AL212" s="2363"/>
      <c r="AM212" s="153"/>
      <c r="AN212" s="317"/>
      <c r="AP212" s="50" t="s">
        <v>109</v>
      </c>
    </row>
    <row r="213" spans="1:52" s="16" customFormat="1" ht="11.85" customHeight="1">
      <c r="A213" s="28"/>
      <c r="B213" s="161"/>
      <c r="C213" s="187"/>
      <c r="D213" s="144"/>
      <c r="E213" s="2521"/>
      <c r="F213" s="2521"/>
      <c r="G213" s="2521"/>
      <c r="H213" s="2521"/>
      <c r="I213" s="2521"/>
      <c r="J213" s="2521"/>
      <c r="K213" s="2521"/>
      <c r="L213" s="2521"/>
      <c r="M213" s="2521"/>
      <c r="N213" s="2521"/>
      <c r="O213" s="2521"/>
      <c r="P213" s="2521"/>
      <c r="Q213" s="2521"/>
      <c r="R213" s="2521"/>
      <c r="S213" s="2521"/>
      <c r="T213" s="2521"/>
      <c r="U213" s="2521"/>
      <c r="V213" s="2521"/>
      <c r="W213" s="2521"/>
      <c r="X213" s="2521"/>
      <c r="Y213" s="2521"/>
      <c r="Z213" s="2521"/>
      <c r="AA213" s="2521"/>
      <c r="AB213" s="2521"/>
      <c r="AC213" s="46"/>
      <c r="AD213" s="46"/>
      <c r="AE213" s="28"/>
      <c r="AM213" s="153"/>
      <c r="AN213" s="317"/>
      <c r="AP213" s="50" t="s">
        <v>106</v>
      </c>
    </row>
    <row r="214" spans="1:52" s="16" customFormat="1" ht="14.1" customHeight="1">
      <c r="A214" s="28"/>
      <c r="B214" s="148"/>
      <c r="C214" s="188"/>
      <c r="D214" s="144"/>
      <c r="E214" s="2521"/>
      <c r="F214" s="2521"/>
      <c r="G214" s="2521"/>
      <c r="H214" s="2521"/>
      <c r="I214" s="2521"/>
      <c r="J214" s="2521"/>
      <c r="K214" s="2521"/>
      <c r="L214" s="2521"/>
      <c r="M214" s="2521"/>
      <c r="N214" s="2521"/>
      <c r="O214" s="2521"/>
      <c r="P214" s="2521"/>
      <c r="Q214" s="2521"/>
      <c r="R214" s="2521"/>
      <c r="S214" s="2521"/>
      <c r="T214" s="2521"/>
      <c r="U214" s="2521"/>
      <c r="V214" s="2521"/>
      <c r="W214" s="2521"/>
      <c r="X214" s="2521"/>
      <c r="Y214" s="2521"/>
      <c r="Z214" s="2521"/>
      <c r="AA214" s="2521"/>
      <c r="AB214" s="2521"/>
      <c r="AC214" s="46"/>
      <c r="AD214" s="46"/>
      <c r="AE214" s="27"/>
      <c r="AM214" s="153"/>
      <c r="AN214" s="317"/>
      <c r="AP214" s="50" t="s">
        <v>107</v>
      </c>
    </row>
    <row r="215" spans="1:52" s="16" customFormat="1" ht="14.1" customHeight="1">
      <c r="A215" s="28"/>
      <c r="B215" s="74"/>
      <c r="C215" s="77"/>
      <c r="D215" s="144" t="s">
        <v>214</v>
      </c>
      <c r="E215" s="2380" t="s">
        <v>1389</v>
      </c>
      <c r="F215" s="2380"/>
      <c r="G215" s="2380"/>
      <c r="H215" s="2380"/>
      <c r="I215" s="2380"/>
      <c r="J215" s="2380"/>
      <c r="K215" s="2380"/>
      <c r="L215" s="2380"/>
      <c r="M215" s="2380"/>
      <c r="N215" s="2380"/>
      <c r="O215" s="2380"/>
      <c r="P215" s="2380"/>
      <c r="Q215" s="2380"/>
      <c r="R215" s="2380"/>
      <c r="S215" s="2380"/>
      <c r="T215" s="2380"/>
      <c r="U215" s="2380"/>
      <c r="V215" s="2380"/>
      <c r="W215" s="2380"/>
      <c r="X215" s="2380"/>
      <c r="Y215" s="2380"/>
      <c r="Z215" s="2380"/>
      <c r="AA215" s="2380"/>
      <c r="AB215" s="2380"/>
      <c r="AC215" s="46"/>
      <c r="AD215" s="46"/>
      <c r="AF215" s="2363" t="s">
        <v>114</v>
      </c>
      <c r="AG215" s="2363"/>
      <c r="AH215" s="2363"/>
      <c r="AI215" s="2363"/>
      <c r="AJ215" s="2363"/>
      <c r="AK215" s="2363"/>
      <c r="AL215" s="2363"/>
      <c r="AM215" s="153"/>
      <c r="AN215" s="1140"/>
      <c r="AP215" s="498" t="s">
        <v>389</v>
      </c>
    </row>
    <row r="216" spans="1:52" s="16" customFormat="1" ht="12.75" customHeight="1">
      <c r="A216" s="28"/>
      <c r="B216" s="161"/>
      <c r="C216" s="187"/>
      <c r="D216" s="28"/>
      <c r="E216" s="2380"/>
      <c r="F216" s="2380"/>
      <c r="G216" s="2380"/>
      <c r="H216" s="2380"/>
      <c r="I216" s="2380"/>
      <c r="J216" s="2380"/>
      <c r="K216" s="2380"/>
      <c r="L216" s="2380"/>
      <c r="M216" s="2380"/>
      <c r="N216" s="2380"/>
      <c r="O216" s="2380"/>
      <c r="P216" s="2380"/>
      <c r="Q216" s="2380"/>
      <c r="R216" s="2380"/>
      <c r="S216" s="2380"/>
      <c r="T216" s="2380"/>
      <c r="U216" s="2380"/>
      <c r="V216" s="2380"/>
      <c r="W216" s="2380"/>
      <c r="X216" s="2380"/>
      <c r="Y216" s="2380"/>
      <c r="Z216" s="2380"/>
      <c r="AA216" s="2380"/>
      <c r="AB216" s="2380"/>
      <c r="AC216" s="28"/>
      <c r="AD216" s="161"/>
      <c r="AE216" s="28"/>
      <c r="AF216" s="28"/>
      <c r="AG216" s="28"/>
      <c r="AH216" s="28"/>
      <c r="AI216" s="28"/>
      <c r="AJ216" s="46"/>
      <c r="AK216" s="153"/>
      <c r="AL216" s="153"/>
      <c r="AM216" s="153"/>
      <c r="AN216" s="317"/>
      <c r="AP216" s="46" t="s">
        <v>136</v>
      </c>
      <c r="AQ216" s="751">
        <v>0</v>
      </c>
    </row>
    <row r="217" spans="1:52" s="16" customFormat="1" ht="14.1" customHeight="1">
      <c r="A217" s="28"/>
      <c r="B217" s="161"/>
      <c r="C217" s="187"/>
      <c r="D217" s="28"/>
      <c r="E217" s="2380"/>
      <c r="F217" s="2380"/>
      <c r="G217" s="2380"/>
      <c r="H217" s="2380"/>
      <c r="I217" s="2380"/>
      <c r="J217" s="2380"/>
      <c r="K217" s="2380"/>
      <c r="L217" s="2380"/>
      <c r="M217" s="2380"/>
      <c r="N217" s="2380"/>
      <c r="O217" s="2380"/>
      <c r="P217" s="2380"/>
      <c r="Q217" s="2380"/>
      <c r="R217" s="2380"/>
      <c r="S217" s="2380"/>
      <c r="T217" s="2380"/>
      <c r="U217" s="2380"/>
      <c r="V217" s="2380"/>
      <c r="W217" s="2380"/>
      <c r="X217" s="2380"/>
      <c r="Y217" s="2380"/>
      <c r="Z217" s="2380"/>
      <c r="AA217" s="2380"/>
      <c r="AB217" s="2380"/>
      <c r="AC217" s="28"/>
      <c r="AD217" s="161"/>
      <c r="AE217" s="28"/>
      <c r="AF217" s="28"/>
      <c r="AG217" s="28"/>
      <c r="AH217" s="28"/>
      <c r="AI217" s="28"/>
      <c r="AJ217" s="46"/>
      <c r="AK217" s="153"/>
      <c r="AL217" s="153"/>
      <c r="AM217" s="153"/>
      <c r="AN217" s="317"/>
      <c r="AP217" s="144" t="s">
        <v>641</v>
      </c>
      <c r="AQ217" s="46">
        <v>2</v>
      </c>
    </row>
    <row r="218" spans="1:52" s="16" customFormat="1" ht="14.1" customHeight="1">
      <c r="A218" s="28"/>
      <c r="B218" s="161"/>
      <c r="C218" s="187"/>
      <c r="D218" s="28" t="s">
        <v>163</v>
      </c>
      <c r="E218" s="190"/>
      <c r="F218" s="190"/>
      <c r="G218" s="190"/>
      <c r="H218" s="2372" t="s">
        <v>136</v>
      </c>
      <c r="I218" s="2372"/>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1"/>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60">
        <f>VLOOKUP($H$218,$AO$156:$AP$158,2,FALSE)</f>
        <v>0</v>
      </c>
      <c r="AK220" s="2362"/>
      <c r="AL220" s="25"/>
      <c r="AM220" s="137"/>
      <c r="AN220" s="1141"/>
      <c r="AP220" s="2360"/>
      <c r="AQ220" s="2362"/>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1668</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641</v>
      </c>
      <c r="E224" s="2373" t="s">
        <v>1669</v>
      </c>
      <c r="F224" s="2373"/>
      <c r="G224" s="2373"/>
      <c r="H224" s="2373"/>
      <c r="I224" s="2373"/>
      <c r="J224" s="2373"/>
      <c r="K224" s="2373"/>
      <c r="L224" s="2373"/>
      <c r="M224" s="2373"/>
      <c r="N224" s="2373"/>
      <c r="O224" s="2373"/>
      <c r="P224" s="2373"/>
      <c r="Q224" s="2373"/>
      <c r="R224" s="2373"/>
      <c r="S224" s="2373"/>
      <c r="T224" s="2373"/>
      <c r="U224" s="2373"/>
      <c r="V224" s="2373"/>
      <c r="W224" s="2373"/>
      <c r="X224" s="2373"/>
      <c r="Y224" s="2373"/>
      <c r="Z224" s="2373"/>
      <c r="AA224" s="2373"/>
      <c r="AB224" s="2373"/>
      <c r="AC224" s="46"/>
      <c r="AD224" s="46"/>
      <c r="AF224" s="2363" t="s">
        <v>66</v>
      </c>
      <c r="AG224" s="2363"/>
      <c r="AH224" s="2363"/>
      <c r="AI224" s="2363"/>
      <c r="AJ224" s="2363"/>
      <c r="AK224" s="2363"/>
      <c r="AL224" s="2363"/>
      <c r="AM224" s="153"/>
      <c r="AN224" s="317"/>
      <c r="AT224" s="65"/>
      <c r="AU224" s="65"/>
      <c r="AV224" s="65"/>
      <c r="AW224" s="65"/>
      <c r="AX224" s="65"/>
      <c r="AY224" s="65"/>
      <c r="AZ224" s="65"/>
    </row>
    <row r="225" spans="1:82" s="16" customFormat="1">
      <c r="A225" s="28"/>
      <c r="B225" s="161"/>
      <c r="C225" s="187"/>
      <c r="D225" s="144"/>
      <c r="E225" s="2373"/>
      <c r="F225" s="2373"/>
      <c r="G225" s="2373"/>
      <c r="H225" s="2373"/>
      <c r="I225" s="2373"/>
      <c r="J225" s="2373"/>
      <c r="K225" s="2373"/>
      <c r="L225" s="2373"/>
      <c r="M225" s="2373"/>
      <c r="N225" s="2373"/>
      <c r="O225" s="2373"/>
      <c r="P225" s="2373"/>
      <c r="Q225" s="2373"/>
      <c r="R225" s="2373"/>
      <c r="S225" s="2373"/>
      <c r="T225" s="2373"/>
      <c r="U225" s="2373"/>
      <c r="V225" s="2373"/>
      <c r="W225" s="2373"/>
      <c r="X225" s="2373"/>
      <c r="Y225" s="2373"/>
      <c r="Z225" s="2373"/>
      <c r="AA225" s="2373"/>
      <c r="AB225" s="2373"/>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73" t="s">
        <v>981</v>
      </c>
      <c r="F227" s="2373"/>
      <c r="G227" s="2373"/>
      <c r="H227" s="2373"/>
      <c r="I227" s="2373"/>
      <c r="J227" s="2373"/>
      <c r="K227" s="2373"/>
      <c r="L227" s="2373"/>
      <c r="M227" s="2373"/>
      <c r="N227" s="2373"/>
      <c r="O227" s="2373"/>
      <c r="P227" s="2373"/>
      <c r="Q227" s="2373"/>
      <c r="R227" s="2373"/>
      <c r="S227" s="2373"/>
      <c r="T227" s="2373"/>
      <c r="U227" s="2373"/>
      <c r="V227" s="2373"/>
      <c r="W227" s="2373"/>
      <c r="X227" s="2373"/>
      <c r="Y227" s="2373"/>
      <c r="Z227" s="2373"/>
      <c r="AA227" s="2373"/>
      <c r="AB227" s="2373"/>
      <c r="AC227" s="46"/>
      <c r="AD227" s="46"/>
      <c r="AF227" s="2363" t="s">
        <v>114</v>
      </c>
      <c r="AG227" s="2363"/>
      <c r="AH227" s="2363"/>
      <c r="AI227" s="2363"/>
      <c r="AJ227" s="2363"/>
      <c r="AK227" s="2363"/>
      <c r="AL227" s="2363"/>
      <c r="AM227" s="153"/>
      <c r="AN227" s="317"/>
      <c r="AT227" s="65"/>
      <c r="AU227" s="65"/>
      <c r="AV227" s="65"/>
      <c r="AW227" s="65"/>
      <c r="AX227" s="65"/>
      <c r="AY227" s="65"/>
      <c r="AZ227" s="65"/>
    </row>
    <row r="228" spans="1:82" s="16" customFormat="1">
      <c r="A228" s="28"/>
      <c r="B228" s="161"/>
      <c r="C228" s="187"/>
      <c r="D228" s="28"/>
      <c r="E228" s="2373"/>
      <c r="F228" s="2373"/>
      <c r="G228" s="2373"/>
      <c r="H228" s="2373"/>
      <c r="I228" s="2373"/>
      <c r="J228" s="2373"/>
      <c r="K228" s="2373"/>
      <c r="L228" s="2373"/>
      <c r="M228" s="2373"/>
      <c r="N228" s="2373"/>
      <c r="O228" s="2373"/>
      <c r="P228" s="2373"/>
      <c r="Q228" s="2373"/>
      <c r="R228" s="2373"/>
      <c r="S228" s="2373"/>
      <c r="T228" s="2373"/>
      <c r="U228" s="2373"/>
      <c r="V228" s="2373"/>
      <c r="W228" s="2373"/>
      <c r="X228" s="2373"/>
      <c r="Y228" s="2373"/>
      <c r="Z228" s="2373"/>
      <c r="AA228" s="2373"/>
      <c r="AB228" s="2373"/>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372" t="s">
        <v>136</v>
      </c>
      <c r="I230" s="2372"/>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60">
        <f>VLOOKUP($H$230,$AO$170:$AP$172,2,FALSE)</f>
        <v>0</v>
      </c>
      <c r="AK232" s="2362"/>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641</v>
      </c>
      <c r="E236" s="2373" t="s">
        <v>1245</v>
      </c>
      <c r="F236" s="2373"/>
      <c r="G236" s="2373"/>
      <c r="H236" s="2373"/>
      <c r="I236" s="2373"/>
      <c r="J236" s="2373"/>
      <c r="K236" s="2373"/>
      <c r="L236" s="2373"/>
      <c r="M236" s="2373"/>
      <c r="N236" s="2373"/>
      <c r="O236" s="2373"/>
      <c r="P236" s="2373"/>
      <c r="Q236" s="2373"/>
      <c r="R236" s="2373"/>
      <c r="S236" s="2373"/>
      <c r="T236" s="2373"/>
      <c r="U236" s="2373"/>
      <c r="V236" s="2373"/>
      <c r="W236" s="2373"/>
      <c r="X236" s="2373"/>
      <c r="Y236" s="2373"/>
      <c r="Z236" s="2373"/>
      <c r="AA236" s="2373"/>
      <c r="AB236" s="2373"/>
      <c r="AC236" s="46"/>
      <c r="AD236" s="46"/>
      <c r="AF236" s="2363" t="s">
        <v>66</v>
      </c>
      <c r="AG236" s="2363"/>
      <c r="AH236" s="2363"/>
      <c r="AI236" s="2363"/>
      <c r="AJ236" s="2363"/>
      <c r="AK236" s="2363"/>
      <c r="AL236" s="2363"/>
      <c r="AM236" s="153"/>
      <c r="AN236" s="317"/>
      <c r="AT236" s="65"/>
      <c r="AU236" s="65"/>
      <c r="AV236" s="65"/>
      <c r="AW236" s="65"/>
      <c r="AX236" s="65"/>
      <c r="AY236" s="65"/>
      <c r="AZ236" s="65"/>
    </row>
    <row r="237" spans="1:82" s="16" customFormat="1">
      <c r="A237" s="28"/>
      <c r="B237" s="161"/>
      <c r="C237" s="187"/>
      <c r="D237" s="144"/>
      <c r="E237" s="2373"/>
      <c r="F237" s="2373"/>
      <c r="G237" s="2373"/>
      <c r="H237" s="2373"/>
      <c r="I237" s="2373"/>
      <c r="J237" s="2373"/>
      <c r="K237" s="2373"/>
      <c r="L237" s="2373"/>
      <c r="M237" s="2373"/>
      <c r="N237" s="2373"/>
      <c r="O237" s="2373"/>
      <c r="P237" s="2373"/>
      <c r="Q237" s="2373"/>
      <c r="R237" s="2373"/>
      <c r="S237" s="2373"/>
      <c r="T237" s="2373"/>
      <c r="U237" s="2373"/>
      <c r="V237" s="2373"/>
      <c r="W237" s="2373"/>
      <c r="X237" s="2373"/>
      <c r="Y237" s="2373"/>
      <c r="Z237" s="2373"/>
      <c r="AA237" s="2373"/>
      <c r="AB237" s="2373"/>
      <c r="AC237" s="46"/>
      <c r="AD237" s="46"/>
      <c r="AL237" s="153"/>
      <c r="AM237" s="153"/>
      <c r="AN237" s="317"/>
    </row>
    <row r="238" spans="1:82" s="50" customFormat="1" ht="12.75" customHeight="1">
      <c r="A238" s="28"/>
      <c r="B238" s="161"/>
      <c r="C238" s="187"/>
      <c r="D238" s="144"/>
      <c r="E238" s="2373"/>
      <c r="F238" s="2373"/>
      <c r="G238" s="2373"/>
      <c r="H238" s="2373"/>
      <c r="I238" s="2373"/>
      <c r="J238" s="2373"/>
      <c r="K238" s="2373"/>
      <c r="L238" s="2373"/>
      <c r="M238" s="2373"/>
      <c r="N238" s="2373"/>
      <c r="O238" s="2373"/>
      <c r="P238" s="2373"/>
      <c r="Q238" s="2373"/>
      <c r="R238" s="2373"/>
      <c r="S238" s="2373"/>
      <c r="T238" s="2373"/>
      <c r="U238" s="2373"/>
      <c r="V238" s="2373"/>
      <c r="W238" s="2373"/>
      <c r="X238" s="2373"/>
      <c r="Y238" s="2373"/>
      <c r="Z238" s="2373"/>
      <c r="AA238" s="2373"/>
      <c r="AB238" s="2373"/>
      <c r="AC238" s="46"/>
      <c r="AD238" s="46"/>
      <c r="AE238" s="28"/>
      <c r="AF238" s="161"/>
      <c r="AG238" s="153"/>
      <c r="AH238" s="153"/>
      <c r="AI238" s="153"/>
      <c r="AJ238" s="153"/>
      <c r="AK238" s="153"/>
      <c r="AL238" s="153"/>
      <c r="AM238" s="153"/>
      <c r="AN238" s="1142"/>
      <c r="AO238" s="70"/>
    </row>
    <row r="239" spans="1:82" s="16" customFormat="1">
      <c r="A239" s="195"/>
      <c r="B239" s="25"/>
      <c r="C239" s="188"/>
      <c r="D239" s="144"/>
      <c r="E239" s="538"/>
      <c r="F239" s="538"/>
      <c r="G239" s="538"/>
      <c r="H239" s="538"/>
      <c r="I239" s="538"/>
      <c r="J239" s="538"/>
      <c r="K239" s="538"/>
      <c r="L239" s="538"/>
      <c r="M239" s="538"/>
      <c r="N239" s="538"/>
      <c r="O239" s="538"/>
      <c r="P239" s="538"/>
      <c r="Q239" s="538"/>
      <c r="R239" s="538"/>
      <c r="S239" s="538"/>
      <c r="T239" s="538"/>
      <c r="U239" s="538"/>
      <c r="V239" s="538"/>
      <c r="W239" s="538"/>
      <c r="X239" s="538"/>
      <c r="Y239" s="538"/>
      <c r="Z239" s="538"/>
      <c r="AA239" s="538"/>
      <c r="AB239" s="538"/>
      <c r="AC239" s="46"/>
      <c r="AD239" s="46"/>
      <c r="AE239" s="153"/>
      <c r="AM239" s="153"/>
      <c r="AN239" s="317"/>
      <c r="AO239" s="132"/>
      <c r="AP239" s="65"/>
    </row>
    <row r="240" spans="1:82" s="16" customFormat="1">
      <c r="A240" s="28"/>
      <c r="B240" s="74"/>
      <c r="C240" s="77"/>
      <c r="D240" s="144" t="s">
        <v>214</v>
      </c>
      <c r="E240" s="2373" t="s">
        <v>1246</v>
      </c>
      <c r="F240" s="2373"/>
      <c r="G240" s="2373"/>
      <c r="H240" s="2373"/>
      <c r="I240" s="2373"/>
      <c r="J240" s="2373"/>
      <c r="K240" s="2373"/>
      <c r="L240" s="2373"/>
      <c r="M240" s="2373"/>
      <c r="N240" s="2373"/>
      <c r="O240" s="2373"/>
      <c r="P240" s="2373"/>
      <c r="Q240" s="2373"/>
      <c r="R240" s="2373"/>
      <c r="S240" s="2373"/>
      <c r="T240" s="2373"/>
      <c r="U240" s="2373"/>
      <c r="V240" s="2373"/>
      <c r="W240" s="2373"/>
      <c r="X240" s="2373"/>
      <c r="Y240" s="2373"/>
      <c r="Z240" s="2373"/>
      <c r="AA240" s="2373"/>
      <c r="AB240" s="539"/>
      <c r="AC240" s="46"/>
      <c r="AD240" s="46"/>
      <c r="AF240" s="2363" t="s">
        <v>114</v>
      </c>
      <c r="AG240" s="2363"/>
      <c r="AH240" s="2363"/>
      <c r="AI240" s="2363"/>
      <c r="AJ240" s="2363"/>
      <c r="AK240" s="2363"/>
      <c r="AL240" s="2363"/>
      <c r="AM240" s="153"/>
      <c r="AN240" s="317"/>
      <c r="AO240" s="132"/>
      <c r="AP240" s="65"/>
    </row>
    <row r="241" spans="1:74" s="16" customFormat="1">
      <c r="A241" s="28"/>
      <c r="B241" s="74"/>
      <c r="C241" s="77"/>
      <c r="D241" s="28"/>
      <c r="E241" s="2373"/>
      <c r="F241" s="2373"/>
      <c r="G241" s="2373"/>
      <c r="H241" s="2373"/>
      <c r="I241" s="2373"/>
      <c r="J241" s="2373"/>
      <c r="K241" s="2373"/>
      <c r="L241" s="2373"/>
      <c r="M241" s="2373"/>
      <c r="N241" s="2373"/>
      <c r="O241" s="2373"/>
      <c r="P241" s="2373"/>
      <c r="Q241" s="2373"/>
      <c r="R241" s="2373"/>
      <c r="S241" s="2373"/>
      <c r="T241" s="2373"/>
      <c r="U241" s="2373"/>
      <c r="V241" s="2373"/>
      <c r="W241" s="2373"/>
      <c r="X241" s="2373"/>
      <c r="Y241" s="2373"/>
      <c r="Z241" s="2373"/>
      <c r="AA241" s="2373"/>
      <c r="AB241" s="539"/>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73"/>
      <c r="F242" s="2373"/>
      <c r="G242" s="2373"/>
      <c r="H242" s="2373"/>
      <c r="I242" s="2373"/>
      <c r="J242" s="2373"/>
      <c r="K242" s="2373"/>
      <c r="L242" s="2373"/>
      <c r="M242" s="2373"/>
      <c r="N242" s="2373"/>
      <c r="O242" s="2373"/>
      <c r="P242" s="2373"/>
      <c r="Q242" s="2373"/>
      <c r="R242" s="2373"/>
      <c r="S242" s="2373"/>
      <c r="T242" s="2373"/>
      <c r="U242" s="2373"/>
      <c r="V242" s="2373"/>
      <c r="W242" s="2373"/>
      <c r="X242" s="2373"/>
      <c r="Y242" s="2373"/>
      <c r="Z242" s="2373"/>
      <c r="AA242" s="2373"/>
      <c r="AB242" s="539"/>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372" t="s">
        <v>136</v>
      </c>
      <c r="I244" s="2372"/>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3"/>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946</v>
      </c>
      <c r="AJ246" s="2360">
        <f>VLOOKUP($H$244,$AO$183:$AP$185,2,FALSE)</f>
        <v>0</v>
      </c>
      <c r="AK246" s="2362"/>
      <c r="AL246" s="25"/>
      <c r="AM246" s="137"/>
      <c r="AN246" s="1133"/>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3"/>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3"/>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3"/>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641</v>
      </c>
      <c r="E250" s="2373" t="s">
        <v>353</v>
      </c>
      <c r="F250" s="2373"/>
      <c r="G250" s="2373"/>
      <c r="H250" s="2373"/>
      <c r="I250" s="2373"/>
      <c r="J250" s="2373"/>
      <c r="K250" s="2373"/>
      <c r="L250" s="2373"/>
      <c r="M250" s="2373"/>
      <c r="N250" s="2373"/>
      <c r="O250" s="2373"/>
      <c r="P250" s="2373"/>
      <c r="Q250" s="2373"/>
      <c r="R250" s="2373"/>
      <c r="S250" s="2373"/>
      <c r="T250" s="2373"/>
      <c r="U250" s="2373"/>
      <c r="V250" s="2373"/>
      <c r="W250" s="2373"/>
      <c r="X250" s="2373"/>
      <c r="Y250" s="2373"/>
      <c r="Z250" s="2373"/>
      <c r="AA250" s="2373"/>
      <c r="AB250" s="2373"/>
      <c r="AC250" s="46"/>
      <c r="AD250" s="46"/>
      <c r="AF250" s="2363" t="s">
        <v>114</v>
      </c>
      <c r="AG250" s="2363"/>
      <c r="AH250" s="2363"/>
      <c r="AI250" s="2363"/>
      <c r="AJ250" s="2363"/>
      <c r="AK250" s="2363"/>
      <c r="AL250" s="2363"/>
      <c r="AM250" s="153"/>
      <c r="AN250" s="1133"/>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73"/>
      <c r="F251" s="2373"/>
      <c r="G251" s="2373"/>
      <c r="H251" s="2373"/>
      <c r="I251" s="2373"/>
      <c r="J251" s="2373"/>
      <c r="K251" s="2373"/>
      <c r="L251" s="2373"/>
      <c r="M251" s="2373"/>
      <c r="N251" s="2373"/>
      <c r="O251" s="2373"/>
      <c r="P251" s="2373"/>
      <c r="Q251" s="2373"/>
      <c r="R251" s="2373"/>
      <c r="S251" s="2373"/>
      <c r="T251" s="2373"/>
      <c r="U251" s="2373"/>
      <c r="V251" s="2373"/>
      <c r="W251" s="2373"/>
      <c r="X251" s="2373"/>
      <c r="Y251" s="2373"/>
      <c r="Z251" s="2373"/>
      <c r="AA251" s="2373"/>
      <c r="AB251" s="2373"/>
      <c r="AC251" s="46"/>
      <c r="AD251" s="46"/>
      <c r="AL251" s="153"/>
      <c r="AM251" s="153"/>
      <c r="AN251" s="1133"/>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3"/>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73" t="s">
        <v>1390</v>
      </c>
      <c r="F253" s="2373"/>
      <c r="G253" s="2373"/>
      <c r="H253" s="2373"/>
      <c r="I253" s="2373"/>
      <c r="J253" s="2373"/>
      <c r="K253" s="2373"/>
      <c r="L253" s="2373"/>
      <c r="M253" s="2373"/>
      <c r="N253" s="2373"/>
      <c r="O253" s="2373"/>
      <c r="P253" s="2373"/>
      <c r="Q253" s="2373"/>
      <c r="R253" s="2373"/>
      <c r="S253" s="2373"/>
      <c r="T253" s="2373"/>
      <c r="U253" s="2373"/>
      <c r="V253" s="2373"/>
      <c r="W253" s="2373"/>
      <c r="X253" s="2373"/>
      <c r="Y253" s="2373"/>
      <c r="Z253" s="2373"/>
      <c r="AA253" s="2373"/>
      <c r="AB253" s="2373"/>
      <c r="AC253" s="46"/>
      <c r="AD253" s="46"/>
      <c r="AF253" s="2363" t="s">
        <v>354</v>
      </c>
      <c r="AG253" s="2363"/>
      <c r="AH253" s="2363"/>
      <c r="AI253" s="2363"/>
      <c r="AJ253" s="2363"/>
      <c r="AK253" s="2363"/>
      <c r="AL253" s="2363"/>
      <c r="AM253" s="153"/>
      <c r="AN253" s="1133"/>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73"/>
      <c r="F254" s="2373"/>
      <c r="G254" s="2373"/>
      <c r="H254" s="2373"/>
      <c r="I254" s="2373"/>
      <c r="J254" s="2373"/>
      <c r="K254" s="2373"/>
      <c r="L254" s="2373"/>
      <c r="M254" s="2373"/>
      <c r="N254" s="2373"/>
      <c r="O254" s="2373"/>
      <c r="P254" s="2373"/>
      <c r="Q254" s="2373"/>
      <c r="R254" s="2373"/>
      <c r="S254" s="2373"/>
      <c r="T254" s="2373"/>
      <c r="U254" s="2373"/>
      <c r="V254" s="2373"/>
      <c r="W254" s="2373"/>
      <c r="X254" s="2373"/>
      <c r="Y254" s="2373"/>
      <c r="Z254" s="2373"/>
      <c r="AA254" s="2373"/>
      <c r="AB254" s="2373"/>
      <c r="AC254" s="46"/>
      <c r="AD254" s="46"/>
      <c r="AE254" s="179"/>
      <c r="AM254" s="153"/>
      <c r="AN254" s="1133"/>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3"/>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372" t="s">
        <v>214</v>
      </c>
      <c r="I256" s="2372"/>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3"/>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3"/>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4.1"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60">
        <f>VLOOKUP($H$256,$AO$196:$AP$198,2,FALSE)</f>
        <v>1</v>
      </c>
      <c r="AK258" s="2362"/>
      <c r="AL258" s="25"/>
      <c r="AM258" s="137"/>
      <c r="AN258" s="1133"/>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3"/>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3"/>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641</v>
      </c>
      <c r="E262" s="2373" t="s">
        <v>2234</v>
      </c>
      <c r="F262" s="2373"/>
      <c r="G262" s="2373"/>
      <c r="H262" s="2373"/>
      <c r="I262" s="2373"/>
      <c r="J262" s="2373"/>
      <c r="K262" s="2373"/>
      <c r="L262" s="2373"/>
      <c r="M262" s="2373"/>
      <c r="N262" s="2373"/>
      <c r="O262" s="2373"/>
      <c r="P262" s="2373"/>
      <c r="Q262" s="2373"/>
      <c r="R262" s="2373"/>
      <c r="S262" s="2373"/>
      <c r="T262" s="2373"/>
      <c r="U262" s="2373"/>
      <c r="V262" s="2373"/>
      <c r="W262" s="2373"/>
      <c r="X262" s="2373"/>
      <c r="Y262" s="2373"/>
      <c r="Z262" s="2373"/>
      <c r="AA262" s="2373"/>
      <c r="AB262" s="2373"/>
      <c r="AC262" s="2373"/>
      <c r="AD262" s="2373"/>
      <c r="AF262" s="2363" t="s">
        <v>114</v>
      </c>
      <c r="AG262" s="2363"/>
      <c r="AH262" s="2363"/>
      <c r="AI262" s="2363"/>
      <c r="AJ262" s="2363"/>
      <c r="AK262" s="2363"/>
      <c r="AL262" s="2363"/>
      <c r="AM262" s="175"/>
      <c r="AN262" s="317"/>
    </row>
    <row r="263" spans="1:74" s="16" customFormat="1">
      <c r="A263" s="28"/>
      <c r="B263" s="173"/>
      <c r="C263" s="218"/>
      <c r="D263" s="144"/>
      <c r="E263" s="2373"/>
      <c r="F263" s="2373"/>
      <c r="G263" s="2373"/>
      <c r="H263" s="2373"/>
      <c r="I263" s="2373"/>
      <c r="J263" s="2373"/>
      <c r="K263" s="2373"/>
      <c r="L263" s="2373"/>
      <c r="M263" s="2373"/>
      <c r="N263" s="2373"/>
      <c r="O263" s="2373"/>
      <c r="P263" s="2373"/>
      <c r="Q263" s="2373"/>
      <c r="R263" s="2373"/>
      <c r="S263" s="2373"/>
      <c r="T263" s="2373"/>
      <c r="U263" s="2373"/>
      <c r="V263" s="2373"/>
      <c r="W263" s="2373"/>
      <c r="X263" s="2373"/>
      <c r="Y263" s="2373"/>
      <c r="Z263" s="2373"/>
      <c r="AA263" s="2373"/>
      <c r="AB263" s="2373"/>
      <c r="AC263" s="2373"/>
      <c r="AD263" s="2373"/>
      <c r="AL263" s="1302"/>
      <c r="AM263" s="175"/>
      <c r="AN263" s="1133"/>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73"/>
      <c r="F264" s="2373"/>
      <c r="G264" s="2373"/>
      <c r="H264" s="2373"/>
      <c r="I264" s="2373"/>
      <c r="J264" s="2373"/>
      <c r="K264" s="2373"/>
      <c r="L264" s="2373"/>
      <c r="M264" s="2373"/>
      <c r="N264" s="2373"/>
      <c r="O264" s="2373"/>
      <c r="P264" s="2373"/>
      <c r="Q264" s="2373"/>
      <c r="R264" s="2373"/>
      <c r="S264" s="2373"/>
      <c r="T264" s="2373"/>
      <c r="U264" s="2373"/>
      <c r="V264" s="2373"/>
      <c r="W264" s="2373"/>
      <c r="X264" s="2373"/>
      <c r="Y264" s="2373"/>
      <c r="Z264" s="2373"/>
      <c r="AA264" s="2373"/>
      <c r="AB264" s="2373"/>
      <c r="AC264" s="2373"/>
      <c r="AD264" s="2373"/>
      <c r="AE264" s="179"/>
      <c r="AF264" s="179"/>
      <c r="AG264" s="179"/>
      <c r="AH264" s="179"/>
      <c r="AI264" s="179"/>
      <c r="AJ264" s="179"/>
      <c r="AK264" s="179"/>
      <c r="AL264" s="1302"/>
      <c r="AM264" s="175"/>
      <c r="AN264" s="1133"/>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7"/>
      <c r="F265" s="537"/>
      <c r="G265" s="537"/>
      <c r="H265" s="537"/>
      <c r="I265" s="537"/>
      <c r="J265" s="537"/>
      <c r="K265" s="537"/>
      <c r="L265" s="537"/>
      <c r="M265" s="537"/>
      <c r="N265" s="537"/>
      <c r="O265" s="537"/>
      <c r="P265" s="537"/>
      <c r="Q265" s="537"/>
      <c r="R265" s="537"/>
      <c r="S265" s="537"/>
      <c r="T265" s="537"/>
      <c r="U265" s="537"/>
      <c r="V265" s="537"/>
      <c r="W265" s="537"/>
      <c r="X265" s="537"/>
      <c r="Y265" s="537"/>
      <c r="Z265" s="537"/>
      <c r="AA265" s="537"/>
      <c r="AB265" s="537"/>
      <c r="AC265" s="537"/>
      <c r="AD265" s="537"/>
      <c r="AE265" s="179"/>
      <c r="AM265" s="175"/>
      <c r="AN265" s="439"/>
    </row>
    <row r="266" spans="1:74" s="46" customFormat="1" ht="12.75" customHeight="1">
      <c r="A266" s="28"/>
      <c r="B266" s="173"/>
      <c r="C266" s="218"/>
      <c r="D266" s="144" t="s">
        <v>214</v>
      </c>
      <c r="E266" s="2589" t="s">
        <v>2235</v>
      </c>
      <c r="F266" s="2589"/>
      <c r="G266" s="2589"/>
      <c r="H266" s="2589"/>
      <c r="I266" s="2589"/>
      <c r="J266" s="2589"/>
      <c r="K266" s="2589"/>
      <c r="L266" s="2589"/>
      <c r="M266" s="2589"/>
      <c r="N266" s="2589"/>
      <c r="O266" s="2589"/>
      <c r="P266" s="2589"/>
      <c r="Q266" s="2589"/>
      <c r="R266" s="2589"/>
      <c r="S266" s="2589"/>
      <c r="T266" s="2589"/>
      <c r="U266" s="2589"/>
      <c r="V266" s="2589"/>
      <c r="W266" s="2589"/>
      <c r="X266" s="2589"/>
      <c r="Y266" s="2589"/>
      <c r="Z266" s="2589"/>
      <c r="AA266" s="2589"/>
      <c r="AB266" s="2589"/>
      <c r="AC266" s="2589"/>
      <c r="AD266" s="2589"/>
      <c r="AF266" s="2363" t="s">
        <v>66</v>
      </c>
      <c r="AG266" s="2363"/>
      <c r="AH266" s="2363"/>
      <c r="AI266" s="2363"/>
      <c r="AJ266" s="2363"/>
      <c r="AK266" s="2363"/>
      <c r="AL266" s="2363"/>
      <c r="AM266" s="175"/>
      <c r="AN266" s="439"/>
    </row>
    <row r="267" spans="1:74" s="46" customFormat="1" ht="12.75" customHeight="1">
      <c r="A267" s="28"/>
      <c r="B267" s="173"/>
      <c r="C267" s="218"/>
      <c r="D267" s="144"/>
      <c r="E267" s="2589"/>
      <c r="F267" s="2589"/>
      <c r="G267" s="2589"/>
      <c r="H267" s="2589"/>
      <c r="I267" s="2589"/>
      <c r="J267" s="2589"/>
      <c r="K267" s="2589"/>
      <c r="L267" s="2589"/>
      <c r="M267" s="2589"/>
      <c r="N267" s="2589"/>
      <c r="O267" s="2589"/>
      <c r="P267" s="2589"/>
      <c r="Q267" s="2589"/>
      <c r="R267" s="2589"/>
      <c r="S267" s="2589"/>
      <c r="T267" s="2589"/>
      <c r="U267" s="2589"/>
      <c r="V267" s="2589"/>
      <c r="W267" s="2589"/>
      <c r="X267" s="2589"/>
      <c r="Y267" s="2589"/>
      <c r="Z267" s="2589"/>
      <c r="AA267" s="2589"/>
      <c r="AB267" s="2589"/>
      <c r="AC267" s="2589"/>
      <c r="AD267" s="2589"/>
      <c r="AE267" s="179"/>
      <c r="AF267" s="179"/>
      <c r="AG267" s="179"/>
      <c r="AH267" s="179"/>
      <c r="AI267" s="179"/>
      <c r="AJ267" s="179"/>
      <c r="AK267" s="179"/>
      <c r="AL267" s="1302"/>
      <c r="AM267" s="175"/>
      <c r="AN267" s="439"/>
    </row>
    <row r="268" spans="1:74" s="46" customFormat="1" ht="12.75" customHeight="1">
      <c r="A268" s="28"/>
      <c r="B268" s="173"/>
      <c r="C268" s="218"/>
      <c r="D268" s="144"/>
      <c r="E268" s="2589"/>
      <c r="F268" s="2589"/>
      <c r="G268" s="2589"/>
      <c r="H268" s="2589"/>
      <c r="I268" s="2589"/>
      <c r="J268" s="2589"/>
      <c r="K268" s="2589"/>
      <c r="L268" s="2589"/>
      <c r="M268" s="2589"/>
      <c r="N268" s="2589"/>
      <c r="O268" s="2589"/>
      <c r="P268" s="2589"/>
      <c r="Q268" s="2589"/>
      <c r="R268" s="2589"/>
      <c r="S268" s="2589"/>
      <c r="T268" s="2589"/>
      <c r="U268" s="2589"/>
      <c r="V268" s="2589"/>
      <c r="W268" s="2589"/>
      <c r="X268" s="2589"/>
      <c r="Y268" s="2589"/>
      <c r="Z268" s="2589"/>
      <c r="AA268" s="2589"/>
      <c r="AB268" s="2589"/>
      <c r="AC268" s="2589"/>
      <c r="AD268" s="2589"/>
      <c r="AE268" s="179"/>
      <c r="AF268" s="179"/>
      <c r="AG268" s="179"/>
      <c r="AH268" s="179"/>
      <c r="AI268" s="179"/>
      <c r="AJ268" s="179"/>
      <c r="AK268" s="179"/>
      <c r="AL268" s="1302"/>
      <c r="AM268" s="175"/>
      <c r="AN268" s="439"/>
    </row>
    <row r="269" spans="1:74" s="46" customFormat="1" ht="12.75" customHeight="1">
      <c r="A269" s="28"/>
      <c r="B269" s="173"/>
      <c r="C269" s="218"/>
      <c r="D269" s="144"/>
      <c r="E269" s="2589"/>
      <c r="F269" s="2589"/>
      <c r="G269" s="2589"/>
      <c r="H269" s="2589"/>
      <c r="I269" s="2589"/>
      <c r="J269" s="2589"/>
      <c r="K269" s="2589"/>
      <c r="L269" s="2589"/>
      <c r="M269" s="2589"/>
      <c r="N269" s="2589"/>
      <c r="O269" s="2589"/>
      <c r="P269" s="2589"/>
      <c r="Q269" s="2589"/>
      <c r="R269" s="2589"/>
      <c r="S269" s="2589"/>
      <c r="T269" s="2589"/>
      <c r="U269" s="2589"/>
      <c r="V269" s="2589"/>
      <c r="W269" s="2589"/>
      <c r="X269" s="2589"/>
      <c r="Y269" s="2589"/>
      <c r="Z269" s="2589"/>
      <c r="AA269" s="2589"/>
      <c r="AB269" s="2589"/>
      <c r="AC269" s="2589"/>
      <c r="AD269" s="2589"/>
      <c r="AE269" s="179"/>
      <c r="AF269" s="179"/>
      <c r="AG269" s="179"/>
      <c r="AH269" s="179"/>
      <c r="AI269" s="179"/>
      <c r="AJ269" s="179"/>
      <c r="AK269" s="179"/>
      <c r="AL269" s="1302"/>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372" t="s">
        <v>136</v>
      </c>
      <c r="I271" s="2372"/>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60">
        <f>VLOOKUP($H$271,$AP$216:$AQ$218,2,FALSE)</f>
        <v>0</v>
      </c>
      <c r="AK273" s="2362"/>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28"/>
      <c r="AT274" s="1028"/>
      <c r="AU274" s="1028"/>
      <c r="AV274" s="1028"/>
      <c r="AW274" s="1028"/>
      <c r="AX274" s="1028"/>
      <c r="AY274" s="1028"/>
      <c r="AZ274" s="1028"/>
      <c r="BA274" s="1028"/>
      <c r="BB274" s="1028"/>
      <c r="BC274" s="1028"/>
      <c r="BD274" s="1029"/>
      <c r="BE274" s="1029"/>
      <c r="BF274" s="1029"/>
      <c r="BG274" s="1029"/>
      <c r="BH274" s="1029"/>
      <c r="BI274" s="1028"/>
      <c r="BJ274" s="1028"/>
      <c r="BK274" s="1028"/>
      <c r="BL274" s="1028"/>
      <c r="BM274" s="1028"/>
      <c r="BN274" s="1028"/>
      <c r="BO274" s="1028"/>
      <c r="BP274" s="1028"/>
      <c r="BQ274" s="1028"/>
      <c r="BR274" s="1028"/>
      <c r="BS274" s="1028"/>
      <c r="BT274" s="1028"/>
      <c r="BU274" s="1028"/>
      <c r="BV274" s="1028"/>
      <c r="BW274" s="1028"/>
      <c r="BX274" s="1028"/>
      <c r="BY274" s="1028"/>
      <c r="BZ274" s="1028"/>
      <c r="CA274" s="1028"/>
      <c r="CB274" s="1028"/>
      <c r="CC274" s="1028"/>
      <c r="CD274" s="1028"/>
    </row>
    <row r="275" spans="1:82" s="16" customFormat="1">
      <c r="A275" s="28"/>
      <c r="B275" s="173"/>
      <c r="C275" s="48" t="s">
        <v>1839</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28"/>
      <c r="AU275" s="1028"/>
      <c r="AV275" s="1028"/>
      <c r="AW275" s="1028"/>
      <c r="AX275" s="1028"/>
      <c r="AY275" s="1028"/>
      <c r="AZ275" s="1028"/>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0">
        <v>0</v>
      </c>
      <c r="AS276" s="1028"/>
      <c r="AT276" s="1028"/>
      <c r="AU276" s="1028"/>
      <c r="AV276" s="1028"/>
      <c r="AW276" s="1028"/>
      <c r="AX276" s="1028"/>
      <c r="AY276" s="1028"/>
      <c r="AZ276" s="1028"/>
      <c r="BA276" s="1028"/>
      <c r="BB276" s="1028"/>
      <c r="BC276" s="1028"/>
      <c r="BD276" s="1029"/>
      <c r="BE276" s="1029"/>
      <c r="BF276" s="1029"/>
      <c r="BG276" s="1029"/>
      <c r="BH276" s="1029"/>
      <c r="BI276" s="1028"/>
      <c r="BJ276" s="1028"/>
      <c r="BK276" s="1028"/>
      <c r="BL276" s="1028"/>
      <c r="BM276" s="1028"/>
      <c r="BN276" s="1028"/>
      <c r="BO276" s="1028"/>
      <c r="BP276" s="1028"/>
      <c r="BQ276" s="1028"/>
      <c r="BR276" s="1028"/>
      <c r="BS276" s="1028"/>
      <c r="BT276" s="1028"/>
      <c r="BU276" s="1028"/>
      <c r="BV276" s="1028"/>
      <c r="BW276" s="1028"/>
      <c r="BX276" s="1028"/>
      <c r="BY276" s="1028"/>
      <c r="BZ276" s="1028"/>
      <c r="CA276" s="1028"/>
      <c r="CB276" s="1028"/>
      <c r="CC276" s="1028"/>
      <c r="CD276" s="1028"/>
    </row>
    <row r="277" spans="1:82" s="16" customFormat="1" ht="13.7" customHeight="1">
      <c r="A277" s="28"/>
      <c r="B277" s="173"/>
      <c r="C277" s="218"/>
      <c r="D277" s="144" t="s">
        <v>641</v>
      </c>
      <c r="E277" s="2373" t="s">
        <v>2233</v>
      </c>
      <c r="F277" s="2373"/>
      <c r="G277" s="2373"/>
      <c r="H277" s="2373"/>
      <c r="I277" s="2373"/>
      <c r="J277" s="2373"/>
      <c r="K277" s="2373"/>
      <c r="L277" s="2373"/>
      <c r="M277" s="2373"/>
      <c r="N277" s="2373"/>
      <c r="O277" s="2373"/>
      <c r="P277" s="2373"/>
      <c r="Q277" s="2373"/>
      <c r="R277" s="2373"/>
      <c r="S277" s="2373"/>
      <c r="T277" s="2373"/>
      <c r="U277" s="2373"/>
      <c r="V277" s="2373"/>
      <c r="W277" s="2373"/>
      <c r="X277" s="2373"/>
      <c r="Y277" s="2373"/>
      <c r="Z277" s="2373"/>
      <c r="AA277" s="2373"/>
      <c r="AB277" s="2373"/>
      <c r="AC277" s="2373"/>
      <c r="AD277" s="2373"/>
      <c r="AF277" s="2363" t="s">
        <v>1840</v>
      </c>
      <c r="AG277" s="2363"/>
      <c r="AH277" s="2363"/>
      <c r="AI277" s="2363"/>
      <c r="AJ277" s="2363"/>
      <c r="AK277" s="2363"/>
      <c r="AL277" s="2363"/>
      <c r="AM277" s="175"/>
      <c r="AN277" s="317"/>
      <c r="AO277" s="144" t="s">
        <v>119</v>
      </c>
      <c r="AP277" s="46">
        <v>8</v>
      </c>
      <c r="AT277" s="1028"/>
      <c r="AU277" s="1028"/>
      <c r="AV277" s="1028"/>
      <c r="AW277" s="1028"/>
      <c r="AX277" s="1028"/>
      <c r="AY277" s="1028"/>
      <c r="AZ277" s="1028"/>
    </row>
    <row r="278" spans="1:82" s="16" customFormat="1">
      <c r="A278" s="28"/>
      <c r="B278" s="173"/>
      <c r="C278" s="218"/>
      <c r="D278" s="144"/>
      <c r="E278" s="2373"/>
      <c r="F278" s="2373"/>
      <c r="G278" s="2373"/>
      <c r="H278" s="2373"/>
      <c r="I278" s="2373"/>
      <c r="J278" s="2373"/>
      <c r="K278" s="2373"/>
      <c r="L278" s="2373"/>
      <c r="M278" s="2373"/>
      <c r="N278" s="2373"/>
      <c r="O278" s="2373"/>
      <c r="P278" s="2373"/>
      <c r="Q278" s="2373"/>
      <c r="R278" s="2373"/>
      <c r="S278" s="2373"/>
      <c r="T278" s="2373"/>
      <c r="U278" s="2373"/>
      <c r="V278" s="2373"/>
      <c r="W278" s="2373"/>
      <c r="X278" s="2373"/>
      <c r="Y278" s="2373"/>
      <c r="Z278" s="2373"/>
      <c r="AA278" s="2373"/>
      <c r="AB278" s="2373"/>
      <c r="AC278" s="2373"/>
      <c r="AD278" s="2373"/>
      <c r="AE278" s="1021"/>
      <c r="AF278" s="1021"/>
      <c r="AG278" s="1021"/>
      <c r="AH278" s="1021"/>
      <c r="AI278" s="1021"/>
      <c r="AJ278" s="1021"/>
      <c r="AK278" s="1021"/>
      <c r="AL278" s="1302"/>
      <c r="AM278" s="175"/>
      <c r="AN278" s="317"/>
      <c r="AO278" s="144"/>
      <c r="AP278" s="46"/>
      <c r="AT278" s="1028"/>
      <c r="AU278" s="1028"/>
      <c r="AV278" s="1028"/>
      <c r="AW278" s="1028"/>
      <c r="AX278" s="1028"/>
      <c r="AY278" s="1028"/>
      <c r="AZ278" s="1028"/>
    </row>
    <row r="279" spans="1:82" s="16" customFormat="1">
      <c r="A279" s="28"/>
      <c r="B279" s="173"/>
      <c r="C279" s="218"/>
      <c r="D279" s="144"/>
      <c r="E279" s="2373"/>
      <c r="F279" s="2373"/>
      <c r="G279" s="2373"/>
      <c r="H279" s="2373"/>
      <c r="I279" s="2373"/>
      <c r="J279" s="2373"/>
      <c r="K279" s="2373"/>
      <c r="L279" s="2373"/>
      <c r="M279" s="2373"/>
      <c r="N279" s="2373"/>
      <c r="O279" s="2373"/>
      <c r="P279" s="2373"/>
      <c r="Q279" s="2373"/>
      <c r="R279" s="2373"/>
      <c r="S279" s="2373"/>
      <c r="T279" s="2373"/>
      <c r="U279" s="2373"/>
      <c r="V279" s="2373"/>
      <c r="W279" s="2373"/>
      <c r="X279" s="2373"/>
      <c r="Y279" s="2373"/>
      <c r="Z279" s="2373"/>
      <c r="AA279" s="2373"/>
      <c r="AB279" s="2373"/>
      <c r="AC279" s="2373"/>
      <c r="AD279" s="2373"/>
      <c r="AE279" s="1021"/>
      <c r="AF279" s="1021"/>
      <c r="AG279" s="1021"/>
      <c r="AH279" s="1021"/>
      <c r="AI279" s="1021"/>
      <c r="AJ279" s="1021"/>
      <c r="AK279" s="1021"/>
      <c r="AL279" s="1302"/>
      <c r="AM279" s="175"/>
      <c r="AN279" s="317"/>
      <c r="AO279" s="306"/>
      <c r="AT279" s="1028"/>
      <c r="AU279" s="1028"/>
      <c r="AV279" s="1028"/>
      <c r="AW279" s="1028"/>
      <c r="AX279" s="1028"/>
      <c r="AY279" s="1028"/>
      <c r="AZ279" s="1028"/>
    </row>
    <row r="280" spans="1:82" s="16" customFormat="1">
      <c r="A280" s="28"/>
      <c r="B280" s="173"/>
      <c r="C280" s="218"/>
      <c r="D280" s="144"/>
      <c r="E280" s="1022"/>
      <c r="F280" s="1022"/>
      <c r="G280" s="1022"/>
      <c r="H280" s="1022"/>
      <c r="I280" s="1022"/>
      <c r="J280" s="1022"/>
      <c r="K280" s="1022"/>
      <c r="L280" s="1022"/>
      <c r="M280" s="1022"/>
      <c r="N280" s="1022"/>
      <c r="O280" s="1022"/>
      <c r="P280" s="1022"/>
      <c r="Q280" s="1022"/>
      <c r="R280" s="1022"/>
      <c r="S280" s="1022"/>
      <c r="T280" s="1022"/>
      <c r="U280" s="1022"/>
      <c r="V280" s="1022"/>
      <c r="W280" s="1022"/>
      <c r="X280" s="1022"/>
      <c r="Y280" s="1022"/>
      <c r="Z280" s="1022"/>
      <c r="AA280" s="1022"/>
      <c r="AB280" s="1022"/>
      <c r="AC280" s="1022"/>
      <c r="AD280" s="1022"/>
      <c r="AE280" s="1021"/>
      <c r="AF280" s="1021"/>
      <c r="AG280" s="1021"/>
      <c r="AH280" s="1021"/>
      <c r="AI280" s="1021"/>
      <c r="AJ280" s="1021"/>
      <c r="AK280" s="1021"/>
      <c r="AL280" s="1302"/>
      <c r="AM280" s="175"/>
      <c r="AN280" s="317"/>
      <c r="AO280" s="306"/>
      <c r="AT280" s="1028"/>
      <c r="AU280" s="1028"/>
      <c r="AV280" s="1028"/>
      <c r="AW280" s="1028"/>
      <c r="AX280" s="1028"/>
      <c r="AY280" s="1028"/>
      <c r="AZ280" s="1028"/>
    </row>
    <row r="281" spans="1:82" s="16" customFormat="1">
      <c r="A281" s="28"/>
      <c r="B281" s="173"/>
      <c r="C281" s="218"/>
      <c r="D281" s="28" t="s">
        <v>163</v>
      </c>
      <c r="E281" s="1023"/>
      <c r="F281" s="1023"/>
      <c r="G281" s="1023"/>
      <c r="H281" s="2372" t="s">
        <v>119</v>
      </c>
      <c r="I281" s="2372"/>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28"/>
      <c r="AT281" s="1028"/>
      <c r="AU281" s="1028"/>
      <c r="AV281" s="1028"/>
      <c r="AW281" s="1028"/>
      <c r="AX281" s="1028"/>
      <c r="AY281" s="1028"/>
      <c r="AZ281" s="1028"/>
      <c r="BA281" s="1028"/>
      <c r="BB281" s="1028"/>
      <c r="BC281" s="1028"/>
      <c r="BD281" s="1029"/>
      <c r="BE281" s="1029"/>
      <c r="BF281" s="1029"/>
      <c r="BG281" s="1029"/>
      <c r="BH281" s="1029"/>
      <c r="BI281" s="1028"/>
      <c r="BJ281" s="1028"/>
      <c r="BK281" s="1028"/>
      <c r="BL281" s="1028"/>
      <c r="BM281" s="1028"/>
      <c r="BN281" s="1028"/>
      <c r="BO281" s="1028"/>
      <c r="BP281" s="1028"/>
      <c r="BQ281" s="1028"/>
      <c r="BR281" s="1028"/>
      <c r="BS281" s="1028"/>
      <c r="BT281" s="1028"/>
      <c r="BU281" s="1028"/>
      <c r="BV281" s="1028"/>
      <c r="BW281" s="1028"/>
      <c r="BX281" s="1028"/>
      <c r="BY281" s="1028"/>
      <c r="BZ281" s="1028"/>
      <c r="CA281" s="1028"/>
      <c r="CB281" s="1028"/>
      <c r="CC281" s="1028"/>
      <c r="CD281" s="1028"/>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28"/>
      <c r="AU282" s="1028"/>
      <c r="AV282" s="1028"/>
      <c r="AW282" s="1028"/>
      <c r="AX282" s="1028"/>
      <c r="AY282" s="1028"/>
      <c r="AZ282" s="1028"/>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19" t="s">
        <v>1941</v>
      </c>
      <c r="AJ283" s="2360">
        <f>VLOOKUP($H$281,$AO$276:$AP$277,2,FALSE)</f>
        <v>8</v>
      </c>
      <c r="AK283" s="2362"/>
      <c r="AL283" s="25"/>
      <c r="AM283" s="137"/>
      <c r="AN283" s="317"/>
      <c r="AS283" s="1028"/>
      <c r="AT283" s="1028"/>
      <c r="AU283" s="1028"/>
      <c r="AV283" s="1028"/>
      <c r="AW283" s="1028"/>
      <c r="AX283" s="1028"/>
      <c r="AY283" s="1028"/>
      <c r="AZ283" s="1028"/>
      <c r="BA283" s="1028"/>
      <c r="BB283" s="1028"/>
      <c r="BC283" s="1028"/>
      <c r="BD283" s="1029"/>
      <c r="BE283" s="1029"/>
      <c r="BF283" s="1029"/>
      <c r="BG283" s="1029"/>
      <c r="BH283" s="1029"/>
      <c r="BI283" s="1028"/>
      <c r="BJ283" s="1028"/>
      <c r="BK283" s="1028"/>
      <c r="BL283" s="1028"/>
      <c r="BM283" s="1028"/>
      <c r="BN283" s="1028"/>
      <c r="BO283" s="1028"/>
      <c r="BP283" s="1028"/>
      <c r="BQ283" s="1028"/>
      <c r="BR283" s="1028"/>
      <c r="BS283" s="1028"/>
      <c r="BT283" s="1028"/>
      <c r="BU283" s="1028"/>
      <c r="BV283" s="1028"/>
      <c r="BW283" s="1028"/>
      <c r="BX283" s="1028"/>
      <c r="BY283" s="1028"/>
      <c r="BZ283" s="1028"/>
      <c r="CA283" s="1028"/>
      <c r="CB283" s="1028"/>
      <c r="CC283" s="1028"/>
      <c r="CD283" s="1028"/>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6"/>
      <c r="AJ285" s="1306" t="s">
        <v>39</v>
      </c>
      <c r="AK285" s="2360">
        <f>$AJ$129+$AJ$144+$AJ$156+$AJ$189+$AJ$208+$AJ$220+$AJ$232+$AJ$246+$AJ$258+$AJ$273+AJ283</f>
        <v>18</v>
      </c>
      <c r="AL285" s="2361"/>
      <c r="AM285" s="2362"/>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97" t="s">
        <v>2444</v>
      </c>
      <c r="I289" s="1697"/>
      <c r="J289" s="1697"/>
      <c r="K289" s="1697"/>
      <c r="L289" s="1697"/>
      <c r="M289" s="1697"/>
      <c r="N289" s="1697"/>
      <c r="O289" s="1697"/>
      <c r="P289" s="1697"/>
      <c r="Q289" s="1697"/>
      <c r="R289" s="1697"/>
      <c r="S289" s="16"/>
      <c r="T289" s="72" t="s">
        <v>100</v>
      </c>
      <c r="U289" s="16"/>
      <c r="V289" s="72"/>
      <c r="W289" s="72"/>
      <c r="X289" s="72"/>
      <c r="Y289" s="72"/>
      <c r="Z289" s="16"/>
      <c r="AA289" s="1697"/>
      <c r="AB289" s="1697"/>
      <c r="AC289" s="1697"/>
      <c r="AD289" s="1697"/>
      <c r="AE289" s="1697"/>
      <c r="AF289" s="1697"/>
      <c r="AG289" s="1697"/>
      <c r="AH289" s="1697"/>
      <c r="AI289" s="1697"/>
      <c r="AJ289" s="1697"/>
      <c r="AK289" s="1697"/>
      <c r="AL289" s="25"/>
      <c r="AM289" s="137"/>
      <c r="AN289" s="439"/>
    </row>
    <row r="290" spans="1:41" s="46" customFormat="1" ht="12.75" customHeight="1">
      <c r="A290" s="153"/>
      <c r="B290" s="72" t="s">
        <v>765</v>
      </c>
      <c r="C290" s="72"/>
      <c r="D290" s="72"/>
      <c r="E290" s="72"/>
      <c r="F290" s="72"/>
      <c r="G290" s="16"/>
      <c r="H290" s="1696" t="s">
        <v>2379</v>
      </c>
      <c r="I290" s="1696"/>
      <c r="J290" s="1696"/>
      <c r="K290" s="1696"/>
      <c r="L290" s="1696"/>
      <c r="M290" s="1696"/>
      <c r="N290" s="1696"/>
      <c r="O290" s="1696"/>
      <c r="P290" s="1696"/>
      <c r="Q290" s="1696"/>
      <c r="R290" s="1696"/>
      <c r="S290" s="16"/>
      <c r="T290" s="72" t="s">
        <v>765</v>
      </c>
      <c r="U290" s="16"/>
      <c r="V290" s="72"/>
      <c r="W290" s="72"/>
      <c r="X290" s="72"/>
      <c r="Y290" s="72"/>
      <c r="Z290" s="16"/>
      <c r="AA290" s="1696"/>
      <c r="AB290" s="1696"/>
      <c r="AC290" s="1696"/>
      <c r="AD290" s="1696"/>
      <c r="AE290" s="1696"/>
      <c r="AF290" s="1696"/>
      <c r="AG290" s="1696"/>
      <c r="AH290" s="1696"/>
      <c r="AI290" s="1696"/>
      <c r="AJ290" s="1696"/>
      <c r="AK290" s="1696"/>
      <c r="AL290" s="25"/>
      <c r="AM290" s="137"/>
      <c r="AN290" s="439"/>
    </row>
    <row r="291" spans="1:41" s="46" customFormat="1" ht="12.75" customHeight="1">
      <c r="A291" s="153"/>
      <c r="B291" s="72" t="s">
        <v>110</v>
      </c>
      <c r="C291" s="72"/>
      <c r="D291" s="72"/>
      <c r="E291" s="72"/>
      <c r="F291" s="72"/>
      <c r="G291" s="16"/>
      <c r="H291" s="1696" t="s">
        <v>2445</v>
      </c>
      <c r="I291" s="1696"/>
      <c r="J291" s="1696"/>
      <c r="K291" s="1696"/>
      <c r="L291" s="1696"/>
      <c r="M291" s="1696"/>
      <c r="N291" s="1696"/>
      <c r="O291" s="1696"/>
      <c r="P291" s="1696"/>
      <c r="Q291" s="1696"/>
      <c r="R291" s="1696"/>
      <c r="S291" s="16"/>
      <c r="T291" s="72" t="s">
        <v>110</v>
      </c>
      <c r="U291" s="16"/>
      <c r="V291" s="72"/>
      <c r="W291" s="72"/>
      <c r="X291" s="72"/>
      <c r="Y291" s="72"/>
      <c r="Z291" s="16"/>
      <c r="AA291" s="1696"/>
      <c r="AB291" s="1696"/>
      <c r="AC291" s="1696"/>
      <c r="AD291" s="1696"/>
      <c r="AE291" s="1696"/>
      <c r="AF291" s="1696"/>
      <c r="AG291" s="1696"/>
      <c r="AH291" s="1696"/>
      <c r="AI291" s="1696"/>
      <c r="AJ291" s="1696"/>
      <c r="AK291" s="1696"/>
      <c r="AL291" s="25"/>
      <c r="AM291" s="137"/>
      <c r="AN291" s="439"/>
      <c r="AO291" s="331"/>
    </row>
    <row r="292" spans="1:41" s="46" customFormat="1" ht="12.75" customHeight="1">
      <c r="A292" s="153"/>
      <c r="B292" s="72" t="s">
        <v>418</v>
      </c>
      <c r="C292" s="72"/>
      <c r="D292" s="72"/>
      <c r="E292" s="72"/>
      <c r="F292" s="72"/>
      <c r="G292" s="16"/>
      <c r="H292" s="1696" t="s">
        <v>2446</v>
      </c>
      <c r="I292" s="1696"/>
      <c r="J292" s="1696"/>
      <c r="K292" s="1696"/>
      <c r="L292" s="1696"/>
      <c r="M292" s="1696"/>
      <c r="N292" s="1696"/>
      <c r="O292" s="1696"/>
      <c r="P292" s="1696"/>
      <c r="Q292" s="1696"/>
      <c r="R292" s="1696"/>
      <c r="S292" s="16"/>
      <c r="T292" s="72" t="s">
        <v>418</v>
      </c>
      <c r="U292" s="16"/>
      <c r="V292" s="72"/>
      <c r="W292" s="72"/>
      <c r="X292" s="72"/>
      <c r="Y292" s="72"/>
      <c r="Z292" s="16"/>
      <c r="AA292" s="1696"/>
      <c r="AB292" s="1696"/>
      <c r="AC292" s="1696"/>
      <c r="AD292" s="1696"/>
      <c r="AE292" s="1696"/>
      <c r="AF292" s="1696"/>
      <c r="AG292" s="1696"/>
      <c r="AH292" s="1696"/>
      <c r="AI292" s="1696"/>
      <c r="AJ292" s="1696"/>
      <c r="AK292" s="1696"/>
      <c r="AL292" s="25"/>
      <c r="AM292" s="137"/>
      <c r="AN292" s="439"/>
      <c r="AO292" s="331"/>
    </row>
    <row r="293" spans="1:41" s="46" customFormat="1" ht="12.75" customHeight="1">
      <c r="A293" s="153"/>
      <c r="B293" s="72" t="s">
        <v>419</v>
      </c>
      <c r="C293" s="72"/>
      <c r="D293" s="72"/>
      <c r="E293" s="72"/>
      <c r="F293" s="72"/>
      <c r="G293" s="72"/>
      <c r="H293" s="1698"/>
      <c r="I293" s="1698"/>
      <c r="J293" s="1698"/>
      <c r="K293" s="1698"/>
      <c r="L293" s="1698"/>
      <c r="M293" s="1698"/>
      <c r="N293" s="8" t="s">
        <v>900</v>
      </c>
      <c r="O293" s="8"/>
      <c r="P293" s="1692"/>
      <c r="Q293" s="1692"/>
      <c r="R293" s="1692"/>
      <c r="S293" s="72"/>
      <c r="T293" s="72" t="s">
        <v>419</v>
      </c>
      <c r="U293" s="16"/>
      <c r="V293" s="72"/>
      <c r="W293" s="72"/>
      <c r="X293" s="72"/>
      <c r="Y293" s="72"/>
      <c r="Z293" s="16"/>
      <c r="AA293" s="1698"/>
      <c r="AB293" s="1698"/>
      <c r="AC293" s="1698"/>
      <c r="AD293" s="1698"/>
      <c r="AE293" s="1698"/>
      <c r="AF293" s="1698"/>
      <c r="AG293" s="8" t="s">
        <v>900</v>
      </c>
      <c r="AH293" s="8"/>
      <c r="AI293" s="1692"/>
      <c r="AJ293" s="1692"/>
      <c r="AK293" s="1692"/>
      <c r="AL293" s="25"/>
      <c r="AM293" s="137"/>
      <c r="AN293" s="439"/>
      <c r="AO293" s="331"/>
    </row>
    <row r="294" spans="1:41" s="46" customFormat="1" ht="12.75" customHeight="1">
      <c r="A294" s="153"/>
      <c r="B294" s="72" t="s">
        <v>99</v>
      </c>
      <c r="C294" s="72"/>
      <c r="D294" s="72"/>
      <c r="E294" s="72"/>
      <c r="F294" s="72"/>
      <c r="G294" s="72"/>
      <c r="H294" s="1696" t="s">
        <v>388</v>
      </c>
      <c r="I294" s="1696"/>
      <c r="J294" s="1696"/>
      <c r="K294" s="1696"/>
      <c r="L294" s="1696"/>
      <c r="M294" s="1696"/>
      <c r="N294" s="1696"/>
      <c r="O294" s="1696"/>
      <c r="P294" s="1696"/>
      <c r="Q294" s="1696"/>
      <c r="R294" s="1696"/>
      <c r="S294" s="72"/>
      <c r="T294" s="72" t="s">
        <v>99</v>
      </c>
      <c r="U294" s="16"/>
      <c r="V294" s="72"/>
      <c r="W294" s="72"/>
      <c r="X294" s="72"/>
      <c r="Y294" s="72"/>
      <c r="Z294" s="16"/>
      <c r="AA294" s="1696"/>
      <c r="AB294" s="1696"/>
      <c r="AC294" s="1696"/>
      <c r="AD294" s="1696"/>
      <c r="AE294" s="1696"/>
      <c r="AF294" s="1696"/>
      <c r="AG294" s="1696"/>
      <c r="AH294" s="1696"/>
      <c r="AI294" s="1696"/>
      <c r="AJ294" s="1696"/>
      <c r="AK294" s="1696"/>
      <c r="AL294" s="25"/>
      <c r="AM294" s="137"/>
      <c r="AN294" s="439"/>
      <c r="AO294" s="331"/>
    </row>
    <row r="295" spans="1:41" s="46" customFormat="1" ht="12.75" customHeight="1">
      <c r="A295" s="153"/>
      <c r="B295" s="72" t="s">
        <v>101</v>
      </c>
      <c r="C295" s="72"/>
      <c r="D295" s="72"/>
      <c r="E295" s="72"/>
      <c r="F295" s="72"/>
      <c r="G295" s="72"/>
      <c r="H295" s="1696" t="s">
        <v>2455</v>
      </c>
      <c r="I295" s="1696"/>
      <c r="J295" s="1696"/>
      <c r="K295" s="1696"/>
      <c r="L295" s="1696"/>
      <c r="M295" s="1696"/>
      <c r="N295" s="1696"/>
      <c r="O295" s="1696"/>
      <c r="P295" s="1696"/>
      <c r="Q295" s="1696"/>
      <c r="R295" s="1696"/>
      <c r="S295" s="72"/>
      <c r="T295" s="72" t="s">
        <v>101</v>
      </c>
      <c r="U295" s="16"/>
      <c r="V295" s="72"/>
      <c r="W295" s="72"/>
      <c r="X295" s="72"/>
      <c r="Y295" s="72"/>
      <c r="Z295" s="16"/>
      <c r="AA295" s="1696"/>
      <c r="AB295" s="1696"/>
      <c r="AC295" s="1696"/>
      <c r="AD295" s="1696"/>
      <c r="AE295" s="1696"/>
      <c r="AF295" s="1696"/>
      <c r="AG295" s="1696"/>
      <c r="AH295" s="1696"/>
      <c r="AI295" s="1696"/>
      <c r="AJ295" s="1696"/>
      <c r="AK295" s="1696"/>
      <c r="AL295" s="25"/>
      <c r="AM295" s="137"/>
      <c r="AN295" s="439"/>
    </row>
    <row r="296" spans="1:41" s="137" customFormat="1" ht="12.75" customHeight="1">
      <c r="A296" s="153"/>
      <c r="B296" s="72" t="s">
        <v>112</v>
      </c>
      <c r="C296" s="72"/>
      <c r="D296" s="72"/>
      <c r="E296" s="72"/>
      <c r="F296" s="72"/>
      <c r="G296" s="72"/>
      <c r="H296" s="2414" t="s">
        <v>2539</v>
      </c>
      <c r="I296" s="2414"/>
      <c r="J296" s="2414"/>
      <c r="K296" s="2414"/>
      <c r="L296" s="2414"/>
      <c r="M296" s="2414"/>
      <c r="N296" s="2414"/>
      <c r="O296" s="2414"/>
      <c r="P296" s="2414"/>
      <c r="Q296" s="2414"/>
      <c r="R296" s="2414"/>
      <c r="S296" s="72"/>
      <c r="T296" s="72" t="s">
        <v>112</v>
      </c>
      <c r="U296" s="72"/>
      <c r="V296" s="72"/>
      <c r="W296" s="72"/>
      <c r="X296" s="72"/>
      <c r="Y296" s="72"/>
      <c r="Z296" s="18"/>
      <c r="AA296" s="2414"/>
      <c r="AB296" s="2414"/>
      <c r="AC296" s="2414"/>
      <c r="AD296" s="2414"/>
      <c r="AE296" s="2414"/>
      <c r="AF296" s="2414"/>
      <c r="AG296" s="2414"/>
      <c r="AH296" s="2414"/>
      <c r="AI296" s="2414"/>
      <c r="AJ296" s="2414"/>
      <c r="AK296" s="2414"/>
      <c r="AL296" s="25"/>
      <c r="AM296" s="423"/>
      <c r="AN296" s="1138"/>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97" t="s">
        <v>2447</v>
      </c>
      <c r="I298" s="1697"/>
      <c r="J298" s="1697"/>
      <c r="K298" s="1697"/>
      <c r="L298" s="1697"/>
      <c r="M298" s="1697"/>
      <c r="N298" s="1697"/>
      <c r="O298" s="1697"/>
      <c r="P298" s="1697"/>
      <c r="Q298" s="1697"/>
      <c r="R298" s="1697"/>
      <c r="S298" s="16"/>
      <c r="T298" s="72" t="s">
        <v>100</v>
      </c>
      <c r="U298" s="16"/>
      <c r="V298" s="72"/>
      <c r="W298" s="72"/>
      <c r="X298" s="72"/>
      <c r="Y298" s="72"/>
      <c r="Z298" s="16"/>
      <c r="AA298" s="1697"/>
      <c r="AB298" s="1697"/>
      <c r="AC298" s="1697"/>
      <c r="AD298" s="1697"/>
      <c r="AE298" s="1697"/>
      <c r="AF298" s="1697"/>
      <c r="AG298" s="1697"/>
      <c r="AH298" s="1697"/>
      <c r="AI298" s="1697"/>
      <c r="AJ298" s="1697"/>
      <c r="AK298" s="1697"/>
      <c r="AL298" s="25"/>
      <c r="AM298" s="137"/>
      <c r="AN298" s="439"/>
    </row>
    <row r="299" spans="1:41" s="205" customFormat="1" ht="12.75" customHeight="1">
      <c r="A299" s="153"/>
      <c r="B299" s="72" t="s">
        <v>765</v>
      </c>
      <c r="C299" s="72"/>
      <c r="D299" s="72"/>
      <c r="E299" s="72"/>
      <c r="F299" s="72"/>
      <c r="G299" s="16"/>
      <c r="H299" s="1696" t="s">
        <v>2448</v>
      </c>
      <c r="I299" s="1696"/>
      <c r="J299" s="1696"/>
      <c r="K299" s="1696"/>
      <c r="L299" s="1696"/>
      <c r="M299" s="1696"/>
      <c r="N299" s="1696"/>
      <c r="O299" s="1696"/>
      <c r="P299" s="1696"/>
      <c r="Q299" s="1696"/>
      <c r="R299" s="1696"/>
      <c r="S299" s="16"/>
      <c r="T299" s="72" t="s">
        <v>765</v>
      </c>
      <c r="U299" s="16"/>
      <c r="V299" s="72"/>
      <c r="W299" s="72"/>
      <c r="X299" s="72"/>
      <c r="Y299" s="72"/>
      <c r="Z299" s="16"/>
      <c r="AA299" s="1696"/>
      <c r="AB299" s="1696"/>
      <c r="AC299" s="1696"/>
      <c r="AD299" s="1696"/>
      <c r="AE299" s="1696"/>
      <c r="AF299" s="1696"/>
      <c r="AG299" s="1696"/>
      <c r="AH299" s="1696"/>
      <c r="AI299" s="1696"/>
      <c r="AJ299" s="1696"/>
      <c r="AK299" s="1696"/>
      <c r="AL299" s="25"/>
      <c r="AM299" s="137"/>
      <c r="AN299" s="439"/>
      <c r="AO299" s="46"/>
    </row>
    <row r="300" spans="1:41" s="205" customFormat="1" ht="12.75" customHeight="1">
      <c r="A300" s="153"/>
      <c r="B300" s="72" t="s">
        <v>110</v>
      </c>
      <c r="C300" s="72"/>
      <c r="D300" s="72"/>
      <c r="E300" s="72"/>
      <c r="F300" s="72"/>
      <c r="G300" s="16"/>
      <c r="H300" s="1696" t="s">
        <v>2449</v>
      </c>
      <c r="I300" s="1696"/>
      <c r="J300" s="1696"/>
      <c r="K300" s="1696"/>
      <c r="L300" s="1696"/>
      <c r="M300" s="1696"/>
      <c r="N300" s="1696"/>
      <c r="O300" s="1696"/>
      <c r="P300" s="1696"/>
      <c r="Q300" s="1696"/>
      <c r="R300" s="1696"/>
      <c r="S300" s="16"/>
      <c r="T300" s="72" t="s">
        <v>110</v>
      </c>
      <c r="U300" s="16"/>
      <c r="V300" s="72"/>
      <c r="W300" s="72"/>
      <c r="X300" s="72"/>
      <c r="Y300" s="72"/>
      <c r="Z300" s="16"/>
      <c r="AA300" s="1696"/>
      <c r="AB300" s="1696"/>
      <c r="AC300" s="1696"/>
      <c r="AD300" s="1696"/>
      <c r="AE300" s="1696"/>
      <c r="AF300" s="1696"/>
      <c r="AG300" s="1696"/>
      <c r="AH300" s="1696"/>
      <c r="AI300" s="1696"/>
      <c r="AJ300" s="1696"/>
      <c r="AK300" s="1696"/>
      <c r="AL300" s="25"/>
      <c r="AM300" s="137"/>
      <c r="AN300" s="439"/>
      <c r="AO300" s="46"/>
    </row>
    <row r="301" spans="1:41" s="46" customFormat="1" ht="12.75" customHeight="1">
      <c r="A301" s="153"/>
      <c r="B301" s="72" t="s">
        <v>418</v>
      </c>
      <c r="C301" s="72"/>
      <c r="D301" s="72"/>
      <c r="E301" s="72"/>
      <c r="F301" s="72"/>
      <c r="G301" s="16"/>
      <c r="H301" s="1696" t="s">
        <v>2456</v>
      </c>
      <c r="I301" s="1696"/>
      <c r="J301" s="1696"/>
      <c r="K301" s="1696"/>
      <c r="L301" s="1696"/>
      <c r="M301" s="1696"/>
      <c r="N301" s="1696"/>
      <c r="O301" s="1696"/>
      <c r="P301" s="1696"/>
      <c r="Q301" s="1696"/>
      <c r="R301" s="1696"/>
      <c r="S301" s="16"/>
      <c r="T301" s="72" t="s">
        <v>418</v>
      </c>
      <c r="U301" s="16"/>
      <c r="V301" s="72"/>
      <c r="W301" s="72"/>
      <c r="X301" s="72"/>
      <c r="Y301" s="72"/>
      <c r="Z301" s="16"/>
      <c r="AA301" s="1696"/>
      <c r="AB301" s="1696"/>
      <c r="AC301" s="1696"/>
      <c r="AD301" s="1696"/>
      <c r="AE301" s="1696"/>
      <c r="AF301" s="1696"/>
      <c r="AG301" s="1696"/>
      <c r="AH301" s="1696"/>
      <c r="AI301" s="1696"/>
      <c r="AJ301" s="1696"/>
      <c r="AK301" s="1696"/>
      <c r="AL301" s="25"/>
      <c r="AM301" s="137"/>
      <c r="AN301" s="439"/>
    </row>
    <row r="302" spans="1:41" s="46" customFormat="1" ht="12.75" customHeight="1">
      <c r="A302" s="153"/>
      <c r="B302" s="72" t="s">
        <v>419</v>
      </c>
      <c r="C302" s="72"/>
      <c r="D302" s="72"/>
      <c r="E302" s="72"/>
      <c r="F302" s="72"/>
      <c r="G302" s="72"/>
      <c r="H302" s="1699" t="s">
        <v>2457</v>
      </c>
      <c r="I302" s="1698"/>
      <c r="J302" s="1698"/>
      <c r="K302" s="1698"/>
      <c r="L302" s="1698"/>
      <c r="M302" s="1698"/>
      <c r="N302" s="8" t="s">
        <v>900</v>
      </c>
      <c r="O302" s="8"/>
      <c r="P302" s="1692"/>
      <c r="Q302" s="1692"/>
      <c r="R302" s="1692"/>
      <c r="S302" s="72"/>
      <c r="T302" s="72" t="s">
        <v>419</v>
      </c>
      <c r="U302" s="16"/>
      <c r="V302" s="72"/>
      <c r="W302" s="72"/>
      <c r="X302" s="72"/>
      <c r="Y302" s="72"/>
      <c r="Z302" s="16"/>
      <c r="AA302" s="1698"/>
      <c r="AB302" s="1698"/>
      <c r="AC302" s="1698"/>
      <c r="AD302" s="1698"/>
      <c r="AE302" s="1698"/>
      <c r="AF302" s="1698"/>
      <c r="AG302" s="8" t="s">
        <v>900</v>
      </c>
      <c r="AH302" s="8"/>
      <c r="AI302" s="1692"/>
      <c r="AJ302" s="1692"/>
      <c r="AK302" s="1692"/>
      <c r="AL302" s="25"/>
      <c r="AM302" s="137"/>
      <c r="AN302" s="439"/>
    </row>
    <row r="303" spans="1:41" s="46" customFormat="1" ht="12.75" customHeight="1">
      <c r="A303" s="153"/>
      <c r="B303" s="72" t="s">
        <v>99</v>
      </c>
      <c r="C303" s="72"/>
      <c r="D303" s="72"/>
      <c r="E303" s="72"/>
      <c r="F303" s="72"/>
      <c r="G303" s="72"/>
      <c r="H303" s="1696" t="s">
        <v>103</v>
      </c>
      <c r="I303" s="1696"/>
      <c r="J303" s="1696"/>
      <c r="K303" s="1696"/>
      <c r="L303" s="1696"/>
      <c r="M303" s="1696"/>
      <c r="N303" s="1696"/>
      <c r="O303" s="1696"/>
      <c r="P303" s="1696"/>
      <c r="Q303" s="1696"/>
      <c r="R303" s="1696"/>
      <c r="S303" s="72"/>
      <c r="T303" s="72" t="s">
        <v>99</v>
      </c>
      <c r="U303" s="16"/>
      <c r="V303" s="72"/>
      <c r="W303" s="72"/>
      <c r="X303" s="72"/>
      <c r="Y303" s="72"/>
      <c r="Z303" s="16"/>
      <c r="AA303" s="1696"/>
      <c r="AB303" s="1696"/>
      <c r="AC303" s="1696"/>
      <c r="AD303" s="1696"/>
      <c r="AE303" s="1696"/>
      <c r="AF303" s="1696"/>
      <c r="AG303" s="1696"/>
      <c r="AH303" s="1696"/>
      <c r="AI303" s="1696"/>
      <c r="AJ303" s="1696"/>
      <c r="AK303" s="1696"/>
      <c r="AL303" s="25"/>
      <c r="AM303" s="137"/>
      <c r="AN303" s="439"/>
    </row>
    <row r="304" spans="1:41" s="46" customFormat="1" ht="12.75" customHeight="1">
      <c r="A304" s="153"/>
      <c r="B304" s="72" t="s">
        <v>101</v>
      </c>
      <c r="C304" s="72"/>
      <c r="D304" s="72"/>
      <c r="E304" s="72"/>
      <c r="F304" s="72"/>
      <c r="G304" s="72"/>
      <c r="H304" s="1696" t="s">
        <v>2458</v>
      </c>
      <c r="I304" s="1696"/>
      <c r="J304" s="1696"/>
      <c r="K304" s="1696"/>
      <c r="L304" s="1696"/>
      <c r="M304" s="1696"/>
      <c r="N304" s="1696"/>
      <c r="O304" s="1696"/>
      <c r="P304" s="1696"/>
      <c r="Q304" s="1696"/>
      <c r="R304" s="1696"/>
      <c r="S304" s="72"/>
      <c r="T304" s="72" t="s">
        <v>101</v>
      </c>
      <c r="U304" s="16"/>
      <c r="V304" s="72"/>
      <c r="W304" s="72"/>
      <c r="X304" s="72"/>
      <c r="Y304" s="72"/>
      <c r="Z304" s="16"/>
      <c r="AA304" s="1696"/>
      <c r="AB304" s="1696"/>
      <c r="AC304" s="1696"/>
      <c r="AD304" s="1696"/>
      <c r="AE304" s="1696"/>
      <c r="AF304" s="1696"/>
      <c r="AG304" s="1696"/>
      <c r="AH304" s="1696"/>
      <c r="AI304" s="1696"/>
      <c r="AJ304" s="1696"/>
      <c r="AK304" s="1696"/>
      <c r="AL304" s="25"/>
      <c r="AM304" s="137"/>
      <c r="AN304" s="439"/>
    </row>
    <row r="305" spans="1:40" s="46" customFormat="1" ht="12.75" customHeight="1">
      <c r="A305" s="153"/>
      <c r="B305" s="72" t="s">
        <v>112</v>
      </c>
      <c r="C305" s="72"/>
      <c r="D305" s="72"/>
      <c r="E305" s="72"/>
      <c r="F305" s="72"/>
      <c r="G305" s="72"/>
      <c r="H305" s="2414" t="s">
        <v>2452</v>
      </c>
      <c r="I305" s="2414"/>
      <c r="J305" s="2414"/>
      <c r="K305" s="2414"/>
      <c r="L305" s="2414"/>
      <c r="M305" s="2414"/>
      <c r="N305" s="2414"/>
      <c r="O305" s="2414"/>
      <c r="P305" s="2414"/>
      <c r="Q305" s="2414"/>
      <c r="R305" s="2414"/>
      <c r="S305" s="72"/>
      <c r="T305" s="72" t="s">
        <v>112</v>
      </c>
      <c r="U305" s="72"/>
      <c r="V305" s="72"/>
      <c r="W305" s="72"/>
      <c r="X305" s="72"/>
      <c r="Y305" s="72"/>
      <c r="Z305" s="18"/>
      <c r="AA305" s="2414"/>
      <c r="AB305" s="2414"/>
      <c r="AC305" s="2414"/>
      <c r="AD305" s="2414"/>
      <c r="AE305" s="2414"/>
      <c r="AF305" s="2414"/>
      <c r="AG305" s="2414"/>
      <c r="AH305" s="2414"/>
      <c r="AI305" s="2414"/>
      <c r="AJ305" s="2414"/>
      <c r="AK305" s="2414"/>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97" t="s">
        <v>2450</v>
      </c>
      <c r="I307" s="1697"/>
      <c r="J307" s="1697"/>
      <c r="K307" s="1697"/>
      <c r="L307" s="1697"/>
      <c r="M307" s="1697"/>
      <c r="N307" s="1697"/>
      <c r="O307" s="1697"/>
      <c r="P307" s="1697"/>
      <c r="Q307" s="1697"/>
      <c r="R307" s="1697"/>
      <c r="S307" s="16"/>
      <c r="T307" s="72" t="s">
        <v>100</v>
      </c>
      <c r="U307" s="16"/>
      <c r="V307" s="72"/>
      <c r="W307" s="72"/>
      <c r="X307" s="72"/>
      <c r="Y307" s="72"/>
      <c r="Z307" s="16"/>
      <c r="AA307" s="1697"/>
      <c r="AB307" s="1697"/>
      <c r="AC307" s="1697"/>
      <c r="AD307" s="1697"/>
      <c r="AE307" s="1697"/>
      <c r="AF307" s="1697"/>
      <c r="AG307" s="1697"/>
      <c r="AH307" s="1697"/>
      <c r="AI307" s="1697"/>
      <c r="AJ307" s="1697"/>
      <c r="AK307" s="1697"/>
      <c r="AL307" s="25"/>
      <c r="AM307" s="137"/>
      <c r="AN307" s="439"/>
    </row>
    <row r="308" spans="1:40" s="46" customFormat="1" ht="12.75" customHeight="1">
      <c r="A308" s="153"/>
      <c r="B308" s="72" t="s">
        <v>765</v>
      </c>
      <c r="C308" s="72"/>
      <c r="D308" s="72"/>
      <c r="E308" s="72"/>
      <c r="F308" s="72"/>
      <c r="G308" s="16"/>
      <c r="H308" s="1696" t="s">
        <v>2451</v>
      </c>
      <c r="I308" s="1696"/>
      <c r="J308" s="1696"/>
      <c r="K308" s="1696"/>
      <c r="L308" s="1696"/>
      <c r="M308" s="1696"/>
      <c r="N308" s="1696"/>
      <c r="O308" s="1696"/>
      <c r="P308" s="1696"/>
      <c r="Q308" s="1696"/>
      <c r="R308" s="1696"/>
      <c r="S308" s="16"/>
      <c r="T308" s="72" t="s">
        <v>765</v>
      </c>
      <c r="U308" s="16"/>
      <c r="V308" s="72"/>
      <c r="W308" s="72"/>
      <c r="X308" s="72"/>
      <c r="Y308" s="72"/>
      <c r="Z308" s="16"/>
      <c r="AA308" s="1696"/>
      <c r="AB308" s="1696"/>
      <c r="AC308" s="1696"/>
      <c r="AD308" s="1696"/>
      <c r="AE308" s="1696"/>
      <c r="AF308" s="1696"/>
      <c r="AG308" s="1696"/>
      <c r="AH308" s="1696"/>
      <c r="AI308" s="1696"/>
      <c r="AJ308" s="1696"/>
      <c r="AK308" s="1696"/>
      <c r="AL308" s="25"/>
      <c r="AM308" s="137"/>
      <c r="AN308" s="439"/>
    </row>
    <row r="309" spans="1:40" s="46" customFormat="1" ht="12.75" customHeight="1">
      <c r="A309" s="153"/>
      <c r="B309" s="72" t="s">
        <v>110</v>
      </c>
      <c r="C309" s="72"/>
      <c r="D309" s="72"/>
      <c r="E309" s="72"/>
      <c r="F309" s="72"/>
      <c r="G309" s="16"/>
      <c r="H309" s="1696" t="s">
        <v>2445</v>
      </c>
      <c r="I309" s="1696"/>
      <c r="J309" s="1696"/>
      <c r="K309" s="1696"/>
      <c r="L309" s="1696"/>
      <c r="M309" s="1696"/>
      <c r="N309" s="1696"/>
      <c r="O309" s="1696"/>
      <c r="P309" s="1696"/>
      <c r="Q309" s="1696"/>
      <c r="R309" s="1696"/>
      <c r="S309" s="16"/>
      <c r="T309" s="72" t="s">
        <v>110</v>
      </c>
      <c r="U309" s="16"/>
      <c r="V309" s="72"/>
      <c r="W309" s="72"/>
      <c r="X309" s="72"/>
      <c r="Y309" s="72"/>
      <c r="Z309" s="16"/>
      <c r="AA309" s="1696"/>
      <c r="AB309" s="1696"/>
      <c r="AC309" s="1696"/>
      <c r="AD309" s="1696"/>
      <c r="AE309" s="1696"/>
      <c r="AF309" s="1696"/>
      <c r="AG309" s="1696"/>
      <c r="AH309" s="1696"/>
      <c r="AI309" s="1696"/>
      <c r="AJ309" s="1696"/>
      <c r="AK309" s="1696"/>
      <c r="AL309" s="25"/>
      <c r="AM309" s="137"/>
      <c r="AN309" s="439"/>
    </row>
    <row r="310" spans="1:40" s="46" customFormat="1" ht="12.75" customHeight="1">
      <c r="A310" s="153"/>
      <c r="B310" s="72" t="s">
        <v>418</v>
      </c>
      <c r="C310" s="72"/>
      <c r="D310" s="72"/>
      <c r="E310" s="72"/>
      <c r="F310" s="72"/>
      <c r="G310" s="16"/>
      <c r="H310" s="1696" t="s">
        <v>2459</v>
      </c>
      <c r="I310" s="1696"/>
      <c r="J310" s="1696"/>
      <c r="K310" s="1696"/>
      <c r="L310" s="1696"/>
      <c r="M310" s="1696"/>
      <c r="N310" s="1696"/>
      <c r="O310" s="1696"/>
      <c r="P310" s="1696"/>
      <c r="Q310" s="1696"/>
      <c r="R310" s="1696"/>
      <c r="S310" s="16"/>
      <c r="T310" s="72" t="s">
        <v>418</v>
      </c>
      <c r="U310" s="16"/>
      <c r="V310" s="72"/>
      <c r="W310" s="72"/>
      <c r="X310" s="72"/>
      <c r="Y310" s="72"/>
      <c r="Z310" s="16"/>
      <c r="AA310" s="1696"/>
      <c r="AB310" s="1696"/>
      <c r="AC310" s="1696"/>
      <c r="AD310" s="1696"/>
      <c r="AE310" s="1696"/>
      <c r="AF310" s="1696"/>
      <c r="AG310" s="1696"/>
      <c r="AH310" s="1696"/>
      <c r="AI310" s="1696"/>
      <c r="AJ310" s="1696"/>
      <c r="AK310" s="1696"/>
      <c r="AL310" s="25"/>
      <c r="AM310" s="137"/>
      <c r="AN310" s="439"/>
    </row>
    <row r="311" spans="1:40" s="46" customFormat="1" ht="12.75" customHeight="1">
      <c r="A311" s="153"/>
      <c r="B311" s="72" t="s">
        <v>419</v>
      </c>
      <c r="C311" s="72"/>
      <c r="D311" s="72"/>
      <c r="E311" s="72"/>
      <c r="F311" s="72"/>
      <c r="G311" s="72"/>
      <c r="H311" s="1699" t="s">
        <v>2460</v>
      </c>
      <c r="I311" s="1698"/>
      <c r="J311" s="1698"/>
      <c r="K311" s="1698"/>
      <c r="L311" s="1698"/>
      <c r="M311" s="1698"/>
      <c r="N311" s="8" t="s">
        <v>900</v>
      </c>
      <c r="O311" s="8"/>
      <c r="P311" s="1692"/>
      <c r="Q311" s="1692"/>
      <c r="R311" s="1692"/>
      <c r="S311" s="72"/>
      <c r="T311" s="72" t="s">
        <v>419</v>
      </c>
      <c r="U311" s="16"/>
      <c r="V311" s="72"/>
      <c r="W311" s="72"/>
      <c r="X311" s="72"/>
      <c r="Y311" s="72"/>
      <c r="Z311" s="16"/>
      <c r="AA311" s="1698"/>
      <c r="AB311" s="1698"/>
      <c r="AC311" s="1698"/>
      <c r="AD311" s="1698"/>
      <c r="AE311" s="1698"/>
      <c r="AF311" s="1698"/>
      <c r="AG311" s="8" t="s">
        <v>900</v>
      </c>
      <c r="AH311" s="8"/>
      <c r="AI311" s="1692"/>
      <c r="AJ311" s="1692"/>
      <c r="AK311" s="1692"/>
      <c r="AL311" s="25"/>
      <c r="AM311" s="137"/>
      <c r="AN311" s="439"/>
    </row>
    <row r="312" spans="1:40" s="46" customFormat="1" ht="12.75" customHeight="1">
      <c r="A312" s="153"/>
      <c r="B312" s="72" t="s">
        <v>99</v>
      </c>
      <c r="C312" s="72"/>
      <c r="D312" s="72"/>
      <c r="E312" s="72"/>
      <c r="F312" s="72"/>
      <c r="G312" s="72"/>
      <c r="H312" s="1696" t="s">
        <v>104</v>
      </c>
      <c r="I312" s="1696"/>
      <c r="J312" s="1696"/>
      <c r="K312" s="1696"/>
      <c r="L312" s="1696"/>
      <c r="M312" s="1696"/>
      <c r="N312" s="1696"/>
      <c r="O312" s="1696"/>
      <c r="P312" s="1696"/>
      <c r="Q312" s="1696"/>
      <c r="R312" s="1696"/>
      <c r="S312" s="72"/>
      <c r="T312" s="72" t="s">
        <v>99</v>
      </c>
      <c r="U312" s="16"/>
      <c r="V312" s="72"/>
      <c r="W312" s="72"/>
      <c r="X312" s="72"/>
      <c r="Y312" s="72"/>
      <c r="Z312" s="16"/>
      <c r="AA312" s="1696"/>
      <c r="AB312" s="1696"/>
      <c r="AC312" s="1696"/>
      <c r="AD312" s="1696"/>
      <c r="AE312" s="1696"/>
      <c r="AF312" s="1696"/>
      <c r="AG312" s="1696"/>
      <c r="AH312" s="1696"/>
      <c r="AI312" s="1696"/>
      <c r="AJ312" s="1696"/>
      <c r="AK312" s="1696"/>
      <c r="AL312" s="25"/>
      <c r="AM312" s="137"/>
      <c r="AN312" s="439"/>
    </row>
    <row r="313" spans="1:40" s="46" customFormat="1" ht="12.75" customHeight="1">
      <c r="A313" s="153"/>
      <c r="B313" s="72" t="s">
        <v>101</v>
      </c>
      <c r="C313" s="72"/>
      <c r="D313" s="72"/>
      <c r="E313" s="72"/>
      <c r="F313" s="72"/>
      <c r="G313" s="72"/>
      <c r="H313" s="1696" t="s">
        <v>2461</v>
      </c>
      <c r="I313" s="1696"/>
      <c r="J313" s="1696"/>
      <c r="K313" s="1696"/>
      <c r="L313" s="1696"/>
      <c r="M313" s="1696"/>
      <c r="N313" s="1696"/>
      <c r="O313" s="1696"/>
      <c r="P313" s="1696"/>
      <c r="Q313" s="1696"/>
      <c r="R313" s="1696"/>
      <c r="S313" s="72"/>
      <c r="T313" s="72" t="s">
        <v>101</v>
      </c>
      <c r="U313" s="16"/>
      <c r="V313" s="72"/>
      <c r="W313" s="72"/>
      <c r="X313" s="72"/>
      <c r="Y313" s="72"/>
      <c r="Z313" s="16"/>
      <c r="AA313" s="1696"/>
      <c r="AB313" s="1696"/>
      <c r="AC313" s="1696"/>
      <c r="AD313" s="1696"/>
      <c r="AE313" s="1696"/>
      <c r="AF313" s="1696"/>
      <c r="AG313" s="1696"/>
      <c r="AH313" s="1696"/>
      <c r="AI313" s="1696"/>
      <c r="AJ313" s="1696"/>
      <c r="AK313" s="1696"/>
      <c r="AL313" s="25"/>
      <c r="AM313" s="137"/>
      <c r="AN313" s="439"/>
    </row>
    <row r="314" spans="1:40" s="46" customFormat="1" ht="12.75" customHeight="1">
      <c r="A314" s="153"/>
      <c r="B314" s="72" t="s">
        <v>112</v>
      </c>
      <c r="C314" s="72"/>
      <c r="D314" s="72"/>
      <c r="E314" s="72"/>
      <c r="F314" s="72"/>
      <c r="G314" s="72"/>
      <c r="H314" s="2414" t="s">
        <v>2538</v>
      </c>
      <c r="I314" s="2414"/>
      <c r="J314" s="2414"/>
      <c r="K314" s="2414"/>
      <c r="L314" s="2414"/>
      <c r="M314" s="2414"/>
      <c r="N314" s="2414"/>
      <c r="O314" s="2414"/>
      <c r="P314" s="2414"/>
      <c r="Q314" s="2414"/>
      <c r="R314" s="2414"/>
      <c r="S314" s="72"/>
      <c r="T314" s="72" t="s">
        <v>112</v>
      </c>
      <c r="U314" s="72"/>
      <c r="V314" s="72"/>
      <c r="W314" s="72"/>
      <c r="X314" s="72"/>
      <c r="Y314" s="72"/>
      <c r="Z314" s="18"/>
      <c r="AA314" s="2414"/>
      <c r="AB314" s="2414"/>
      <c r="AC314" s="2414"/>
      <c r="AD314" s="2414"/>
      <c r="AE314" s="2414"/>
      <c r="AF314" s="2414"/>
      <c r="AG314" s="2414"/>
      <c r="AH314" s="2414"/>
      <c r="AI314" s="2414"/>
      <c r="AJ314" s="2414"/>
      <c r="AK314" s="2414"/>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97" t="s">
        <v>255</v>
      </c>
      <c r="I316" s="1697"/>
      <c r="J316" s="1697"/>
      <c r="K316" s="1697"/>
      <c r="L316" s="1697"/>
      <c r="M316" s="1697"/>
      <c r="N316" s="1697"/>
      <c r="O316" s="1697"/>
      <c r="P316" s="1697"/>
      <c r="Q316" s="1697"/>
      <c r="R316" s="1697"/>
      <c r="S316" s="16"/>
      <c r="T316" s="72" t="s">
        <v>100</v>
      </c>
      <c r="U316" s="16"/>
      <c r="V316" s="72"/>
      <c r="W316" s="72"/>
      <c r="X316" s="72"/>
      <c r="Y316" s="72"/>
      <c r="Z316" s="16"/>
      <c r="AA316" s="1697"/>
      <c r="AB316" s="1697"/>
      <c r="AC316" s="1697"/>
      <c r="AD316" s="1697"/>
      <c r="AE316" s="1697"/>
      <c r="AF316" s="1697"/>
      <c r="AG316" s="1697"/>
      <c r="AH316" s="1697"/>
      <c r="AI316" s="1697"/>
      <c r="AJ316" s="1697"/>
      <c r="AK316" s="1697"/>
      <c r="AL316" s="25"/>
      <c r="AM316" s="137"/>
      <c r="AN316" s="439"/>
    </row>
    <row r="317" spans="1:40" s="46" customFormat="1" ht="12.75" customHeight="1">
      <c r="A317" s="153"/>
      <c r="B317" s="72" t="s">
        <v>765</v>
      </c>
      <c r="C317" s="72"/>
      <c r="D317" s="72"/>
      <c r="E317" s="72"/>
      <c r="F317" s="72"/>
      <c r="G317" s="16"/>
      <c r="H317" s="1696" t="s">
        <v>255</v>
      </c>
      <c r="I317" s="1696"/>
      <c r="J317" s="1696"/>
      <c r="K317" s="1696"/>
      <c r="L317" s="1696"/>
      <c r="M317" s="1696"/>
      <c r="N317" s="1696"/>
      <c r="O317" s="1696"/>
      <c r="P317" s="1696"/>
      <c r="Q317" s="1696"/>
      <c r="R317" s="1696"/>
      <c r="S317" s="16"/>
      <c r="T317" s="72" t="s">
        <v>765</v>
      </c>
      <c r="U317" s="16"/>
      <c r="V317" s="72"/>
      <c r="W317" s="72"/>
      <c r="X317" s="72"/>
      <c r="Y317" s="72"/>
      <c r="Z317" s="16"/>
      <c r="AA317" s="1696"/>
      <c r="AB317" s="1696"/>
      <c r="AC317" s="1696"/>
      <c r="AD317" s="1696"/>
      <c r="AE317" s="1696"/>
      <c r="AF317" s="1696"/>
      <c r="AG317" s="1696"/>
      <c r="AH317" s="1696"/>
      <c r="AI317" s="1696"/>
      <c r="AJ317" s="1696"/>
      <c r="AK317" s="1696"/>
      <c r="AL317" s="25"/>
      <c r="AM317" s="137"/>
      <c r="AN317" s="439"/>
    </row>
    <row r="318" spans="1:40" s="46" customFormat="1" ht="12.75" customHeight="1">
      <c r="A318" s="153"/>
      <c r="B318" s="72" t="s">
        <v>110</v>
      </c>
      <c r="C318" s="72"/>
      <c r="D318" s="72"/>
      <c r="E318" s="72"/>
      <c r="F318" s="72"/>
      <c r="G318" s="16"/>
      <c r="H318" s="1696" t="s">
        <v>255</v>
      </c>
      <c r="I318" s="1696"/>
      <c r="J318" s="1696"/>
      <c r="K318" s="1696"/>
      <c r="L318" s="1696"/>
      <c r="M318" s="1696"/>
      <c r="N318" s="1696"/>
      <c r="O318" s="1696"/>
      <c r="P318" s="1696"/>
      <c r="Q318" s="1696"/>
      <c r="R318" s="1696"/>
      <c r="S318" s="16"/>
      <c r="T318" s="72" t="s">
        <v>110</v>
      </c>
      <c r="U318" s="16"/>
      <c r="V318" s="72"/>
      <c r="W318" s="72"/>
      <c r="X318" s="72"/>
      <c r="Y318" s="72"/>
      <c r="Z318" s="16"/>
      <c r="AA318" s="1696"/>
      <c r="AB318" s="1696"/>
      <c r="AC318" s="1696"/>
      <c r="AD318" s="1696"/>
      <c r="AE318" s="1696"/>
      <c r="AF318" s="1696"/>
      <c r="AG318" s="1696"/>
      <c r="AH318" s="1696"/>
      <c r="AI318" s="1696"/>
      <c r="AJ318" s="1696"/>
      <c r="AK318" s="1696"/>
      <c r="AL318" s="25"/>
      <c r="AM318" s="137"/>
      <c r="AN318" s="439"/>
    </row>
    <row r="319" spans="1:40" s="46" customFormat="1" ht="12.75" customHeight="1">
      <c r="A319" s="153"/>
      <c r="B319" s="72" t="s">
        <v>418</v>
      </c>
      <c r="C319" s="72"/>
      <c r="D319" s="72"/>
      <c r="E319" s="72"/>
      <c r="F319" s="72"/>
      <c r="G319" s="16"/>
      <c r="H319" s="1696"/>
      <c r="I319" s="1696"/>
      <c r="J319" s="1696"/>
      <c r="K319" s="1696"/>
      <c r="L319" s="1696"/>
      <c r="M319" s="1696"/>
      <c r="N319" s="1696"/>
      <c r="O319" s="1696"/>
      <c r="P319" s="1696"/>
      <c r="Q319" s="1696"/>
      <c r="R319" s="1696"/>
      <c r="S319" s="16"/>
      <c r="T319" s="72" t="s">
        <v>418</v>
      </c>
      <c r="U319" s="16"/>
      <c r="V319" s="72"/>
      <c r="W319" s="72"/>
      <c r="X319" s="72"/>
      <c r="Y319" s="72"/>
      <c r="Z319" s="16"/>
      <c r="AA319" s="1696"/>
      <c r="AB319" s="1696"/>
      <c r="AC319" s="1696"/>
      <c r="AD319" s="1696"/>
      <c r="AE319" s="1696"/>
      <c r="AF319" s="1696"/>
      <c r="AG319" s="1696"/>
      <c r="AH319" s="1696"/>
      <c r="AI319" s="1696"/>
      <c r="AJ319" s="1696"/>
      <c r="AK319" s="1696"/>
      <c r="AL319" s="25"/>
      <c r="AM319" s="137"/>
      <c r="AN319" s="439"/>
    </row>
    <row r="320" spans="1:40" s="46" customFormat="1" ht="12.75" customHeight="1">
      <c r="A320" s="153"/>
      <c r="B320" s="72" t="s">
        <v>419</v>
      </c>
      <c r="C320" s="72"/>
      <c r="D320" s="72"/>
      <c r="E320" s="72"/>
      <c r="F320" s="72"/>
      <c r="G320" s="72"/>
      <c r="H320" s="1698"/>
      <c r="I320" s="1698"/>
      <c r="J320" s="1698"/>
      <c r="K320" s="1698"/>
      <c r="L320" s="1698"/>
      <c r="M320" s="1698"/>
      <c r="N320" s="8" t="s">
        <v>900</v>
      </c>
      <c r="O320" s="8"/>
      <c r="P320" s="1692"/>
      <c r="Q320" s="1692"/>
      <c r="R320" s="1692"/>
      <c r="S320" s="72"/>
      <c r="T320" s="72" t="s">
        <v>419</v>
      </c>
      <c r="U320" s="16"/>
      <c r="V320" s="72"/>
      <c r="W320" s="72"/>
      <c r="X320" s="72"/>
      <c r="Y320" s="72"/>
      <c r="Z320" s="16"/>
      <c r="AA320" s="1698"/>
      <c r="AB320" s="1698"/>
      <c r="AC320" s="1698"/>
      <c r="AD320" s="1698"/>
      <c r="AE320" s="1698"/>
      <c r="AF320" s="1698"/>
      <c r="AG320" s="8" t="s">
        <v>900</v>
      </c>
      <c r="AH320" s="8"/>
      <c r="AI320" s="1692"/>
      <c r="AJ320" s="1692"/>
      <c r="AK320" s="1692"/>
      <c r="AL320" s="25"/>
      <c r="AM320" s="137"/>
      <c r="AN320" s="439"/>
    </row>
    <row r="321" spans="1:76" s="46" customFormat="1" ht="12.75" customHeight="1">
      <c r="A321" s="153"/>
      <c r="B321" s="72" t="s">
        <v>99</v>
      </c>
      <c r="C321" s="72"/>
      <c r="D321" s="72"/>
      <c r="E321" s="72"/>
      <c r="F321" s="72"/>
      <c r="G321" s="72"/>
      <c r="H321" s="1696"/>
      <c r="I321" s="1696"/>
      <c r="J321" s="1696"/>
      <c r="K321" s="1696"/>
      <c r="L321" s="1696"/>
      <c r="M321" s="1696"/>
      <c r="N321" s="1696"/>
      <c r="O321" s="1696"/>
      <c r="P321" s="1696"/>
      <c r="Q321" s="1696"/>
      <c r="R321" s="1696"/>
      <c r="S321" s="72"/>
      <c r="T321" s="72" t="s">
        <v>99</v>
      </c>
      <c r="U321" s="16"/>
      <c r="V321" s="72"/>
      <c r="W321" s="72"/>
      <c r="X321" s="72"/>
      <c r="Y321" s="72"/>
      <c r="Z321" s="16"/>
      <c r="AA321" s="1696"/>
      <c r="AB321" s="1696"/>
      <c r="AC321" s="1696"/>
      <c r="AD321" s="1696"/>
      <c r="AE321" s="1696"/>
      <c r="AF321" s="1696"/>
      <c r="AG321" s="1696"/>
      <c r="AH321" s="1696"/>
      <c r="AI321" s="1696"/>
      <c r="AJ321" s="1696"/>
      <c r="AK321" s="1696"/>
      <c r="AL321" s="25"/>
      <c r="AM321" s="137"/>
      <c r="AN321" s="439"/>
    </row>
    <row r="322" spans="1:76" s="46" customFormat="1" ht="12.75" customHeight="1">
      <c r="A322" s="153"/>
      <c r="B322" s="72" t="s">
        <v>101</v>
      </c>
      <c r="C322" s="72"/>
      <c r="D322" s="72"/>
      <c r="E322" s="72"/>
      <c r="F322" s="72"/>
      <c r="G322" s="72"/>
      <c r="H322" s="1696"/>
      <c r="I322" s="1696"/>
      <c r="J322" s="1696"/>
      <c r="K322" s="1696"/>
      <c r="L322" s="1696"/>
      <c r="M322" s="1696"/>
      <c r="N322" s="1696"/>
      <c r="O322" s="1696"/>
      <c r="P322" s="1696"/>
      <c r="Q322" s="1696"/>
      <c r="R322" s="1696"/>
      <c r="S322" s="72"/>
      <c r="T322" s="72" t="s">
        <v>101</v>
      </c>
      <c r="U322" s="16"/>
      <c r="V322" s="72"/>
      <c r="W322" s="72"/>
      <c r="X322" s="72"/>
      <c r="Y322" s="72"/>
      <c r="Z322" s="16"/>
      <c r="AA322" s="1696"/>
      <c r="AB322" s="1696"/>
      <c r="AC322" s="1696"/>
      <c r="AD322" s="1696"/>
      <c r="AE322" s="1696"/>
      <c r="AF322" s="1696"/>
      <c r="AG322" s="1696"/>
      <c r="AH322" s="1696"/>
      <c r="AI322" s="1696"/>
      <c r="AJ322" s="1696"/>
      <c r="AK322" s="1696"/>
      <c r="AL322" s="25"/>
      <c r="AM322" s="137"/>
      <c r="AN322" s="439"/>
    </row>
    <row r="323" spans="1:76" s="46" customFormat="1" ht="12.75" customHeight="1">
      <c r="A323" s="153"/>
      <c r="B323" s="72" t="s">
        <v>112</v>
      </c>
      <c r="C323" s="72"/>
      <c r="D323" s="72"/>
      <c r="E323" s="72"/>
      <c r="F323" s="72"/>
      <c r="G323" s="72"/>
      <c r="H323" s="2414" t="s">
        <v>255</v>
      </c>
      <c r="I323" s="2414"/>
      <c r="J323" s="2414"/>
      <c r="K323" s="2414"/>
      <c r="L323" s="2414"/>
      <c r="M323" s="2414"/>
      <c r="N323" s="2414"/>
      <c r="O323" s="2414"/>
      <c r="P323" s="2414"/>
      <c r="Q323" s="2414"/>
      <c r="R323" s="2414"/>
      <c r="S323" s="72"/>
      <c r="T323" s="72" t="s">
        <v>112</v>
      </c>
      <c r="U323" s="72"/>
      <c r="V323" s="72"/>
      <c r="W323" s="72"/>
      <c r="X323" s="72"/>
      <c r="Y323" s="72"/>
      <c r="Z323" s="18"/>
      <c r="AA323" s="2414"/>
      <c r="AB323" s="2414"/>
      <c r="AC323" s="2414"/>
      <c r="AD323" s="2414"/>
      <c r="AE323" s="2414"/>
      <c r="AF323" s="2414"/>
      <c r="AG323" s="2414"/>
      <c r="AH323" s="2414"/>
      <c r="AI323" s="2414"/>
      <c r="AJ323" s="2414"/>
      <c r="AK323" s="2414"/>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97" t="s">
        <v>2453</v>
      </c>
      <c r="I325" s="1697"/>
      <c r="J325" s="1697"/>
      <c r="K325" s="1697"/>
      <c r="L325" s="1697"/>
      <c r="M325" s="1697"/>
      <c r="N325" s="1697"/>
      <c r="O325" s="1697"/>
      <c r="P325" s="1697"/>
      <c r="Q325" s="1697"/>
      <c r="R325" s="1697"/>
      <c r="S325" s="16"/>
      <c r="T325" s="72" t="s">
        <v>100</v>
      </c>
      <c r="U325" s="16"/>
      <c r="V325" s="72"/>
      <c r="W325" s="72"/>
      <c r="X325" s="72"/>
      <c r="Y325" s="72"/>
      <c r="Z325" s="16"/>
      <c r="AA325" s="1697"/>
      <c r="AB325" s="1697"/>
      <c r="AC325" s="1697"/>
      <c r="AD325" s="1697"/>
      <c r="AE325" s="1697"/>
      <c r="AF325" s="1697"/>
      <c r="AG325" s="1697"/>
      <c r="AH325" s="1697"/>
      <c r="AI325" s="1697"/>
      <c r="AJ325" s="1697"/>
      <c r="AK325" s="1697"/>
      <c r="AL325" s="327"/>
      <c r="AM325" s="137"/>
      <c r="AN325" s="439"/>
    </row>
    <row r="326" spans="1:76" s="46" customFormat="1" ht="12.75" customHeight="1">
      <c r="A326" s="153"/>
      <c r="B326" s="72" t="s">
        <v>765</v>
      </c>
      <c r="C326" s="72"/>
      <c r="D326" s="72"/>
      <c r="E326" s="72"/>
      <c r="F326" s="72"/>
      <c r="G326" s="16"/>
      <c r="H326" s="1696" t="s">
        <v>2454</v>
      </c>
      <c r="I326" s="1696"/>
      <c r="J326" s="1696"/>
      <c r="K326" s="1696"/>
      <c r="L326" s="1696"/>
      <c r="M326" s="1696"/>
      <c r="N326" s="1696"/>
      <c r="O326" s="1696"/>
      <c r="P326" s="1696"/>
      <c r="Q326" s="1696"/>
      <c r="R326" s="1696"/>
      <c r="S326" s="16"/>
      <c r="T326" s="72" t="s">
        <v>765</v>
      </c>
      <c r="U326" s="16"/>
      <c r="V326" s="72"/>
      <c r="W326" s="72"/>
      <c r="X326" s="72"/>
      <c r="Y326" s="72"/>
      <c r="Z326" s="16"/>
      <c r="AA326" s="1696"/>
      <c r="AB326" s="1696"/>
      <c r="AC326" s="1696"/>
      <c r="AD326" s="1696"/>
      <c r="AE326" s="1696"/>
      <c r="AF326" s="1696"/>
      <c r="AG326" s="1696"/>
      <c r="AH326" s="1696"/>
      <c r="AI326" s="1696"/>
      <c r="AJ326" s="1696"/>
      <c r="AK326" s="1696"/>
      <c r="AL326" s="327"/>
      <c r="AM326" s="137"/>
      <c r="AN326" s="439"/>
    </row>
    <row r="327" spans="1:76" s="46" customFormat="1" ht="18" customHeight="1">
      <c r="A327" s="153"/>
      <c r="B327" s="72" t="s">
        <v>110</v>
      </c>
      <c r="C327" s="72"/>
      <c r="D327" s="72"/>
      <c r="E327" s="72"/>
      <c r="F327" s="72"/>
      <c r="G327" s="16"/>
      <c r="H327" s="1696" t="s">
        <v>2462</v>
      </c>
      <c r="I327" s="1696"/>
      <c r="J327" s="1696"/>
      <c r="K327" s="1696"/>
      <c r="L327" s="1696"/>
      <c r="M327" s="1696"/>
      <c r="N327" s="1696"/>
      <c r="O327" s="1696"/>
      <c r="P327" s="1696"/>
      <c r="Q327" s="1696"/>
      <c r="R327" s="1696"/>
      <c r="S327" s="16"/>
      <c r="T327" s="72" t="s">
        <v>110</v>
      </c>
      <c r="U327" s="16"/>
      <c r="V327" s="72"/>
      <c r="W327" s="72"/>
      <c r="X327" s="72"/>
      <c r="Y327" s="72"/>
      <c r="Z327" s="16"/>
      <c r="AA327" s="1696"/>
      <c r="AB327" s="1696"/>
      <c r="AC327" s="1696"/>
      <c r="AD327" s="1696"/>
      <c r="AE327" s="1696"/>
      <c r="AF327" s="1696"/>
      <c r="AG327" s="1696"/>
      <c r="AH327" s="1696"/>
      <c r="AI327" s="1696"/>
      <c r="AJ327" s="1696"/>
      <c r="AK327" s="1696"/>
      <c r="AL327" s="327"/>
      <c r="AM327" s="137"/>
      <c r="AN327" s="439"/>
    </row>
    <row r="328" spans="1:76" s="46" customFormat="1" ht="12.75" customHeight="1">
      <c r="A328" s="153"/>
      <c r="B328" s="72" t="s">
        <v>418</v>
      </c>
      <c r="C328" s="72"/>
      <c r="D328" s="72"/>
      <c r="E328" s="72"/>
      <c r="F328" s="72"/>
      <c r="G328" s="16"/>
      <c r="H328" s="1696"/>
      <c r="I328" s="1696"/>
      <c r="J328" s="1696"/>
      <c r="K328" s="1696"/>
      <c r="L328" s="1696"/>
      <c r="M328" s="1696"/>
      <c r="N328" s="1696"/>
      <c r="O328" s="1696"/>
      <c r="P328" s="1696"/>
      <c r="Q328" s="1696"/>
      <c r="R328" s="1696"/>
      <c r="S328" s="16"/>
      <c r="T328" s="72" t="s">
        <v>418</v>
      </c>
      <c r="U328" s="16"/>
      <c r="V328" s="72"/>
      <c r="W328" s="72"/>
      <c r="X328" s="72"/>
      <c r="Y328" s="72"/>
      <c r="Z328" s="16"/>
      <c r="AA328" s="1696"/>
      <c r="AB328" s="1696"/>
      <c r="AC328" s="1696"/>
      <c r="AD328" s="1696"/>
      <c r="AE328" s="1696"/>
      <c r="AF328" s="1696"/>
      <c r="AG328" s="1696"/>
      <c r="AH328" s="1696"/>
      <c r="AI328" s="1696"/>
      <c r="AJ328" s="1696"/>
      <c r="AK328" s="1696"/>
      <c r="AL328" s="327"/>
      <c r="AM328" s="137"/>
      <c r="AN328" s="439"/>
    </row>
    <row r="329" spans="1:76" s="46" customFormat="1" ht="12.75" customHeight="1">
      <c r="A329" s="153"/>
      <c r="B329" s="72" t="s">
        <v>419</v>
      </c>
      <c r="C329" s="72"/>
      <c r="D329" s="72"/>
      <c r="E329" s="72"/>
      <c r="F329" s="72"/>
      <c r="G329" s="72"/>
      <c r="H329" s="1699" t="s">
        <v>2463</v>
      </c>
      <c r="I329" s="1698"/>
      <c r="J329" s="1698"/>
      <c r="K329" s="1698"/>
      <c r="L329" s="1698"/>
      <c r="M329" s="1698"/>
      <c r="N329" s="8" t="s">
        <v>900</v>
      </c>
      <c r="O329" s="8"/>
      <c r="P329" s="1692"/>
      <c r="Q329" s="1692"/>
      <c r="R329" s="1692"/>
      <c r="S329" s="72"/>
      <c r="T329" s="72" t="s">
        <v>419</v>
      </c>
      <c r="U329" s="16"/>
      <c r="V329" s="72"/>
      <c r="W329" s="72"/>
      <c r="X329" s="72"/>
      <c r="Y329" s="72"/>
      <c r="Z329" s="16"/>
      <c r="AA329" s="1698"/>
      <c r="AB329" s="1698"/>
      <c r="AC329" s="1698"/>
      <c r="AD329" s="1698"/>
      <c r="AE329" s="1698"/>
      <c r="AF329" s="1698"/>
      <c r="AG329" s="8" t="s">
        <v>900</v>
      </c>
      <c r="AH329" s="8"/>
      <c r="AI329" s="1692"/>
      <c r="AJ329" s="1692"/>
      <c r="AK329" s="1692"/>
      <c r="AL329" s="327"/>
      <c r="AM329" s="137"/>
      <c r="AN329" s="439"/>
    </row>
    <row r="330" spans="1:76" s="137" customFormat="1" ht="12.75" customHeight="1">
      <c r="A330" s="153"/>
      <c r="B330" s="72" t="s">
        <v>99</v>
      </c>
      <c r="C330" s="72"/>
      <c r="D330" s="72"/>
      <c r="E330" s="72"/>
      <c r="F330" s="72"/>
      <c r="G330" s="72"/>
      <c r="H330" s="1696" t="s">
        <v>107</v>
      </c>
      <c r="I330" s="1696"/>
      <c r="J330" s="1696"/>
      <c r="K330" s="1696"/>
      <c r="L330" s="1696"/>
      <c r="M330" s="1696"/>
      <c r="N330" s="1696"/>
      <c r="O330" s="1696"/>
      <c r="P330" s="1696"/>
      <c r="Q330" s="1696"/>
      <c r="R330" s="1696"/>
      <c r="S330" s="72"/>
      <c r="T330" s="72" t="s">
        <v>99</v>
      </c>
      <c r="U330" s="16"/>
      <c r="V330" s="72"/>
      <c r="W330" s="72"/>
      <c r="X330" s="72"/>
      <c r="Y330" s="72"/>
      <c r="Z330" s="16"/>
      <c r="AA330" s="1696"/>
      <c r="AB330" s="1696"/>
      <c r="AC330" s="1696"/>
      <c r="AD330" s="1696"/>
      <c r="AE330" s="1696"/>
      <c r="AF330" s="1696"/>
      <c r="AG330" s="1696"/>
      <c r="AH330" s="1696"/>
      <c r="AI330" s="1696"/>
      <c r="AJ330" s="1696"/>
      <c r="AK330" s="1696"/>
      <c r="AL330" s="327"/>
      <c r="AN330" s="1138"/>
    </row>
    <row r="331" spans="1:76" s="46" customFormat="1" ht="12.75" customHeight="1">
      <c r="A331" s="153"/>
      <c r="B331" s="72" t="s">
        <v>101</v>
      </c>
      <c r="C331" s="72"/>
      <c r="D331" s="72"/>
      <c r="E331" s="72"/>
      <c r="F331" s="72"/>
      <c r="G331" s="72"/>
      <c r="H331" s="1696" t="s">
        <v>2540</v>
      </c>
      <c r="I331" s="1696"/>
      <c r="J331" s="1696"/>
      <c r="K331" s="1696"/>
      <c r="L331" s="1696"/>
      <c r="M331" s="1696"/>
      <c r="N331" s="1696"/>
      <c r="O331" s="1696"/>
      <c r="P331" s="1696"/>
      <c r="Q331" s="1696"/>
      <c r="R331" s="1696"/>
      <c r="S331" s="72"/>
      <c r="T331" s="72" t="s">
        <v>101</v>
      </c>
      <c r="U331" s="16"/>
      <c r="V331" s="72"/>
      <c r="W331" s="72"/>
      <c r="X331" s="72"/>
      <c r="Y331" s="72"/>
      <c r="Z331" s="16"/>
      <c r="AA331" s="1696"/>
      <c r="AB331" s="1696"/>
      <c r="AC331" s="1696"/>
      <c r="AD331" s="1696"/>
      <c r="AE331" s="1696"/>
      <c r="AF331" s="1696"/>
      <c r="AG331" s="1696"/>
      <c r="AH331" s="1696"/>
      <c r="AI331" s="1696"/>
      <c r="AJ331" s="1696"/>
      <c r="AK331" s="1696"/>
      <c r="AL331" s="327"/>
      <c r="AM331" s="137"/>
      <c r="AN331" s="439"/>
    </row>
    <row r="332" spans="1:76" s="46" customFormat="1" ht="12.75" customHeight="1">
      <c r="A332" s="153"/>
      <c r="B332" s="72" t="s">
        <v>112</v>
      </c>
      <c r="C332" s="72"/>
      <c r="D332" s="72"/>
      <c r="E332" s="72"/>
      <c r="F332" s="72"/>
      <c r="G332" s="72"/>
      <c r="H332" s="2414">
        <v>0.64</v>
      </c>
      <c r="I332" s="2414"/>
      <c r="J332" s="2414"/>
      <c r="K332" s="2414"/>
      <c r="L332" s="2414"/>
      <c r="M332" s="2414"/>
      <c r="N332" s="2414"/>
      <c r="O332" s="2414"/>
      <c r="P332" s="2414"/>
      <c r="Q332" s="2414"/>
      <c r="R332" s="2414"/>
      <c r="S332" s="72"/>
      <c r="T332" s="72" t="s">
        <v>112</v>
      </c>
      <c r="U332" s="72"/>
      <c r="V332" s="72"/>
      <c r="W332" s="72"/>
      <c r="X332" s="72"/>
      <c r="Y332" s="72"/>
      <c r="Z332" s="18"/>
      <c r="AA332" s="2414"/>
      <c r="AB332" s="2414"/>
      <c r="AC332" s="2414"/>
      <c r="AD332" s="2414"/>
      <c r="AE332" s="2414"/>
      <c r="AF332" s="2414"/>
      <c r="AG332" s="2414"/>
      <c r="AH332" s="2414"/>
      <c r="AI332" s="2414"/>
      <c r="AJ332" s="2414"/>
      <c r="AK332" s="2414"/>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1638</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415" t="s">
        <v>408</v>
      </c>
      <c r="AF335" s="2415"/>
      <c r="AG335" s="2415"/>
      <c r="AH335" s="2415"/>
      <c r="AI335" s="2415"/>
      <c r="AJ335" s="2415"/>
      <c r="AK335" s="2415"/>
      <c r="AL335" s="152"/>
      <c r="AM335" s="1419"/>
      <c r="AN335" s="152"/>
    </row>
    <row r="336" spans="1:76" s="46" customFormat="1" ht="12.75" customHeight="1">
      <c r="A336" s="152"/>
      <c r="B336" s="161"/>
      <c r="C336" s="2416" t="s">
        <v>2086</v>
      </c>
      <c r="D336" s="2416"/>
      <c r="E336" s="2416"/>
      <c r="F336" s="2416"/>
      <c r="G336" s="2416"/>
      <c r="H336" s="2416"/>
      <c r="I336" s="2416"/>
      <c r="J336" s="2416"/>
      <c r="K336" s="2416"/>
      <c r="L336" s="2416"/>
      <c r="M336" s="2416"/>
      <c r="N336" s="2416"/>
      <c r="O336" s="2416"/>
      <c r="P336" s="2416"/>
      <c r="Q336" s="2416"/>
      <c r="R336" s="2416"/>
      <c r="S336" s="2416"/>
      <c r="T336" s="2416"/>
      <c r="U336" s="2416"/>
      <c r="V336" s="2416"/>
      <c r="W336" s="2416"/>
      <c r="X336" s="2416"/>
      <c r="Y336" s="2416"/>
      <c r="Z336" s="2416"/>
      <c r="AA336" s="2416"/>
      <c r="AB336" s="2416"/>
      <c r="AC336" s="2416"/>
      <c r="AD336" s="2416"/>
      <c r="AE336" s="2416"/>
      <c r="AF336" s="2416"/>
      <c r="AG336" s="2416"/>
      <c r="AH336" s="2416"/>
      <c r="AI336" s="2416"/>
      <c r="AJ336" s="2416"/>
      <c r="AM336" s="1420"/>
      <c r="AS336" s="1325"/>
      <c r="AT336" s="1325"/>
      <c r="AU336" s="1325"/>
      <c r="AV336" s="1325"/>
      <c r="AW336" s="1325"/>
      <c r="AX336" s="1325"/>
      <c r="AY336" s="1325"/>
      <c r="AZ336" s="1325"/>
      <c r="BA336" s="1325"/>
      <c r="BB336" s="1325"/>
      <c r="BC336" s="1325"/>
      <c r="BD336" s="1325"/>
      <c r="BE336" s="1325"/>
      <c r="BF336" s="1325"/>
      <c r="BG336" s="1325"/>
      <c r="BH336" s="1325"/>
      <c r="BI336" s="1325"/>
      <c r="BJ336" s="1325"/>
      <c r="BK336" s="1325"/>
      <c r="BL336" s="1325"/>
      <c r="BM336" s="1325"/>
      <c r="BN336" s="1325"/>
      <c r="BO336" s="1325"/>
      <c r="BP336" s="1325"/>
      <c r="BQ336" s="1325"/>
      <c r="BR336" s="1325"/>
      <c r="BS336" s="1325"/>
      <c r="BT336" s="1325"/>
      <c r="BU336" s="1325"/>
      <c r="BV336" s="1325"/>
      <c r="BW336" s="1325"/>
      <c r="BX336" s="1325"/>
    </row>
    <row r="337" spans="1:76" s="46" customFormat="1" ht="12.75" customHeight="1">
      <c r="A337" s="16"/>
      <c r="C337" s="2416"/>
      <c r="D337" s="2416"/>
      <c r="E337" s="2416"/>
      <c r="F337" s="2416"/>
      <c r="G337" s="2416"/>
      <c r="H337" s="2416"/>
      <c r="I337" s="2416"/>
      <c r="J337" s="2416"/>
      <c r="K337" s="2416"/>
      <c r="L337" s="2416"/>
      <c r="M337" s="2416"/>
      <c r="N337" s="2416"/>
      <c r="O337" s="2416"/>
      <c r="P337" s="2416"/>
      <c r="Q337" s="2416"/>
      <c r="R337" s="2416"/>
      <c r="S337" s="2416"/>
      <c r="T337" s="2416"/>
      <c r="U337" s="2416"/>
      <c r="V337" s="2416"/>
      <c r="W337" s="2416"/>
      <c r="X337" s="2416"/>
      <c r="Y337" s="2416"/>
      <c r="Z337" s="2416"/>
      <c r="AA337" s="2416"/>
      <c r="AB337" s="2416"/>
      <c r="AC337" s="2416"/>
      <c r="AD337" s="2416"/>
      <c r="AE337" s="2416"/>
      <c r="AF337" s="2416"/>
      <c r="AG337" s="2416"/>
      <c r="AH337" s="2416"/>
      <c r="AI337" s="2416"/>
      <c r="AJ337" s="2416"/>
      <c r="AK337" s="152"/>
      <c r="AL337" s="152"/>
      <c r="AM337" s="163"/>
      <c r="AN337" s="439"/>
      <c r="AR337" s="1325"/>
      <c r="AS337" s="1325"/>
      <c r="AT337" s="1325"/>
      <c r="AU337" s="1325"/>
      <c r="AV337" s="1325"/>
      <c r="AW337" s="1325"/>
      <c r="AX337" s="1325"/>
      <c r="AY337" s="1325"/>
      <c r="AZ337" s="1325"/>
      <c r="BA337" s="1325"/>
      <c r="BB337" s="1325"/>
      <c r="BC337" s="1325"/>
      <c r="BD337" s="1325"/>
      <c r="BE337" s="1325"/>
      <c r="BF337" s="1325"/>
      <c r="BG337" s="1325"/>
      <c r="BH337" s="1325"/>
      <c r="BI337" s="1325"/>
      <c r="BJ337" s="1325"/>
      <c r="BK337" s="1325"/>
      <c r="BL337" s="1325"/>
      <c r="BM337" s="1325"/>
      <c r="BN337" s="1325"/>
      <c r="BO337" s="1325"/>
      <c r="BP337" s="1325"/>
      <c r="BQ337" s="1325"/>
      <c r="BR337" s="1325"/>
      <c r="BS337" s="1325"/>
      <c r="BT337" s="1325"/>
      <c r="BU337" s="1325"/>
      <c r="BV337" s="1325"/>
      <c r="BW337" s="1325"/>
      <c r="BX337" s="1325"/>
    </row>
    <row r="338" spans="1:76" s="46" customFormat="1" ht="12.75" customHeight="1">
      <c r="A338" s="163"/>
      <c r="B338" s="164"/>
      <c r="C338" s="2416"/>
      <c r="D338" s="2416"/>
      <c r="E338" s="2416"/>
      <c r="F338" s="2416"/>
      <c r="G338" s="2416"/>
      <c r="H338" s="2416"/>
      <c r="I338" s="2416"/>
      <c r="J338" s="2416"/>
      <c r="K338" s="2416"/>
      <c r="L338" s="2416"/>
      <c r="M338" s="2416"/>
      <c r="N338" s="2416"/>
      <c r="O338" s="2416"/>
      <c r="P338" s="2416"/>
      <c r="Q338" s="2416"/>
      <c r="R338" s="2416"/>
      <c r="S338" s="2416"/>
      <c r="T338" s="2416"/>
      <c r="U338" s="2416"/>
      <c r="V338" s="2416"/>
      <c r="W338" s="2416"/>
      <c r="X338" s="2416"/>
      <c r="Y338" s="2416"/>
      <c r="Z338" s="2416"/>
      <c r="AA338" s="2416"/>
      <c r="AB338" s="2416"/>
      <c r="AC338" s="2416"/>
      <c r="AD338" s="2416"/>
      <c r="AE338" s="2416"/>
      <c r="AF338" s="2416"/>
      <c r="AG338" s="2416"/>
      <c r="AH338" s="2416"/>
      <c r="AI338" s="2416"/>
      <c r="AJ338" s="2416"/>
      <c r="AK338" s="163"/>
      <c r="AL338" s="163"/>
      <c r="AM338" s="163"/>
      <c r="AN338" s="439"/>
      <c r="AO338" s="293"/>
      <c r="AR338" s="1325"/>
      <c r="AS338" s="1325"/>
      <c r="AT338" s="1325"/>
      <c r="AU338" s="1325"/>
      <c r="AV338" s="1325"/>
      <c r="AW338" s="1325"/>
      <c r="AX338" s="1325"/>
      <c r="AY338" s="1325"/>
      <c r="AZ338" s="1325"/>
      <c r="BA338" s="1325"/>
      <c r="BB338" s="1325"/>
      <c r="BC338" s="1325"/>
      <c r="BD338" s="1325"/>
      <c r="BE338" s="1325"/>
      <c r="BF338" s="1325"/>
      <c r="BG338" s="1325"/>
      <c r="BH338" s="1325"/>
      <c r="BI338" s="1325"/>
      <c r="BJ338" s="1325"/>
      <c r="BK338" s="1325"/>
      <c r="BL338" s="1325"/>
      <c r="BM338" s="1325"/>
      <c r="BN338" s="1325"/>
      <c r="BO338" s="1325"/>
      <c r="BP338" s="1325"/>
      <c r="BQ338" s="1325"/>
      <c r="BR338" s="1325"/>
      <c r="BS338" s="1325"/>
      <c r="BT338" s="1325"/>
      <c r="BU338" s="1325"/>
      <c r="BV338" s="1325"/>
      <c r="BW338" s="1325"/>
      <c r="BX338" s="1325"/>
    </row>
    <row r="339" spans="1:76" s="46" customFormat="1" ht="12.75" customHeight="1">
      <c r="A339" s="163"/>
      <c r="B339" s="164"/>
      <c r="C339" s="2416"/>
      <c r="D339" s="2416"/>
      <c r="E339" s="2416"/>
      <c r="F339" s="2416"/>
      <c r="G339" s="2416"/>
      <c r="H339" s="2416"/>
      <c r="I339" s="2416"/>
      <c r="J339" s="2416"/>
      <c r="K339" s="2416"/>
      <c r="L339" s="2416"/>
      <c r="M339" s="2416"/>
      <c r="N339" s="2416"/>
      <c r="O339" s="2416"/>
      <c r="P339" s="2416"/>
      <c r="Q339" s="2416"/>
      <c r="R339" s="2416"/>
      <c r="S339" s="2416"/>
      <c r="T339" s="2416"/>
      <c r="U339" s="2416"/>
      <c r="V339" s="2416"/>
      <c r="W339" s="2416"/>
      <c r="X339" s="2416"/>
      <c r="Y339" s="2416"/>
      <c r="Z339" s="2416"/>
      <c r="AA339" s="2416"/>
      <c r="AB339" s="2416"/>
      <c r="AC339" s="2416"/>
      <c r="AD339" s="2416"/>
      <c r="AE339" s="2416"/>
      <c r="AF339" s="2416"/>
      <c r="AG339" s="2416"/>
      <c r="AH339" s="2416"/>
      <c r="AI339" s="2416"/>
      <c r="AJ339" s="2416"/>
      <c r="AK339" s="163"/>
      <c r="AL339" s="163"/>
      <c r="AM339" s="163"/>
      <c r="AN339" s="439"/>
      <c r="AO339" s="293"/>
      <c r="AR339" s="1325"/>
      <c r="AS339" s="1325"/>
      <c r="AT339" s="1325"/>
      <c r="AU339" s="1325"/>
      <c r="AV339" s="1325"/>
      <c r="AW339" s="1325"/>
      <c r="AX339" s="1325"/>
      <c r="AY339" s="1325"/>
      <c r="AZ339" s="1325"/>
      <c r="BA339" s="1325"/>
      <c r="BB339" s="1325"/>
      <c r="BC339" s="1325"/>
      <c r="BD339" s="1325"/>
      <c r="BE339" s="1325"/>
      <c r="BF339" s="1325"/>
      <c r="BG339" s="1325"/>
      <c r="BH339" s="1325"/>
      <c r="BI339" s="1325"/>
      <c r="BJ339" s="1325"/>
      <c r="BK339" s="1325"/>
      <c r="BL339" s="1325"/>
      <c r="BM339" s="1325"/>
      <c r="BN339" s="1325"/>
      <c r="BO339" s="1325"/>
      <c r="BP339" s="1325"/>
      <c r="BQ339" s="1325"/>
      <c r="BR339" s="1325"/>
      <c r="BS339" s="1325"/>
      <c r="BT339" s="1325"/>
      <c r="BU339" s="1325"/>
      <c r="BV339" s="1325"/>
      <c r="BW339" s="1325"/>
      <c r="BX339" s="1325"/>
    </row>
    <row r="340" spans="1:76" s="46" customFormat="1" ht="12.75" customHeight="1">
      <c r="A340" s="163"/>
      <c r="B340" s="164"/>
      <c r="C340" s="2416"/>
      <c r="D340" s="2416"/>
      <c r="E340" s="2416"/>
      <c r="F340" s="2416"/>
      <c r="G340" s="2416"/>
      <c r="H340" s="2416"/>
      <c r="I340" s="2416"/>
      <c r="J340" s="2416"/>
      <c r="K340" s="2416"/>
      <c r="L340" s="2416"/>
      <c r="M340" s="2416"/>
      <c r="N340" s="2416"/>
      <c r="O340" s="2416"/>
      <c r="P340" s="2416"/>
      <c r="Q340" s="2416"/>
      <c r="R340" s="2416"/>
      <c r="S340" s="2416"/>
      <c r="T340" s="2416"/>
      <c r="U340" s="2416"/>
      <c r="V340" s="2416"/>
      <c r="W340" s="2416"/>
      <c r="X340" s="2416"/>
      <c r="Y340" s="2416"/>
      <c r="Z340" s="2416"/>
      <c r="AA340" s="2416"/>
      <c r="AB340" s="2416"/>
      <c r="AC340" s="2416"/>
      <c r="AD340" s="2416"/>
      <c r="AE340" s="2416"/>
      <c r="AF340" s="2416"/>
      <c r="AG340" s="2416"/>
      <c r="AH340" s="2416"/>
      <c r="AI340" s="2416"/>
      <c r="AJ340" s="2416"/>
      <c r="AK340" s="163"/>
      <c r="AL340" s="163"/>
      <c r="AM340" s="163"/>
      <c r="AN340" s="439"/>
      <c r="AO340" s="293"/>
      <c r="AR340" s="1325"/>
      <c r="AS340" s="1325"/>
      <c r="AT340" s="1325"/>
      <c r="AU340" s="1325"/>
      <c r="AV340" s="1325"/>
      <c r="AW340" s="1325"/>
      <c r="AX340" s="1325"/>
      <c r="AY340" s="1325"/>
      <c r="AZ340" s="1325"/>
      <c r="BA340" s="1325"/>
      <c r="BB340" s="1325"/>
      <c r="BC340" s="1325"/>
      <c r="BD340" s="1325"/>
      <c r="BE340" s="1325"/>
      <c r="BF340" s="1325"/>
      <c r="BG340" s="1325"/>
      <c r="BH340" s="1325"/>
      <c r="BI340" s="1325"/>
      <c r="BJ340" s="1325"/>
      <c r="BK340" s="1325"/>
      <c r="BL340" s="1325"/>
      <c r="BM340" s="1325"/>
      <c r="BN340" s="1325"/>
      <c r="BO340" s="1325"/>
      <c r="BP340" s="1325"/>
      <c r="BQ340" s="1325"/>
      <c r="BR340" s="1325"/>
      <c r="BS340" s="1325"/>
      <c r="BT340" s="1325"/>
      <c r="BU340" s="1325"/>
      <c r="BV340" s="1325"/>
      <c r="BW340" s="1325"/>
      <c r="BX340" s="1325"/>
    </row>
    <row r="341" spans="1:76" s="46" customFormat="1" ht="12.75" customHeight="1">
      <c r="A341" s="163"/>
      <c r="B341" s="164"/>
      <c r="C341" s="2416"/>
      <c r="D341" s="2416"/>
      <c r="E341" s="2416"/>
      <c r="F341" s="2416"/>
      <c r="G341" s="2416"/>
      <c r="H341" s="2416"/>
      <c r="I341" s="2416"/>
      <c r="J341" s="2416"/>
      <c r="K341" s="2416"/>
      <c r="L341" s="2416"/>
      <c r="M341" s="2416"/>
      <c r="N341" s="2416"/>
      <c r="O341" s="2416"/>
      <c r="P341" s="2416"/>
      <c r="Q341" s="2416"/>
      <c r="R341" s="2416"/>
      <c r="S341" s="2416"/>
      <c r="T341" s="2416"/>
      <c r="U341" s="2416"/>
      <c r="V341" s="2416"/>
      <c r="W341" s="2416"/>
      <c r="X341" s="2416"/>
      <c r="Y341" s="2416"/>
      <c r="Z341" s="2416"/>
      <c r="AA341" s="2416"/>
      <c r="AB341" s="2416"/>
      <c r="AC341" s="2416"/>
      <c r="AD341" s="2416"/>
      <c r="AE341" s="2416"/>
      <c r="AF341" s="2416"/>
      <c r="AG341" s="2416"/>
      <c r="AH341" s="2416"/>
      <c r="AI341" s="2416"/>
      <c r="AJ341" s="2416"/>
      <c r="AK341" s="163"/>
      <c r="AL341" s="163"/>
      <c r="AM341" s="163"/>
      <c r="AN341" s="439"/>
      <c r="AO341" s="293"/>
      <c r="AR341" s="1325"/>
      <c r="AS341" s="1325"/>
      <c r="AT341" s="1325"/>
      <c r="AU341" s="1325"/>
      <c r="AV341" s="1325"/>
      <c r="AW341" s="1325"/>
      <c r="AX341" s="1325"/>
      <c r="AY341" s="1325"/>
      <c r="AZ341" s="1325"/>
      <c r="BA341" s="1325"/>
      <c r="BB341" s="1325"/>
      <c r="BC341" s="1325"/>
      <c r="BD341" s="1325"/>
      <c r="BE341" s="1325"/>
      <c r="BF341" s="1325"/>
      <c r="BG341" s="1325"/>
      <c r="BH341" s="1325"/>
      <c r="BI341" s="1325"/>
      <c r="BJ341" s="1325"/>
      <c r="BK341" s="1325"/>
      <c r="BL341" s="1325"/>
      <c r="BM341" s="1325"/>
      <c r="BN341" s="1325"/>
      <c r="BO341" s="1325"/>
      <c r="BP341" s="1325"/>
      <c r="BQ341" s="1325"/>
      <c r="BR341" s="1325"/>
      <c r="BS341" s="1325"/>
      <c r="BT341" s="1325"/>
      <c r="BU341" s="1325"/>
      <c r="BV341" s="1325"/>
      <c r="BW341" s="1325"/>
      <c r="BX341" s="1325"/>
    </row>
    <row r="342" spans="1:76" s="46" customFormat="1" ht="12.6" customHeight="1">
      <c r="A342" s="163"/>
      <c r="B342" s="164"/>
      <c r="C342" s="2416"/>
      <c r="D342" s="2416"/>
      <c r="E342" s="2416"/>
      <c r="F342" s="2416"/>
      <c r="G342" s="2416"/>
      <c r="H342" s="2416"/>
      <c r="I342" s="2416"/>
      <c r="J342" s="2416"/>
      <c r="K342" s="2416"/>
      <c r="L342" s="2416"/>
      <c r="M342" s="2416"/>
      <c r="N342" s="2416"/>
      <c r="O342" s="2416"/>
      <c r="P342" s="2416"/>
      <c r="Q342" s="2416"/>
      <c r="R342" s="2416"/>
      <c r="S342" s="2416"/>
      <c r="T342" s="2416"/>
      <c r="U342" s="2416"/>
      <c r="V342" s="2416"/>
      <c r="W342" s="2416"/>
      <c r="X342" s="2416"/>
      <c r="Y342" s="2416"/>
      <c r="Z342" s="2416"/>
      <c r="AA342" s="2416"/>
      <c r="AB342" s="2416"/>
      <c r="AC342" s="2416"/>
      <c r="AD342" s="2416"/>
      <c r="AE342" s="2416"/>
      <c r="AF342" s="2416"/>
      <c r="AG342" s="2416"/>
      <c r="AH342" s="2416"/>
      <c r="AI342" s="2416"/>
      <c r="AJ342" s="2416"/>
      <c r="AK342" s="163"/>
      <c r="AL342" s="163"/>
      <c r="AM342" s="163"/>
      <c r="AN342" s="439"/>
      <c r="AO342" s="293"/>
      <c r="AR342" s="1325"/>
      <c r="AS342" s="1325"/>
      <c r="AT342" s="1325"/>
      <c r="AU342" s="1325"/>
      <c r="AV342" s="1325"/>
      <c r="AW342" s="1325"/>
      <c r="AX342" s="1325"/>
      <c r="AY342" s="1325"/>
      <c r="AZ342" s="1325"/>
      <c r="BA342" s="1325"/>
      <c r="BB342" s="1325"/>
      <c r="BC342" s="1325"/>
      <c r="BD342" s="1325"/>
      <c r="BE342" s="1325"/>
      <c r="BF342" s="1325"/>
      <c r="BG342" s="1325"/>
      <c r="BH342" s="1325"/>
      <c r="BI342" s="1325"/>
      <c r="BJ342" s="1325"/>
      <c r="BK342" s="1325"/>
      <c r="BL342" s="1325"/>
      <c r="BM342" s="1325"/>
      <c r="BN342" s="1325"/>
      <c r="BO342" s="1325"/>
      <c r="BP342" s="1325"/>
      <c r="BQ342" s="1325"/>
      <c r="BR342" s="1325"/>
      <c r="BS342" s="1325"/>
      <c r="BT342" s="1325"/>
      <c r="BU342" s="1325"/>
      <c r="BV342" s="1325"/>
      <c r="BW342" s="1325"/>
      <c r="BX342" s="1325"/>
    </row>
    <row r="343" spans="1:76" s="46" customFormat="1" ht="12.6" customHeight="1">
      <c r="A343" s="163"/>
      <c r="B343" s="164"/>
      <c r="C343" s="2416"/>
      <c r="D343" s="2416"/>
      <c r="E343" s="2416"/>
      <c r="F343" s="2416"/>
      <c r="G343" s="2416"/>
      <c r="H343" s="2416"/>
      <c r="I343" s="2416"/>
      <c r="J343" s="2416"/>
      <c r="K343" s="2416"/>
      <c r="L343" s="2416"/>
      <c r="M343" s="2416"/>
      <c r="N343" s="2416"/>
      <c r="O343" s="2416"/>
      <c r="P343" s="2416"/>
      <c r="Q343" s="2416"/>
      <c r="R343" s="2416"/>
      <c r="S343" s="2416"/>
      <c r="T343" s="2416"/>
      <c r="U343" s="2416"/>
      <c r="V343" s="2416"/>
      <c r="W343" s="2416"/>
      <c r="X343" s="2416"/>
      <c r="Y343" s="2416"/>
      <c r="Z343" s="2416"/>
      <c r="AA343" s="2416"/>
      <c r="AB343" s="2416"/>
      <c r="AC343" s="2416"/>
      <c r="AD343" s="2416"/>
      <c r="AE343" s="2416"/>
      <c r="AF343" s="2416"/>
      <c r="AG343" s="2416"/>
      <c r="AH343" s="2416"/>
      <c r="AI343" s="2416"/>
      <c r="AJ343" s="2416"/>
      <c r="AK343" s="163"/>
      <c r="AL343" s="163"/>
      <c r="AM343" s="163"/>
      <c r="AN343" s="439"/>
      <c r="AO343" s="293"/>
    </row>
    <row r="344" spans="1:76" s="46" customFormat="1" ht="12.75" customHeight="1">
      <c r="A344" s="163"/>
      <c r="B344" s="164"/>
      <c r="C344" s="2416" t="s">
        <v>2087</v>
      </c>
      <c r="D344" s="2416"/>
      <c r="E344" s="2416"/>
      <c r="F344" s="2416"/>
      <c r="G344" s="2416"/>
      <c r="H344" s="2416"/>
      <c r="I344" s="2416"/>
      <c r="J344" s="2416"/>
      <c r="K344" s="2416"/>
      <c r="L344" s="2416"/>
      <c r="M344" s="2416"/>
      <c r="N344" s="2416"/>
      <c r="O344" s="2416"/>
      <c r="P344" s="2416"/>
      <c r="Q344" s="2416"/>
      <c r="R344" s="2416"/>
      <c r="S344" s="2416"/>
      <c r="T344" s="2416"/>
      <c r="U344" s="2416"/>
      <c r="V344" s="2416"/>
      <c r="W344" s="2416"/>
      <c r="X344" s="2416"/>
      <c r="Y344" s="2416"/>
      <c r="Z344" s="2416"/>
      <c r="AA344" s="2416"/>
      <c r="AB344" s="2416"/>
      <c r="AC344" s="2416"/>
      <c r="AD344" s="2416"/>
      <c r="AE344" s="2416"/>
      <c r="AF344" s="2416"/>
      <c r="AG344" s="2416"/>
      <c r="AH344" s="2416"/>
      <c r="AI344" s="2416"/>
      <c r="AJ344" s="2416"/>
      <c r="AK344" s="163"/>
      <c r="AL344" s="163"/>
      <c r="AM344" s="163"/>
      <c r="AN344" s="439"/>
    </row>
    <row r="345" spans="1:76" s="46" customFormat="1" ht="12.75" customHeight="1">
      <c r="A345" s="163"/>
      <c r="B345" s="164"/>
      <c r="C345" s="2416"/>
      <c r="D345" s="2416"/>
      <c r="E345" s="2416"/>
      <c r="F345" s="2416"/>
      <c r="G345" s="2416"/>
      <c r="H345" s="2416"/>
      <c r="I345" s="2416"/>
      <c r="J345" s="2416"/>
      <c r="K345" s="2416"/>
      <c r="L345" s="2416"/>
      <c r="M345" s="2416"/>
      <c r="N345" s="2416"/>
      <c r="O345" s="2416"/>
      <c r="P345" s="2416"/>
      <c r="Q345" s="2416"/>
      <c r="R345" s="2416"/>
      <c r="S345" s="2416"/>
      <c r="T345" s="2416"/>
      <c r="U345" s="2416"/>
      <c r="V345" s="2416"/>
      <c r="W345" s="2416"/>
      <c r="X345" s="2416"/>
      <c r="Y345" s="2416"/>
      <c r="Z345" s="2416"/>
      <c r="AA345" s="2416"/>
      <c r="AB345" s="2416"/>
      <c r="AC345" s="2416"/>
      <c r="AD345" s="2416"/>
      <c r="AE345" s="2416"/>
      <c r="AF345" s="2416"/>
      <c r="AG345" s="2416"/>
      <c r="AH345" s="2416"/>
      <c r="AI345" s="2416"/>
      <c r="AJ345" s="2416"/>
      <c r="AK345" s="163"/>
      <c r="AL345" s="163"/>
      <c r="AM345" s="163"/>
      <c r="AN345" s="439"/>
    </row>
    <row r="346" spans="1:76" s="46" customFormat="1" ht="12.75" customHeight="1">
      <c r="A346" s="163"/>
      <c r="B346" s="164"/>
      <c r="C346" s="2416"/>
      <c r="D346" s="2416"/>
      <c r="E346" s="2416"/>
      <c r="F346" s="2416"/>
      <c r="G346" s="2416"/>
      <c r="H346" s="2416"/>
      <c r="I346" s="2416"/>
      <c r="J346" s="2416"/>
      <c r="K346" s="2416"/>
      <c r="L346" s="2416"/>
      <c r="M346" s="2416"/>
      <c r="N346" s="2416"/>
      <c r="O346" s="2416"/>
      <c r="P346" s="2416"/>
      <c r="Q346" s="2416"/>
      <c r="R346" s="2416"/>
      <c r="S346" s="2416"/>
      <c r="T346" s="2416"/>
      <c r="U346" s="2416"/>
      <c r="V346" s="2416"/>
      <c r="W346" s="2416"/>
      <c r="X346" s="2416"/>
      <c r="Y346" s="2416"/>
      <c r="Z346" s="2416"/>
      <c r="AA346" s="2416"/>
      <c r="AB346" s="2416"/>
      <c r="AC346" s="2416"/>
      <c r="AD346" s="2416"/>
      <c r="AE346" s="2416"/>
      <c r="AF346" s="2416"/>
      <c r="AG346" s="2416"/>
      <c r="AH346" s="2416"/>
      <c r="AI346" s="2416"/>
      <c r="AJ346" s="2416"/>
      <c r="AK346" s="163"/>
      <c r="AL346" s="163"/>
      <c r="AM346" s="163"/>
      <c r="AN346" s="439"/>
      <c r="AQ346" s="50"/>
      <c r="AR346" s="137"/>
    </row>
    <row r="347" spans="1:76" s="46" customFormat="1" ht="12.75" customHeight="1">
      <c r="A347" s="163"/>
      <c r="B347" s="144"/>
      <c r="C347" s="2416"/>
      <c r="D347" s="2416"/>
      <c r="E347" s="2416"/>
      <c r="F347" s="2416"/>
      <c r="G347" s="2416"/>
      <c r="H347" s="2416"/>
      <c r="I347" s="2416"/>
      <c r="J347" s="2416"/>
      <c r="K347" s="2416"/>
      <c r="L347" s="2416"/>
      <c r="M347" s="2416"/>
      <c r="N347" s="2416"/>
      <c r="O347" s="2416"/>
      <c r="P347" s="2416"/>
      <c r="Q347" s="2416"/>
      <c r="R347" s="2416"/>
      <c r="S347" s="2416"/>
      <c r="T347" s="2416"/>
      <c r="U347" s="2416"/>
      <c r="V347" s="2416"/>
      <c r="W347" s="2416"/>
      <c r="X347" s="2416"/>
      <c r="Y347" s="2416"/>
      <c r="Z347" s="2416"/>
      <c r="AA347" s="2416"/>
      <c r="AB347" s="2416"/>
      <c r="AC347" s="2416"/>
      <c r="AD347" s="2416"/>
      <c r="AE347" s="2416"/>
      <c r="AF347" s="2416"/>
      <c r="AG347" s="2416"/>
      <c r="AH347" s="2416"/>
      <c r="AI347" s="2416"/>
      <c r="AJ347" s="2416"/>
      <c r="AK347" s="163"/>
      <c r="AL347" s="163"/>
      <c r="AM347" s="163"/>
      <c r="AN347" s="439"/>
      <c r="AQ347" s="50"/>
      <c r="AR347" s="137"/>
    </row>
    <row r="348" spans="1:76" s="46" customFormat="1" ht="12.6" customHeight="1">
      <c r="A348" s="163"/>
      <c r="B348" s="144"/>
      <c r="C348" s="2416"/>
      <c r="D348" s="2416"/>
      <c r="E348" s="2416"/>
      <c r="F348" s="2416"/>
      <c r="G348" s="2416"/>
      <c r="H348" s="2416"/>
      <c r="I348" s="2416"/>
      <c r="J348" s="2416"/>
      <c r="K348" s="2416"/>
      <c r="L348" s="2416"/>
      <c r="M348" s="2416"/>
      <c r="N348" s="2416"/>
      <c r="O348" s="2416"/>
      <c r="P348" s="2416"/>
      <c r="Q348" s="2416"/>
      <c r="R348" s="2416"/>
      <c r="S348" s="2416"/>
      <c r="T348" s="2416"/>
      <c r="U348" s="2416"/>
      <c r="V348" s="2416"/>
      <c r="W348" s="2416"/>
      <c r="X348" s="2416"/>
      <c r="Y348" s="2416"/>
      <c r="Z348" s="2416"/>
      <c r="AA348" s="2416"/>
      <c r="AB348" s="2416"/>
      <c r="AC348" s="2416"/>
      <c r="AD348" s="2416"/>
      <c r="AE348" s="2416"/>
      <c r="AF348" s="2416"/>
      <c r="AG348" s="2416"/>
      <c r="AH348" s="2416"/>
      <c r="AI348" s="2416"/>
      <c r="AJ348" s="2416"/>
      <c r="AK348" s="163"/>
      <c r="AL348" s="163"/>
      <c r="AM348" s="163"/>
      <c r="AN348" s="439"/>
      <c r="AQ348" s="50"/>
      <c r="AR348" s="50"/>
    </row>
    <row r="349" spans="1:76" s="46" customFormat="1" ht="12.75" customHeight="1">
      <c r="A349" s="163"/>
      <c r="B349" s="144"/>
      <c r="C349" s="2416" t="s">
        <v>2088</v>
      </c>
      <c r="D349" s="2416"/>
      <c r="E349" s="2416"/>
      <c r="F349" s="2416"/>
      <c r="G349" s="2416"/>
      <c r="H349" s="2416"/>
      <c r="I349" s="2416"/>
      <c r="J349" s="2416"/>
      <c r="K349" s="2416"/>
      <c r="L349" s="2416"/>
      <c r="M349" s="2416"/>
      <c r="N349" s="2416"/>
      <c r="O349" s="2416"/>
      <c r="P349" s="2416"/>
      <c r="Q349" s="2416"/>
      <c r="R349" s="2416"/>
      <c r="S349" s="2416"/>
      <c r="T349" s="2416"/>
      <c r="U349" s="2416"/>
      <c r="V349" s="2416"/>
      <c r="W349" s="2416"/>
      <c r="X349" s="2416"/>
      <c r="Y349" s="2416"/>
      <c r="Z349" s="2416"/>
      <c r="AA349" s="2416"/>
      <c r="AB349" s="2416"/>
      <c r="AC349" s="2416"/>
      <c r="AD349" s="2416"/>
      <c r="AE349" s="2416"/>
      <c r="AF349" s="2416"/>
      <c r="AG349" s="2416"/>
      <c r="AH349" s="2416"/>
      <c r="AI349" s="2416"/>
      <c r="AJ349" s="2416"/>
      <c r="AK349" s="163"/>
      <c r="AL349" s="163"/>
      <c r="AM349" s="163"/>
      <c r="AN349" s="439"/>
      <c r="AQ349" s="50"/>
      <c r="AR349" s="50"/>
    </row>
    <row r="350" spans="1:76" s="46" customFormat="1" ht="12.75" customHeight="1">
      <c r="A350" s="163"/>
      <c r="B350" s="144"/>
      <c r="C350" s="2416"/>
      <c r="D350" s="2416"/>
      <c r="E350" s="2416"/>
      <c r="F350" s="2416"/>
      <c r="G350" s="2416"/>
      <c r="H350" s="2416"/>
      <c r="I350" s="2416"/>
      <c r="J350" s="2416"/>
      <c r="K350" s="2416"/>
      <c r="L350" s="2416"/>
      <c r="M350" s="2416"/>
      <c r="N350" s="2416"/>
      <c r="O350" s="2416"/>
      <c r="P350" s="2416"/>
      <c r="Q350" s="2416"/>
      <c r="R350" s="2416"/>
      <c r="S350" s="2416"/>
      <c r="T350" s="2416"/>
      <c r="U350" s="2416"/>
      <c r="V350" s="2416"/>
      <c r="W350" s="2416"/>
      <c r="X350" s="2416"/>
      <c r="Y350" s="2416"/>
      <c r="Z350" s="2416"/>
      <c r="AA350" s="2416"/>
      <c r="AB350" s="2416"/>
      <c r="AC350" s="2416"/>
      <c r="AD350" s="2416"/>
      <c r="AE350" s="2416"/>
      <c r="AF350" s="2416"/>
      <c r="AG350" s="2416"/>
      <c r="AH350" s="2416"/>
      <c r="AI350" s="2416"/>
      <c r="AJ350" s="2416"/>
      <c r="AK350" s="163"/>
      <c r="AL350" s="163"/>
      <c r="AM350" s="163"/>
      <c r="AN350" s="439"/>
      <c r="AQ350" s="137"/>
      <c r="AR350" s="50"/>
    </row>
    <row r="351" spans="1:76" s="46" customFormat="1" ht="12.75" customHeight="1">
      <c r="A351" s="163"/>
      <c r="B351" s="144"/>
      <c r="C351" s="2416"/>
      <c r="D351" s="2416"/>
      <c r="E351" s="2416"/>
      <c r="F351" s="2416"/>
      <c r="G351" s="2416"/>
      <c r="H351" s="2416"/>
      <c r="I351" s="2416"/>
      <c r="J351" s="2416"/>
      <c r="K351" s="2416"/>
      <c r="L351" s="2416"/>
      <c r="M351" s="2416"/>
      <c r="N351" s="2416"/>
      <c r="O351" s="2416"/>
      <c r="P351" s="2416"/>
      <c r="Q351" s="2416"/>
      <c r="R351" s="2416"/>
      <c r="S351" s="2416"/>
      <c r="T351" s="2416"/>
      <c r="U351" s="2416"/>
      <c r="V351" s="2416"/>
      <c r="W351" s="2416"/>
      <c r="X351" s="2416"/>
      <c r="Y351" s="2416"/>
      <c r="Z351" s="2416"/>
      <c r="AA351" s="2416"/>
      <c r="AB351" s="2416"/>
      <c r="AC351" s="2416"/>
      <c r="AD351" s="2416"/>
      <c r="AE351" s="2416"/>
      <c r="AF351" s="2416"/>
      <c r="AG351" s="2416"/>
      <c r="AH351" s="2416"/>
      <c r="AI351" s="2416"/>
      <c r="AJ351" s="2416"/>
      <c r="AK351" s="163"/>
      <c r="AL351" s="163"/>
      <c r="AM351" s="163"/>
      <c r="AN351" s="439"/>
      <c r="AQ351" s="137"/>
      <c r="AR351" s="50"/>
    </row>
    <row r="352" spans="1:76" s="46" customFormat="1" ht="12.75" customHeight="1">
      <c r="A352" s="163"/>
      <c r="B352" s="144"/>
      <c r="C352" s="2416" t="s">
        <v>2089</v>
      </c>
      <c r="D352" s="2416"/>
      <c r="E352" s="2416"/>
      <c r="F352" s="2416"/>
      <c r="G352" s="2416"/>
      <c r="H352" s="2416"/>
      <c r="I352" s="2416"/>
      <c r="J352" s="2416"/>
      <c r="K352" s="2416"/>
      <c r="L352" s="2416"/>
      <c r="M352" s="2416"/>
      <c r="N352" s="2416"/>
      <c r="O352" s="2416"/>
      <c r="P352" s="2416"/>
      <c r="Q352" s="2416"/>
      <c r="R352" s="2416"/>
      <c r="S352" s="2416"/>
      <c r="T352" s="2416"/>
      <c r="U352" s="2416"/>
      <c r="V352" s="2416"/>
      <c r="W352" s="2416"/>
      <c r="X352" s="2416"/>
      <c r="Y352" s="2416"/>
      <c r="Z352" s="2416"/>
      <c r="AA352" s="2416"/>
      <c r="AB352" s="2416"/>
      <c r="AC352" s="2416"/>
      <c r="AD352" s="2416"/>
      <c r="AE352" s="2416"/>
      <c r="AF352" s="2416"/>
      <c r="AG352" s="2416"/>
      <c r="AH352" s="2416"/>
      <c r="AI352" s="2416"/>
      <c r="AJ352" s="2416"/>
      <c r="AK352" s="163"/>
      <c r="AL352" s="163"/>
      <c r="AM352" s="163"/>
      <c r="AN352" s="439"/>
      <c r="AQ352" s="50"/>
      <c r="AR352" s="50"/>
    </row>
    <row r="353" spans="1:46" s="46" customFormat="1" ht="12.75" customHeight="1">
      <c r="A353" s="163"/>
      <c r="B353" s="144"/>
      <c r="C353" s="2416"/>
      <c r="D353" s="2416"/>
      <c r="E353" s="2416"/>
      <c r="F353" s="2416"/>
      <c r="G353" s="2416"/>
      <c r="H353" s="2416"/>
      <c r="I353" s="2416"/>
      <c r="J353" s="2416"/>
      <c r="K353" s="2416"/>
      <c r="L353" s="2416"/>
      <c r="M353" s="2416"/>
      <c r="N353" s="2416"/>
      <c r="O353" s="2416"/>
      <c r="P353" s="2416"/>
      <c r="Q353" s="2416"/>
      <c r="R353" s="2416"/>
      <c r="S353" s="2416"/>
      <c r="T353" s="2416"/>
      <c r="U353" s="2416"/>
      <c r="V353" s="2416"/>
      <c r="W353" s="2416"/>
      <c r="X353" s="2416"/>
      <c r="Y353" s="2416"/>
      <c r="Z353" s="2416"/>
      <c r="AA353" s="2416"/>
      <c r="AB353" s="2416"/>
      <c r="AC353" s="2416"/>
      <c r="AD353" s="2416"/>
      <c r="AE353" s="2416"/>
      <c r="AF353" s="2416"/>
      <c r="AG353" s="2416"/>
      <c r="AH353" s="2416"/>
      <c r="AI353" s="2416"/>
      <c r="AJ353" s="2416"/>
      <c r="AK353" s="163"/>
      <c r="AL353" s="163"/>
      <c r="AM353" s="163"/>
      <c r="AN353" s="439"/>
      <c r="AQ353" s="50"/>
      <c r="AR353" s="50"/>
    </row>
    <row r="354" spans="1:46" s="46" customFormat="1" ht="13.35" customHeight="1">
      <c r="A354" s="163"/>
      <c r="B354" s="144"/>
      <c r="C354" s="2416"/>
      <c r="D354" s="2416"/>
      <c r="E354" s="2416"/>
      <c r="F354" s="2416"/>
      <c r="G354" s="2416"/>
      <c r="H354" s="2416"/>
      <c r="I354" s="2416"/>
      <c r="J354" s="2416"/>
      <c r="K354" s="2416"/>
      <c r="L354" s="2416"/>
      <c r="M354" s="2416"/>
      <c r="N354" s="2416"/>
      <c r="O354" s="2416"/>
      <c r="P354" s="2416"/>
      <c r="Q354" s="2416"/>
      <c r="R354" s="2416"/>
      <c r="S354" s="2416"/>
      <c r="T354" s="2416"/>
      <c r="U354" s="2416"/>
      <c r="V354" s="2416"/>
      <c r="W354" s="2416"/>
      <c r="X354" s="2416"/>
      <c r="Y354" s="2416"/>
      <c r="Z354" s="2416"/>
      <c r="AA354" s="2416"/>
      <c r="AB354" s="2416"/>
      <c r="AC354" s="2416"/>
      <c r="AD354" s="2416"/>
      <c r="AE354" s="2416"/>
      <c r="AF354" s="2416"/>
      <c r="AG354" s="2416"/>
      <c r="AH354" s="2416"/>
      <c r="AI354" s="2416"/>
      <c r="AJ354" s="2416"/>
      <c r="AK354" s="163"/>
      <c r="AL354" s="163"/>
      <c r="AM354" s="163"/>
      <c r="AN354" s="439"/>
      <c r="AQ354" s="50"/>
      <c r="AR354" s="50"/>
    </row>
    <row r="355" spans="1:46" s="46" customFormat="1" ht="12.75" customHeight="1">
      <c r="A355" s="163"/>
      <c r="B355" s="144"/>
      <c r="C355" s="2416"/>
      <c r="D355" s="2416"/>
      <c r="E355" s="2416"/>
      <c r="F355" s="2416"/>
      <c r="G355" s="2416"/>
      <c r="H355" s="2416"/>
      <c r="I355" s="2416"/>
      <c r="J355" s="2416"/>
      <c r="K355" s="2416"/>
      <c r="L355" s="2416"/>
      <c r="M355" s="2416"/>
      <c r="N355" s="2416"/>
      <c r="O355" s="2416"/>
      <c r="P355" s="2416"/>
      <c r="Q355" s="2416"/>
      <c r="R355" s="2416"/>
      <c r="S355" s="2416"/>
      <c r="T355" s="2416"/>
      <c r="U355" s="2416"/>
      <c r="V355" s="2416"/>
      <c r="W355" s="2416"/>
      <c r="X355" s="2416"/>
      <c r="Y355" s="2416"/>
      <c r="Z355" s="2416"/>
      <c r="AA355" s="2416"/>
      <c r="AB355" s="2416"/>
      <c r="AC355" s="2416"/>
      <c r="AD355" s="2416"/>
      <c r="AE355" s="2416"/>
      <c r="AF355" s="2416"/>
      <c r="AG355" s="2416"/>
      <c r="AH355" s="2416"/>
      <c r="AI355" s="2416"/>
      <c r="AJ355" s="2416"/>
      <c r="AK355" s="163"/>
      <c r="AL355" s="163"/>
      <c r="AM355" s="163"/>
      <c r="AN355" s="439"/>
      <c r="AO355" s="257"/>
      <c r="AP355" s="257"/>
      <c r="AQ355" s="50"/>
      <c r="AR355" s="137"/>
    </row>
    <row r="356" spans="1:46" s="46" customFormat="1" ht="11.85" customHeight="1">
      <c r="A356" s="163"/>
      <c r="B356" s="144"/>
      <c r="C356" s="2416"/>
      <c r="D356" s="2416"/>
      <c r="E356" s="2416"/>
      <c r="F356" s="2416"/>
      <c r="G356" s="2416"/>
      <c r="H356" s="2416"/>
      <c r="I356" s="2416"/>
      <c r="J356" s="2416"/>
      <c r="K356" s="2416"/>
      <c r="L356" s="2416"/>
      <c r="M356" s="2416"/>
      <c r="N356" s="2416"/>
      <c r="O356" s="2416"/>
      <c r="P356" s="2416"/>
      <c r="Q356" s="2416"/>
      <c r="R356" s="2416"/>
      <c r="S356" s="2416"/>
      <c r="T356" s="2416"/>
      <c r="U356" s="2416"/>
      <c r="V356" s="2416"/>
      <c r="W356" s="2416"/>
      <c r="X356" s="2416"/>
      <c r="Y356" s="2416"/>
      <c r="Z356" s="2416"/>
      <c r="AA356" s="2416"/>
      <c r="AB356" s="2416"/>
      <c r="AC356" s="2416"/>
      <c r="AD356" s="2416"/>
      <c r="AE356" s="2416"/>
      <c r="AF356" s="2416"/>
      <c r="AG356" s="2416"/>
      <c r="AH356" s="2416"/>
      <c r="AI356" s="2416"/>
      <c r="AJ356" s="2416"/>
      <c r="AK356" s="163"/>
      <c r="AL356" s="163"/>
      <c r="AM356" s="163"/>
      <c r="AN356" s="439"/>
      <c r="AO356" s="1167" t="s">
        <v>1004</v>
      </c>
      <c r="AP356" s="1168">
        <f>IF(C381="Yes",5,0)</f>
        <v>5</v>
      </c>
      <c r="AQ356" s="137"/>
      <c r="AR356" s="137"/>
      <c r="AS356" s="63" t="s">
        <v>2008</v>
      </c>
    </row>
    <row r="357" spans="1:46" s="46" customFormat="1" ht="12.75" customHeight="1">
      <c r="A357" s="163"/>
      <c r="B357" s="144"/>
      <c r="C357" s="2416"/>
      <c r="D357" s="2416"/>
      <c r="E357" s="2416"/>
      <c r="F357" s="2416"/>
      <c r="G357" s="2416"/>
      <c r="H357" s="2416"/>
      <c r="I357" s="2416"/>
      <c r="J357" s="2416"/>
      <c r="K357" s="2416"/>
      <c r="L357" s="2416"/>
      <c r="M357" s="2416"/>
      <c r="N357" s="2416"/>
      <c r="O357" s="2416"/>
      <c r="P357" s="2416"/>
      <c r="Q357" s="2416"/>
      <c r="R357" s="2416"/>
      <c r="S357" s="2416"/>
      <c r="T357" s="2416"/>
      <c r="U357" s="2416"/>
      <c r="V357" s="2416"/>
      <c r="W357" s="2416"/>
      <c r="X357" s="2416"/>
      <c r="Y357" s="2416"/>
      <c r="Z357" s="2416"/>
      <c r="AA357" s="2416"/>
      <c r="AB357" s="2416"/>
      <c r="AC357" s="2416"/>
      <c r="AD357" s="2416"/>
      <c r="AE357" s="2416"/>
      <c r="AF357" s="2416"/>
      <c r="AG357" s="2416"/>
      <c r="AH357" s="2416"/>
      <c r="AI357" s="2416"/>
      <c r="AJ357" s="2416"/>
      <c r="AK357" s="163"/>
      <c r="AL357" s="163"/>
      <c r="AM357" s="163"/>
      <c r="AN357" s="439"/>
      <c r="AO357" s="1167"/>
      <c r="AP357" s="1168"/>
      <c r="AQ357" s="137"/>
      <c r="AR357" s="137"/>
      <c r="AS357" s="2413">
        <f>IF(AQ370=0,AQ383,AQ370)</f>
        <v>12</v>
      </c>
      <c r="AT357" s="2413"/>
    </row>
    <row r="358" spans="1:46" s="46" customFormat="1" ht="12.75" customHeight="1">
      <c r="A358" s="163"/>
      <c r="B358" s="144"/>
      <c r="C358" s="2416"/>
      <c r="D358" s="2416"/>
      <c r="E358" s="2416"/>
      <c r="F358" s="2416"/>
      <c r="G358" s="2416"/>
      <c r="H358" s="2416"/>
      <c r="I358" s="2416"/>
      <c r="J358" s="2416"/>
      <c r="K358" s="2416"/>
      <c r="L358" s="2416"/>
      <c r="M358" s="2416"/>
      <c r="N358" s="2416"/>
      <c r="O358" s="2416"/>
      <c r="P358" s="2416"/>
      <c r="Q358" s="2416"/>
      <c r="R358" s="2416"/>
      <c r="S358" s="2416"/>
      <c r="T358" s="2416"/>
      <c r="U358" s="2416"/>
      <c r="V358" s="2416"/>
      <c r="W358" s="2416"/>
      <c r="X358" s="2416"/>
      <c r="Y358" s="2416"/>
      <c r="Z358" s="2416"/>
      <c r="AA358" s="2416"/>
      <c r="AB358" s="2416"/>
      <c r="AC358" s="2416"/>
      <c r="AD358" s="2416"/>
      <c r="AE358" s="2416"/>
      <c r="AF358" s="2416"/>
      <c r="AG358" s="2416"/>
      <c r="AH358" s="2416"/>
      <c r="AI358" s="2416"/>
      <c r="AJ358" s="2416"/>
      <c r="AK358" s="163"/>
      <c r="AL358" s="163"/>
      <c r="AM358" s="163"/>
      <c r="AN358" s="439"/>
      <c r="AO358" s="1167" t="s">
        <v>1005</v>
      </c>
      <c r="AP358" s="1168">
        <f>IF(C391="Yes",5,0)</f>
        <v>0</v>
      </c>
      <c r="AS358" s="63" t="s">
        <v>2042</v>
      </c>
    </row>
    <row r="359" spans="1:46" s="46" customFormat="1" ht="12.75" customHeight="1">
      <c r="A359" s="163"/>
      <c r="B359" s="144"/>
      <c r="C359" s="2416"/>
      <c r="D359" s="2416"/>
      <c r="E359" s="2416"/>
      <c r="F359" s="2416"/>
      <c r="G359" s="2416"/>
      <c r="H359" s="2416"/>
      <c r="I359" s="2416"/>
      <c r="J359" s="2416"/>
      <c r="K359" s="2416"/>
      <c r="L359" s="2416"/>
      <c r="M359" s="2416"/>
      <c r="N359" s="2416"/>
      <c r="O359" s="2416"/>
      <c r="P359" s="2416"/>
      <c r="Q359" s="2416"/>
      <c r="R359" s="2416"/>
      <c r="S359" s="2416"/>
      <c r="T359" s="2416"/>
      <c r="U359" s="2416"/>
      <c r="V359" s="2416"/>
      <c r="W359" s="2416"/>
      <c r="X359" s="2416"/>
      <c r="Y359" s="2416"/>
      <c r="Z359" s="2416"/>
      <c r="AA359" s="2416"/>
      <c r="AB359" s="2416"/>
      <c r="AC359" s="2416"/>
      <c r="AD359" s="2416"/>
      <c r="AE359" s="2416"/>
      <c r="AF359" s="2416"/>
      <c r="AG359" s="2416"/>
      <c r="AH359" s="2416"/>
      <c r="AI359" s="2416"/>
      <c r="AJ359" s="2416"/>
      <c r="AK359" s="163"/>
      <c r="AL359" s="163"/>
      <c r="AM359" s="163"/>
      <c r="AN359" s="439"/>
      <c r="AO359" s="1167"/>
      <c r="AP359" s="1168"/>
      <c r="AS359" s="2413">
        <f>IF(AND(AQ370&gt;0,AQ383&gt;0),(AQ370+AQ383)/2,0)</f>
        <v>0</v>
      </c>
      <c r="AT359" s="2413"/>
    </row>
    <row r="360" spans="1:46" s="46" customFormat="1" ht="12.75" customHeight="1">
      <c r="A360" s="163"/>
      <c r="B360" s="144"/>
      <c r="C360" s="2416"/>
      <c r="D360" s="2416"/>
      <c r="E360" s="2416"/>
      <c r="F360" s="2416"/>
      <c r="G360" s="2416"/>
      <c r="H360" s="2416"/>
      <c r="I360" s="2416"/>
      <c r="J360" s="2416"/>
      <c r="K360" s="2416"/>
      <c r="L360" s="2416"/>
      <c r="M360" s="2416"/>
      <c r="N360" s="2416"/>
      <c r="O360" s="2416"/>
      <c r="P360" s="2416"/>
      <c r="Q360" s="2416"/>
      <c r="R360" s="2416"/>
      <c r="S360" s="2416"/>
      <c r="T360" s="2416"/>
      <c r="U360" s="2416"/>
      <c r="V360" s="2416"/>
      <c r="W360" s="2416"/>
      <c r="X360" s="2416"/>
      <c r="Y360" s="2416"/>
      <c r="Z360" s="2416"/>
      <c r="AA360" s="2416"/>
      <c r="AB360" s="2416"/>
      <c r="AC360" s="2416"/>
      <c r="AD360" s="2416"/>
      <c r="AE360" s="2416"/>
      <c r="AF360" s="2416"/>
      <c r="AG360" s="2416"/>
      <c r="AH360" s="2416"/>
      <c r="AI360" s="2416"/>
      <c r="AJ360" s="2416"/>
      <c r="AK360" s="163"/>
      <c r="AL360" s="163"/>
      <c r="AM360" s="163"/>
      <c r="AN360" s="439"/>
      <c r="AO360" s="1167" t="s">
        <v>1011</v>
      </c>
      <c r="AP360" s="1168">
        <f>IF(C401="Yes",7,0)</f>
        <v>7</v>
      </c>
      <c r="AQ360" s="137"/>
      <c r="AR360" s="137"/>
    </row>
    <row r="361" spans="1:46" s="46" customFormat="1" ht="12.75" customHeight="1">
      <c r="A361" s="163"/>
      <c r="B361" s="144"/>
      <c r="C361" s="2416" t="s">
        <v>2090</v>
      </c>
      <c r="D361" s="2416"/>
      <c r="E361" s="2416"/>
      <c r="F361" s="2416"/>
      <c r="G361" s="2416"/>
      <c r="H361" s="2416"/>
      <c r="I361" s="2416"/>
      <c r="J361" s="2416"/>
      <c r="K361" s="2416"/>
      <c r="L361" s="2416"/>
      <c r="M361" s="2416"/>
      <c r="N361" s="2416"/>
      <c r="O361" s="2416"/>
      <c r="P361" s="2416"/>
      <c r="Q361" s="2416"/>
      <c r="R361" s="2416"/>
      <c r="S361" s="2416"/>
      <c r="T361" s="2416"/>
      <c r="U361" s="2416"/>
      <c r="V361" s="2416"/>
      <c r="W361" s="2416"/>
      <c r="X361" s="2416"/>
      <c r="Y361" s="2416"/>
      <c r="Z361" s="2416"/>
      <c r="AA361" s="2416"/>
      <c r="AB361" s="2416"/>
      <c r="AC361" s="2416"/>
      <c r="AD361" s="2416"/>
      <c r="AE361" s="2416"/>
      <c r="AF361" s="2416"/>
      <c r="AG361" s="2416"/>
      <c r="AH361" s="2416"/>
      <c r="AI361" s="2416"/>
      <c r="AJ361" s="2416"/>
      <c r="AK361" s="163"/>
      <c r="AL361" s="163"/>
      <c r="AM361" s="163"/>
      <c r="AN361" s="439"/>
      <c r="AO361" s="439"/>
      <c r="AP361" s="1168">
        <f>IF(C403="Yes",5,0)</f>
        <v>0</v>
      </c>
    </row>
    <row r="362" spans="1:46" s="46" customFormat="1" ht="12.75" customHeight="1">
      <c r="A362" s="163"/>
      <c r="B362" s="144"/>
      <c r="C362" s="2416"/>
      <c r="D362" s="2416"/>
      <c r="E362" s="2416"/>
      <c r="F362" s="2416"/>
      <c r="G362" s="2416"/>
      <c r="H362" s="2416"/>
      <c r="I362" s="2416"/>
      <c r="J362" s="2416"/>
      <c r="K362" s="2416"/>
      <c r="L362" s="2416"/>
      <c r="M362" s="2416"/>
      <c r="N362" s="2416"/>
      <c r="O362" s="2416"/>
      <c r="P362" s="2416"/>
      <c r="Q362" s="2416"/>
      <c r="R362" s="2416"/>
      <c r="S362" s="2416"/>
      <c r="T362" s="2416"/>
      <c r="U362" s="2416"/>
      <c r="V362" s="2416"/>
      <c r="W362" s="2416"/>
      <c r="X362" s="2416"/>
      <c r="Y362" s="2416"/>
      <c r="Z362" s="2416"/>
      <c r="AA362" s="2416"/>
      <c r="AB362" s="2416"/>
      <c r="AC362" s="2416"/>
      <c r="AD362" s="2416"/>
      <c r="AE362" s="2416"/>
      <c r="AF362" s="2416"/>
      <c r="AG362" s="2416"/>
      <c r="AH362" s="2416"/>
      <c r="AI362" s="2416"/>
      <c r="AJ362" s="2416"/>
      <c r="AK362" s="163"/>
      <c r="AL362" s="163"/>
      <c r="AM362" s="163"/>
      <c r="AN362" s="439"/>
      <c r="AO362" s="439"/>
      <c r="AP362" s="1168"/>
    </row>
    <row r="363" spans="1:46" s="46" customFormat="1" ht="12.75" customHeight="1">
      <c r="A363" s="163"/>
      <c r="B363" s="144"/>
      <c r="C363" s="2416"/>
      <c r="D363" s="2416"/>
      <c r="E363" s="2416"/>
      <c r="F363" s="2416"/>
      <c r="G363" s="2416"/>
      <c r="H363" s="2416"/>
      <c r="I363" s="2416"/>
      <c r="J363" s="2416"/>
      <c r="K363" s="2416"/>
      <c r="L363" s="2416"/>
      <c r="M363" s="2416"/>
      <c r="N363" s="2416"/>
      <c r="O363" s="2416"/>
      <c r="P363" s="2416"/>
      <c r="Q363" s="2416"/>
      <c r="R363" s="2416"/>
      <c r="S363" s="2416"/>
      <c r="T363" s="2416"/>
      <c r="U363" s="2416"/>
      <c r="V363" s="2416"/>
      <c r="W363" s="2416"/>
      <c r="X363" s="2416"/>
      <c r="Y363" s="2416"/>
      <c r="Z363" s="2416"/>
      <c r="AA363" s="2416"/>
      <c r="AB363" s="2416"/>
      <c r="AC363" s="2416"/>
      <c r="AD363" s="2416"/>
      <c r="AE363" s="2416"/>
      <c r="AF363" s="2416"/>
      <c r="AG363" s="2416"/>
      <c r="AH363" s="2416"/>
      <c r="AI363" s="2416"/>
      <c r="AJ363" s="2416"/>
      <c r="AK363" s="163"/>
      <c r="AL363" s="163"/>
      <c r="AM363" s="163"/>
      <c r="AN363" s="439"/>
      <c r="AO363" s="1167" t="s">
        <v>480</v>
      </c>
      <c r="AP363" s="1168">
        <f>IF(C411="Yes",5,0)</f>
        <v>0</v>
      </c>
    </row>
    <row r="364" spans="1:46" s="46" customFormat="1" ht="11.85" customHeight="1">
      <c r="A364" s="163"/>
      <c r="B364" s="144"/>
      <c r="C364" s="2416"/>
      <c r="D364" s="2416"/>
      <c r="E364" s="2416"/>
      <c r="F364" s="2416"/>
      <c r="G364" s="2416"/>
      <c r="H364" s="2416"/>
      <c r="I364" s="2416"/>
      <c r="J364" s="2416"/>
      <c r="K364" s="2416"/>
      <c r="L364" s="2416"/>
      <c r="M364" s="2416"/>
      <c r="N364" s="2416"/>
      <c r="O364" s="2416"/>
      <c r="P364" s="2416"/>
      <c r="Q364" s="2416"/>
      <c r="R364" s="2416"/>
      <c r="S364" s="2416"/>
      <c r="T364" s="2416"/>
      <c r="U364" s="2416"/>
      <c r="V364" s="2416"/>
      <c r="W364" s="2416"/>
      <c r="X364" s="2416"/>
      <c r="Y364" s="2416"/>
      <c r="Z364" s="2416"/>
      <c r="AA364" s="2416"/>
      <c r="AB364" s="2416"/>
      <c r="AC364" s="2416"/>
      <c r="AD364" s="2416"/>
      <c r="AE364" s="2416"/>
      <c r="AF364" s="2416"/>
      <c r="AG364" s="2416"/>
      <c r="AH364" s="2416"/>
      <c r="AI364" s="2416"/>
      <c r="AJ364" s="2416"/>
      <c r="AK364" s="163"/>
      <c r="AL364" s="163"/>
      <c r="AM364" s="163"/>
      <c r="AN364" s="439"/>
      <c r="AO364" s="439"/>
      <c r="AP364" s="1168">
        <f>IF(C413="Yes",3,0)</f>
        <v>0</v>
      </c>
    </row>
    <row r="365" spans="1:46" s="46" customFormat="1" ht="12.6" customHeight="1">
      <c r="A365" s="163"/>
      <c r="B365" s="144"/>
      <c r="C365" s="2416"/>
      <c r="D365" s="2416"/>
      <c r="E365" s="2416"/>
      <c r="F365" s="2416"/>
      <c r="G365" s="2416"/>
      <c r="H365" s="2416"/>
      <c r="I365" s="2416"/>
      <c r="J365" s="2416"/>
      <c r="K365" s="2416"/>
      <c r="L365" s="2416"/>
      <c r="M365" s="2416"/>
      <c r="N365" s="2416"/>
      <c r="O365" s="2416"/>
      <c r="P365" s="2416"/>
      <c r="Q365" s="2416"/>
      <c r="R365" s="2416"/>
      <c r="S365" s="2416"/>
      <c r="T365" s="2416"/>
      <c r="U365" s="2416"/>
      <c r="V365" s="2416"/>
      <c r="W365" s="2416"/>
      <c r="X365" s="2416"/>
      <c r="Y365" s="2416"/>
      <c r="Z365" s="2416"/>
      <c r="AA365" s="2416"/>
      <c r="AB365" s="2416"/>
      <c r="AC365" s="2416"/>
      <c r="AD365" s="2416"/>
      <c r="AE365" s="2416"/>
      <c r="AF365" s="2416"/>
      <c r="AG365" s="2416"/>
      <c r="AH365" s="2416"/>
      <c r="AI365" s="2416"/>
      <c r="AJ365" s="2416"/>
      <c r="AK365" s="163"/>
      <c r="AL365" s="163"/>
      <c r="AM365" s="163"/>
      <c r="AN365" s="439"/>
      <c r="AO365" s="439"/>
      <c r="AP365" s="1168"/>
    </row>
    <row r="366" spans="1:46" s="46" customFormat="1" ht="12.75" customHeight="1">
      <c r="A366" s="163"/>
      <c r="B366" s="144"/>
      <c r="C366" s="2416"/>
      <c r="D366" s="2416"/>
      <c r="E366" s="2416"/>
      <c r="F366" s="2416"/>
      <c r="G366" s="2416"/>
      <c r="H366" s="2416"/>
      <c r="I366" s="2416"/>
      <c r="J366" s="2416"/>
      <c r="K366" s="2416"/>
      <c r="L366" s="2416"/>
      <c r="M366" s="2416"/>
      <c r="N366" s="2416"/>
      <c r="O366" s="2416"/>
      <c r="P366" s="2416"/>
      <c r="Q366" s="2416"/>
      <c r="R366" s="2416"/>
      <c r="S366" s="2416"/>
      <c r="T366" s="2416"/>
      <c r="U366" s="2416"/>
      <c r="V366" s="2416"/>
      <c r="W366" s="2416"/>
      <c r="X366" s="2416"/>
      <c r="Y366" s="2416"/>
      <c r="Z366" s="2416"/>
      <c r="AA366" s="2416"/>
      <c r="AB366" s="2416"/>
      <c r="AC366" s="2416"/>
      <c r="AD366" s="2416"/>
      <c r="AE366" s="2416"/>
      <c r="AF366" s="2416"/>
      <c r="AG366" s="2416"/>
      <c r="AH366" s="2416"/>
      <c r="AI366" s="2416"/>
      <c r="AJ366" s="2416"/>
      <c r="AK366" s="163"/>
      <c r="AL366" s="163"/>
      <c r="AM366" s="163"/>
      <c r="AN366" s="439"/>
      <c r="AO366" s="1167" t="s">
        <v>188</v>
      </c>
      <c r="AP366" s="1168">
        <f>IF(C416="Yes",5,0)</f>
        <v>0</v>
      </c>
    </row>
    <row r="367" spans="1:46" s="46" customFormat="1" ht="12.75" customHeight="1">
      <c r="A367" s="163"/>
      <c r="B367" s="144"/>
      <c r="C367" s="2416"/>
      <c r="D367" s="2416"/>
      <c r="E367" s="2416"/>
      <c r="F367" s="2416"/>
      <c r="G367" s="2416"/>
      <c r="H367" s="2416"/>
      <c r="I367" s="2416"/>
      <c r="J367" s="2416"/>
      <c r="K367" s="2416"/>
      <c r="L367" s="2416"/>
      <c r="M367" s="2416"/>
      <c r="N367" s="2416"/>
      <c r="O367" s="2416"/>
      <c r="P367" s="2416"/>
      <c r="Q367" s="2416"/>
      <c r="R367" s="2416"/>
      <c r="S367" s="2416"/>
      <c r="T367" s="2416"/>
      <c r="U367" s="2416"/>
      <c r="V367" s="2416"/>
      <c r="W367" s="2416"/>
      <c r="X367" s="2416"/>
      <c r="Y367" s="2416"/>
      <c r="Z367" s="2416"/>
      <c r="AA367" s="2416"/>
      <c r="AB367" s="2416"/>
      <c r="AC367" s="2416"/>
      <c r="AD367" s="2416"/>
      <c r="AE367" s="2416"/>
      <c r="AF367" s="2416"/>
      <c r="AG367" s="2416"/>
      <c r="AH367" s="2416"/>
      <c r="AI367" s="2416"/>
      <c r="AJ367" s="2416"/>
      <c r="AK367" s="163"/>
      <c r="AL367" s="163"/>
      <c r="AM367" s="163"/>
      <c r="AN367" s="439"/>
      <c r="AO367" s="1167" t="s">
        <v>483</v>
      </c>
      <c r="AP367" s="1168">
        <f>IF(C425="Yes",5,0)</f>
        <v>0</v>
      </c>
    </row>
    <row r="368" spans="1:46" s="46" customFormat="1" ht="12.75" customHeight="1">
      <c r="A368" s="163"/>
      <c r="B368" s="144"/>
      <c r="C368" s="2416" t="s">
        <v>2091</v>
      </c>
      <c r="D368" s="2416"/>
      <c r="E368" s="2416"/>
      <c r="F368" s="2416"/>
      <c r="G368" s="2416"/>
      <c r="H368" s="2416"/>
      <c r="I368" s="2416"/>
      <c r="J368" s="2416"/>
      <c r="K368" s="2416"/>
      <c r="L368" s="2416"/>
      <c r="M368" s="2416"/>
      <c r="N368" s="2416"/>
      <c r="O368" s="2416"/>
      <c r="P368" s="2416"/>
      <c r="Q368" s="2416"/>
      <c r="R368" s="2416"/>
      <c r="S368" s="2416"/>
      <c r="T368" s="2416"/>
      <c r="U368" s="2416"/>
      <c r="V368" s="2416"/>
      <c r="W368" s="2416"/>
      <c r="X368" s="2416"/>
      <c r="Y368" s="2416"/>
      <c r="Z368" s="2416"/>
      <c r="AA368" s="2416"/>
      <c r="AB368" s="2416"/>
      <c r="AC368" s="2416"/>
      <c r="AD368" s="2416"/>
      <c r="AE368" s="2416"/>
      <c r="AF368" s="2416"/>
      <c r="AG368" s="2416"/>
      <c r="AH368" s="2416"/>
      <c r="AI368" s="2416"/>
      <c r="AJ368" s="2416"/>
      <c r="AK368" s="163"/>
      <c r="AL368" s="163"/>
      <c r="AM368" s="163"/>
      <c r="AN368" s="439"/>
      <c r="AO368" s="439"/>
      <c r="AP368" s="1168">
        <f>IF(C427="Yes",3,0)</f>
        <v>0</v>
      </c>
    </row>
    <row r="369" spans="1:153" s="46" customFormat="1" ht="12.75" customHeight="1">
      <c r="A369" s="163"/>
      <c r="B369" s="144"/>
      <c r="C369" s="2416"/>
      <c r="D369" s="2416"/>
      <c r="E369" s="2416"/>
      <c r="F369" s="2416"/>
      <c r="G369" s="2416"/>
      <c r="H369" s="2416"/>
      <c r="I369" s="2416"/>
      <c r="J369" s="2416"/>
      <c r="K369" s="2416"/>
      <c r="L369" s="2416"/>
      <c r="M369" s="2416"/>
      <c r="N369" s="2416"/>
      <c r="O369" s="2416"/>
      <c r="P369" s="2416"/>
      <c r="Q369" s="2416"/>
      <c r="R369" s="2416"/>
      <c r="S369" s="2416"/>
      <c r="T369" s="2416"/>
      <c r="U369" s="2416"/>
      <c r="V369" s="2416"/>
      <c r="W369" s="2416"/>
      <c r="X369" s="2416"/>
      <c r="Y369" s="2416"/>
      <c r="Z369" s="2416"/>
      <c r="AA369" s="2416"/>
      <c r="AB369" s="2416"/>
      <c r="AC369" s="2416"/>
      <c r="AD369" s="2416"/>
      <c r="AE369" s="2416"/>
      <c r="AF369" s="2416"/>
      <c r="AG369" s="2416"/>
      <c r="AH369" s="2416"/>
      <c r="AI369" s="2416"/>
      <c r="AJ369" s="2416"/>
      <c r="AK369" s="163"/>
      <c r="AL369" s="163"/>
      <c r="AM369" s="163"/>
      <c r="AN369" s="439"/>
      <c r="AO369" s="1169"/>
      <c r="AP369" s="1170"/>
    </row>
    <row r="370" spans="1:153" s="46" customFormat="1" ht="68.099999999999994" customHeight="1">
      <c r="A370" s="163"/>
      <c r="B370" s="144"/>
      <c r="C370" s="2416"/>
      <c r="D370" s="2416"/>
      <c r="E370" s="2416"/>
      <c r="F370" s="2416"/>
      <c r="G370" s="2416"/>
      <c r="H370" s="2416"/>
      <c r="I370" s="2416"/>
      <c r="J370" s="2416"/>
      <c r="K370" s="2416"/>
      <c r="L370" s="2416"/>
      <c r="M370" s="2416"/>
      <c r="N370" s="2416"/>
      <c r="O370" s="2416"/>
      <c r="P370" s="2416"/>
      <c r="Q370" s="2416"/>
      <c r="R370" s="2416"/>
      <c r="S370" s="2416"/>
      <c r="T370" s="2416"/>
      <c r="U370" s="2416"/>
      <c r="V370" s="2416"/>
      <c r="W370" s="2416"/>
      <c r="X370" s="2416"/>
      <c r="Y370" s="2416"/>
      <c r="Z370" s="2416"/>
      <c r="AA370" s="2416"/>
      <c r="AB370" s="2416"/>
      <c r="AC370" s="2416"/>
      <c r="AD370" s="2416"/>
      <c r="AE370" s="2416"/>
      <c r="AF370" s="2416"/>
      <c r="AG370" s="2416"/>
      <c r="AH370" s="2416"/>
      <c r="AI370" s="2416"/>
      <c r="AJ370" s="2416"/>
      <c r="AK370" s="163"/>
      <c r="AL370" s="163"/>
      <c r="AM370" s="163"/>
      <c r="AN370" s="439"/>
      <c r="AO370" s="1171" t="s">
        <v>676</v>
      </c>
      <c r="AP370" s="1172">
        <f>SUM(AP356:AP369)</f>
        <v>12</v>
      </c>
      <c r="AQ370" s="2402">
        <f>IF(AP370&gt;0,AP370,0)</f>
        <v>12</v>
      </c>
      <c r="AR370" s="2402"/>
    </row>
    <row r="371" spans="1:153" s="46" customFormat="1" ht="12.6" customHeight="1">
      <c r="A371" s="163"/>
      <c r="B371" s="144"/>
      <c r="C371" s="435" t="s">
        <v>1670</v>
      </c>
      <c r="AF371" s="163"/>
      <c r="AG371" s="163"/>
      <c r="AH371" s="163"/>
      <c r="AI371" s="163"/>
      <c r="AJ371" s="163"/>
      <c r="AK371" s="163"/>
      <c r="AL371" s="163"/>
      <c r="AM371" s="163"/>
      <c r="AN371" s="439"/>
      <c r="AO371" s="1167" t="s">
        <v>810</v>
      </c>
      <c r="AP371" s="1168">
        <f>IF(C434="Yes",5,0)</f>
        <v>0</v>
      </c>
    </row>
    <row r="372" spans="1:153" s="46" customFormat="1" ht="12.75" customHeight="1">
      <c r="A372" s="163"/>
      <c r="B372" s="144"/>
      <c r="C372" s="1173" t="s">
        <v>2210</v>
      </c>
      <c r="D372" s="1174"/>
      <c r="E372" s="1174"/>
      <c r="F372" s="1174"/>
      <c r="G372" s="1174"/>
      <c r="H372" s="1174"/>
      <c r="I372" s="1174"/>
      <c r="J372" s="1174"/>
      <c r="K372" s="1174"/>
      <c r="L372" s="1174"/>
      <c r="M372" s="342"/>
      <c r="N372" s="342"/>
      <c r="O372" s="1175"/>
      <c r="P372" s="1174"/>
      <c r="Q372" s="1174"/>
      <c r="R372" s="342"/>
      <c r="S372" s="342"/>
      <c r="T372" s="1174"/>
      <c r="U372" s="2411">
        <f>'Service Amenities Budget'!J10</f>
        <v>129</v>
      </c>
      <c r="V372" s="2411"/>
      <c r="W372" s="2411"/>
      <c r="X372" s="1174"/>
      <c r="Y372" s="1174"/>
      <c r="Z372" s="1174"/>
      <c r="AA372" s="1176"/>
      <c r="AB372" s="434"/>
      <c r="AC372" s="434"/>
      <c r="AD372" s="434"/>
      <c r="AE372" s="163"/>
      <c r="AF372" s="163"/>
      <c r="AG372" s="163"/>
      <c r="AH372" s="163"/>
      <c r="AI372" s="163"/>
      <c r="AJ372" s="163"/>
      <c r="AK372" s="163"/>
      <c r="AL372" s="163"/>
      <c r="AM372" s="163"/>
      <c r="AN372" s="439"/>
      <c r="AO372" s="439"/>
      <c r="AP372" s="1168"/>
    </row>
    <row r="373" spans="1:153" s="46" customFormat="1" ht="12.75" customHeight="1">
      <c r="A373" s="163"/>
      <c r="B373" s="144"/>
      <c r="C373" s="1179" t="s">
        <v>2007</v>
      </c>
      <c r="D373" s="1177"/>
      <c r="E373" s="1177"/>
      <c r="F373" s="1177"/>
      <c r="G373" s="1177"/>
      <c r="H373" s="1177"/>
      <c r="I373" s="1177"/>
      <c r="J373" s="1177"/>
      <c r="K373" s="1177"/>
      <c r="L373" s="1177"/>
      <c r="M373" s="257"/>
      <c r="N373" s="257"/>
      <c r="O373" s="1177"/>
      <c r="P373" s="1177"/>
      <c r="Q373" s="1177"/>
      <c r="R373" s="1177"/>
      <c r="S373" s="1177"/>
      <c r="T373" s="1177"/>
      <c r="U373" s="2412">
        <f>'Service Amenities Budget'!J9</f>
        <v>0</v>
      </c>
      <c r="V373" s="2412"/>
      <c r="W373" s="2412"/>
      <c r="X373" s="1177"/>
      <c r="Y373" s="1177"/>
      <c r="Z373" s="1177"/>
      <c r="AA373" s="1178"/>
      <c r="AB373" s="435"/>
      <c r="AC373" s="433"/>
      <c r="AD373" s="433"/>
      <c r="AE373" s="163"/>
      <c r="AF373" s="163"/>
      <c r="AG373" s="163"/>
      <c r="AH373" s="163"/>
      <c r="AI373" s="163"/>
      <c r="AJ373" s="163"/>
      <c r="AK373" s="163"/>
      <c r="AL373" s="163"/>
      <c r="AM373" s="163"/>
      <c r="AN373" s="439"/>
      <c r="AO373" s="1167" t="s">
        <v>811</v>
      </c>
      <c r="AP373" s="1168">
        <f>IF(C446="Yes",5,0)</f>
        <v>0</v>
      </c>
    </row>
    <row r="374" spans="1:153" s="137" customFormat="1" ht="12.75" customHeight="1">
      <c r="A374" s="163"/>
      <c r="B374" s="144"/>
      <c r="C374" s="435" t="s">
        <v>735</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38"/>
      <c r="AO374" s="439"/>
      <c r="AP374" s="1168"/>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7" t="s">
        <v>606</v>
      </c>
      <c r="AP375" s="1168">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4" t="s">
        <v>2211</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38"/>
      <c r="AP376" s="1168"/>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4"/>
      <c r="D377" s="1185"/>
      <c r="E377" s="1186" t="s">
        <v>795</v>
      </c>
      <c r="F377" s="2387" t="s">
        <v>2017</v>
      </c>
      <c r="G377" s="2387"/>
      <c r="H377" s="2387"/>
      <c r="I377" s="2387"/>
      <c r="J377" s="2387"/>
      <c r="K377" s="2387"/>
      <c r="L377" s="2387"/>
      <c r="M377" s="2387"/>
      <c r="N377" s="2387"/>
      <c r="O377" s="2387"/>
      <c r="P377" s="2387"/>
      <c r="Q377" s="2387"/>
      <c r="R377" s="2387"/>
      <c r="S377" s="2387"/>
      <c r="T377" s="2387"/>
      <c r="U377" s="2387"/>
      <c r="V377" s="2387"/>
      <c r="W377" s="2387"/>
      <c r="X377" s="2387"/>
      <c r="Y377" s="2387"/>
      <c r="Z377" s="2387"/>
      <c r="AA377" s="2387"/>
      <c r="AB377" s="2387"/>
      <c r="AC377" s="2387"/>
      <c r="AD377" s="2387"/>
      <c r="AE377" s="2387"/>
      <c r="AF377" s="2387"/>
      <c r="AG377" s="1327"/>
      <c r="AH377" s="1327"/>
      <c r="AI377" s="1327"/>
      <c r="AJ377" s="1327"/>
      <c r="AK377" s="1327"/>
      <c r="AL377" s="1323"/>
      <c r="AM377" s="16"/>
      <c r="AN377" s="439"/>
      <c r="AO377" s="439"/>
      <c r="AP377" s="1168"/>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7"/>
      <c r="D378" s="71"/>
      <c r="E378" s="350"/>
      <c r="F378" s="2388"/>
      <c r="G378" s="2388"/>
      <c r="H378" s="2388"/>
      <c r="I378" s="2388"/>
      <c r="J378" s="2388"/>
      <c r="K378" s="2388"/>
      <c r="L378" s="2388"/>
      <c r="M378" s="2388"/>
      <c r="N378" s="2388"/>
      <c r="O378" s="2388"/>
      <c r="P378" s="2388"/>
      <c r="Q378" s="2388"/>
      <c r="R378" s="2388"/>
      <c r="S378" s="2388"/>
      <c r="T378" s="2388"/>
      <c r="U378" s="2388"/>
      <c r="V378" s="2388"/>
      <c r="W378" s="2388"/>
      <c r="X378" s="2388"/>
      <c r="Y378" s="2388"/>
      <c r="Z378" s="2388"/>
      <c r="AA378" s="2388"/>
      <c r="AB378" s="2388"/>
      <c r="AC378" s="2388"/>
      <c r="AD378" s="2388"/>
      <c r="AE378" s="2388"/>
      <c r="AF378" s="2388"/>
      <c r="AG378" s="680"/>
      <c r="AH378" s="680"/>
      <c r="AI378" s="680"/>
      <c r="AJ378" s="680"/>
      <c r="AK378" s="680"/>
      <c r="AL378" s="1387"/>
      <c r="AM378" s="16"/>
      <c r="AN378" s="439"/>
      <c r="AO378" s="1167" t="s">
        <v>191</v>
      </c>
      <c r="AP378" s="1168">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7"/>
      <c r="D379" s="71"/>
      <c r="E379" s="350"/>
      <c r="F379" s="2388"/>
      <c r="G379" s="2388"/>
      <c r="H379" s="2388"/>
      <c r="I379" s="2388"/>
      <c r="J379" s="2388"/>
      <c r="K379" s="2388"/>
      <c r="L379" s="2388"/>
      <c r="M379" s="2388"/>
      <c r="N379" s="2388"/>
      <c r="O379" s="2388"/>
      <c r="P379" s="2388"/>
      <c r="Q379" s="2388"/>
      <c r="R379" s="2388"/>
      <c r="S379" s="2388"/>
      <c r="T379" s="2388"/>
      <c r="U379" s="2388"/>
      <c r="V379" s="2388"/>
      <c r="W379" s="2388"/>
      <c r="X379" s="2388"/>
      <c r="Y379" s="2388"/>
      <c r="Z379" s="2388"/>
      <c r="AA379" s="2388"/>
      <c r="AB379" s="2388"/>
      <c r="AC379" s="2388"/>
      <c r="AD379" s="2388"/>
      <c r="AE379" s="2388"/>
      <c r="AF379" s="2388"/>
      <c r="AG379" s="680"/>
      <c r="AH379" s="680"/>
      <c r="AI379" s="680"/>
      <c r="AJ379" s="680"/>
      <c r="AK379" s="680"/>
      <c r="AL379" s="1387"/>
      <c r="AM379" s="16"/>
      <c r="AN379" s="439"/>
      <c r="AO379" s="1167" t="s">
        <v>37</v>
      </c>
      <c r="AP379" s="1168">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7"/>
      <c r="D380" s="71"/>
      <c r="E380" s="350"/>
      <c r="F380" s="2388"/>
      <c r="G380" s="2388"/>
      <c r="H380" s="2388"/>
      <c r="I380" s="2388"/>
      <c r="J380" s="2388"/>
      <c r="K380" s="2388"/>
      <c r="L380" s="2388"/>
      <c r="M380" s="2388"/>
      <c r="N380" s="2388"/>
      <c r="O380" s="2388"/>
      <c r="P380" s="2388"/>
      <c r="Q380" s="2388"/>
      <c r="R380" s="2388"/>
      <c r="S380" s="2388"/>
      <c r="T380" s="2388"/>
      <c r="U380" s="2388"/>
      <c r="V380" s="2388"/>
      <c r="W380" s="2388"/>
      <c r="X380" s="2388"/>
      <c r="Y380" s="2388"/>
      <c r="Z380" s="2388"/>
      <c r="AA380" s="2388"/>
      <c r="AB380" s="2388"/>
      <c r="AC380" s="2388"/>
      <c r="AD380" s="2388"/>
      <c r="AE380" s="2388"/>
      <c r="AF380" s="2388"/>
      <c r="AG380" s="680"/>
      <c r="AH380" s="680"/>
      <c r="AI380" s="680"/>
      <c r="AJ380" s="680"/>
      <c r="AK380" s="680"/>
      <c r="AL380" s="1387"/>
      <c r="AM380" s="16"/>
      <c r="AN380" s="439"/>
      <c r="AO380" s="1167" t="s">
        <v>38</v>
      </c>
      <c r="AP380" s="1168">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90" t="s">
        <v>119</v>
      </c>
      <c r="D381" s="1694"/>
      <c r="E381" s="350"/>
      <c r="F381" s="1182" t="s">
        <v>2009</v>
      </c>
      <c r="G381" s="1183"/>
      <c r="H381" s="1183"/>
      <c r="I381" s="1183"/>
      <c r="J381" s="1183"/>
      <c r="K381" s="1183"/>
      <c r="L381" s="1183"/>
      <c r="M381" s="1183"/>
      <c r="N381" s="1183"/>
      <c r="O381" s="1183"/>
      <c r="P381" s="1183"/>
      <c r="Q381" s="1183"/>
      <c r="R381" s="1183"/>
      <c r="S381" s="1183"/>
      <c r="T381" s="1183"/>
      <c r="U381" s="1183"/>
      <c r="V381" s="1183"/>
      <c r="W381" s="1183"/>
      <c r="X381" s="1183"/>
      <c r="Y381" s="1183"/>
      <c r="Z381" s="1183"/>
      <c r="AA381" s="1183"/>
      <c r="AB381" s="1183"/>
      <c r="AC381" s="1183"/>
      <c r="AD381" s="1183"/>
      <c r="AE381" s="162"/>
      <c r="AF381" s="2403" t="s">
        <v>355</v>
      </c>
      <c r="AG381" s="2403"/>
      <c r="AH381" s="2403"/>
      <c r="AI381" s="2403"/>
      <c r="AJ381" s="2403"/>
      <c r="AK381" s="2403"/>
      <c r="AL381" s="2404"/>
      <c r="AM381" s="1421"/>
      <c r="AO381" s="439"/>
      <c r="AP381" s="1168"/>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3"/>
      <c r="D382" s="1201"/>
      <c r="E382" s="1190"/>
      <c r="F382" s="1385"/>
      <c r="G382" s="1385"/>
      <c r="H382" s="1385"/>
      <c r="I382" s="1385"/>
      <c r="J382" s="1385"/>
      <c r="K382" s="1385"/>
      <c r="L382" s="1385"/>
      <c r="M382" s="1385"/>
      <c r="N382" s="1385"/>
      <c r="O382" s="1385"/>
      <c r="P382" s="1385"/>
      <c r="Q382" s="1385"/>
      <c r="R382" s="1385"/>
      <c r="S382" s="1385"/>
      <c r="T382" s="1385"/>
      <c r="U382" s="1385"/>
      <c r="V382" s="1385"/>
      <c r="W382" s="1385"/>
      <c r="X382" s="1385"/>
      <c r="Y382" s="1385"/>
      <c r="Z382" s="1385"/>
      <c r="AA382" s="1385"/>
      <c r="AB382" s="1385"/>
      <c r="AC382" s="1385"/>
      <c r="AD382" s="1385"/>
      <c r="AE382" s="1389"/>
      <c r="AF382" s="1389"/>
      <c r="AG382" s="1389"/>
      <c r="AH382" s="1389"/>
      <c r="AI382" s="1389"/>
      <c r="AJ382" s="1389"/>
      <c r="AK382" s="1389"/>
      <c r="AL382" s="1390"/>
      <c r="AM382" s="16"/>
      <c r="AN382" s="439"/>
      <c r="AO382" s="1169"/>
      <c r="AP382" s="1170"/>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2"/>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8" t="s">
        <v>676</v>
      </c>
      <c r="AP383" s="549">
        <f>SUM(AP371:AP382)</f>
        <v>0</v>
      </c>
      <c r="AQ383" s="2402">
        <f>IF(AP383&gt;0,AP383,0)</f>
        <v>0</v>
      </c>
      <c r="AR383" s="2402"/>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0"/>
      <c r="D384" s="1160"/>
      <c r="E384" s="350"/>
      <c r="F384" s="1182"/>
      <c r="G384" s="1183"/>
      <c r="H384" s="1183"/>
      <c r="I384" s="1183"/>
      <c r="J384" s="1183"/>
      <c r="K384" s="1183"/>
      <c r="L384" s="1183"/>
      <c r="M384" s="1183"/>
      <c r="N384" s="1183"/>
      <c r="O384" s="1183"/>
      <c r="P384" s="1183"/>
      <c r="Q384" s="1183"/>
      <c r="R384" s="1183"/>
      <c r="S384" s="1183"/>
      <c r="T384" s="1183"/>
      <c r="U384" s="1183"/>
      <c r="V384" s="1183"/>
      <c r="W384" s="1183"/>
      <c r="X384" s="1183"/>
      <c r="Y384" s="1183"/>
      <c r="Z384" s="1183"/>
      <c r="AA384" s="1183"/>
      <c r="AB384" s="1183"/>
      <c r="AC384" s="1183"/>
      <c r="AD384" s="1183"/>
      <c r="AL384" s="1300"/>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3"/>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4"/>
      <c r="D386" s="1185"/>
      <c r="E386" s="1186" t="s">
        <v>207</v>
      </c>
      <c r="F386" s="2387" t="s">
        <v>2016</v>
      </c>
      <c r="G386" s="2387"/>
      <c r="H386" s="2387"/>
      <c r="I386" s="2387"/>
      <c r="J386" s="2387"/>
      <c r="K386" s="2387"/>
      <c r="L386" s="2387"/>
      <c r="M386" s="2387"/>
      <c r="N386" s="2387"/>
      <c r="O386" s="2387"/>
      <c r="P386" s="2387"/>
      <c r="Q386" s="2387"/>
      <c r="R386" s="2387"/>
      <c r="S386" s="2387"/>
      <c r="T386" s="2387"/>
      <c r="U386" s="2387"/>
      <c r="V386" s="2387"/>
      <c r="W386" s="2387"/>
      <c r="X386" s="2387"/>
      <c r="Y386" s="2387"/>
      <c r="Z386" s="2387"/>
      <c r="AA386" s="2387"/>
      <c r="AB386" s="2387"/>
      <c r="AC386" s="2387"/>
      <c r="AD386" s="2387"/>
      <c r="AE386" s="2387"/>
      <c r="AF386" s="2387"/>
      <c r="AG386" s="1327"/>
      <c r="AH386" s="1327"/>
      <c r="AI386" s="1327"/>
      <c r="AJ386" s="1327"/>
      <c r="AK386" s="1327"/>
      <c r="AL386" s="1323"/>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2"/>
      <c r="D387" s="125"/>
      <c r="E387" s="306"/>
      <c r="F387" s="2388"/>
      <c r="G387" s="2388"/>
      <c r="H387" s="2388"/>
      <c r="I387" s="2388"/>
      <c r="J387" s="2388"/>
      <c r="K387" s="2388"/>
      <c r="L387" s="2388"/>
      <c r="M387" s="2388"/>
      <c r="N387" s="2388"/>
      <c r="O387" s="2388"/>
      <c r="P387" s="2388"/>
      <c r="Q387" s="2388"/>
      <c r="R387" s="2388"/>
      <c r="S387" s="2388"/>
      <c r="T387" s="2388"/>
      <c r="U387" s="2388"/>
      <c r="V387" s="2388"/>
      <c r="W387" s="2388"/>
      <c r="X387" s="2388"/>
      <c r="Y387" s="2388"/>
      <c r="Z387" s="2388"/>
      <c r="AA387" s="2388"/>
      <c r="AB387" s="2388"/>
      <c r="AC387" s="2388"/>
      <c r="AD387" s="2388"/>
      <c r="AE387" s="2388"/>
      <c r="AF387" s="2388"/>
      <c r="AG387" s="680"/>
      <c r="AH387" s="680"/>
      <c r="AI387" s="680"/>
      <c r="AJ387" s="680"/>
      <c r="AK387" s="680"/>
      <c r="AL387" s="1317"/>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2"/>
      <c r="D388" s="125"/>
      <c r="E388" s="306"/>
      <c r="F388" s="2388"/>
      <c r="G388" s="2388"/>
      <c r="H388" s="2388"/>
      <c r="I388" s="2388"/>
      <c r="J388" s="2388"/>
      <c r="K388" s="2388"/>
      <c r="L388" s="2388"/>
      <c r="M388" s="2388"/>
      <c r="N388" s="2388"/>
      <c r="O388" s="2388"/>
      <c r="P388" s="2388"/>
      <c r="Q388" s="2388"/>
      <c r="R388" s="2388"/>
      <c r="S388" s="2388"/>
      <c r="T388" s="2388"/>
      <c r="U388" s="2388"/>
      <c r="V388" s="2388"/>
      <c r="W388" s="2388"/>
      <c r="X388" s="2388"/>
      <c r="Y388" s="2388"/>
      <c r="Z388" s="2388"/>
      <c r="AA388" s="2388"/>
      <c r="AB388" s="2388"/>
      <c r="AC388" s="2388"/>
      <c r="AD388" s="2388"/>
      <c r="AE388" s="2388"/>
      <c r="AF388" s="2388"/>
      <c r="AG388" s="680"/>
      <c r="AH388" s="680"/>
      <c r="AI388" s="680"/>
      <c r="AJ388" s="680"/>
      <c r="AK388" s="680"/>
      <c r="AL388" s="1317"/>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2"/>
      <c r="D389" s="125"/>
      <c r="E389" s="306"/>
      <c r="F389" s="2388"/>
      <c r="G389" s="2388"/>
      <c r="H389" s="2388"/>
      <c r="I389" s="2388"/>
      <c r="J389" s="2388"/>
      <c r="K389" s="2388"/>
      <c r="L389" s="2388"/>
      <c r="M389" s="2388"/>
      <c r="N389" s="2388"/>
      <c r="O389" s="2388"/>
      <c r="P389" s="2388"/>
      <c r="Q389" s="2388"/>
      <c r="R389" s="2388"/>
      <c r="S389" s="2388"/>
      <c r="T389" s="2388"/>
      <c r="U389" s="2388"/>
      <c r="V389" s="2388"/>
      <c r="W389" s="2388"/>
      <c r="X389" s="2388"/>
      <c r="Y389" s="2388"/>
      <c r="Z389" s="2388"/>
      <c r="AA389" s="2388"/>
      <c r="AB389" s="2388"/>
      <c r="AC389" s="2388"/>
      <c r="AD389" s="2388"/>
      <c r="AE389" s="2388"/>
      <c r="AF389" s="2388"/>
      <c r="AG389" s="680"/>
      <c r="AH389" s="680"/>
      <c r="AI389" s="680"/>
      <c r="AJ389" s="680"/>
      <c r="AK389" s="680"/>
      <c r="AL389" s="1317"/>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2"/>
      <c r="D390" s="125"/>
      <c r="E390" s="306"/>
      <c r="F390" s="2388"/>
      <c r="G390" s="2388"/>
      <c r="H390" s="2388"/>
      <c r="I390" s="2388"/>
      <c r="J390" s="2388"/>
      <c r="K390" s="2388"/>
      <c r="L390" s="2388"/>
      <c r="M390" s="2388"/>
      <c r="N390" s="2388"/>
      <c r="O390" s="2388"/>
      <c r="P390" s="2388"/>
      <c r="Q390" s="2388"/>
      <c r="R390" s="2388"/>
      <c r="S390" s="2388"/>
      <c r="T390" s="2388"/>
      <c r="U390" s="2388"/>
      <c r="V390" s="2388"/>
      <c r="W390" s="2388"/>
      <c r="X390" s="2388"/>
      <c r="Y390" s="2388"/>
      <c r="Z390" s="2388"/>
      <c r="AA390" s="2388"/>
      <c r="AB390" s="2388"/>
      <c r="AC390" s="2388"/>
      <c r="AD390" s="2388"/>
      <c r="AE390" s="2388"/>
      <c r="AF390" s="2388"/>
      <c r="AG390" s="162"/>
      <c r="AH390" s="162"/>
      <c r="AI390" s="162"/>
      <c r="AJ390" s="162"/>
      <c r="AK390" s="162"/>
      <c r="AL390" s="1193"/>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90" t="s">
        <v>136</v>
      </c>
      <c r="D391" s="1694"/>
      <c r="E391" s="306"/>
      <c r="F391" s="1182" t="s">
        <v>2010</v>
      </c>
      <c r="G391" s="1183"/>
      <c r="H391" s="1183"/>
      <c r="I391" s="1183"/>
      <c r="J391" s="1183"/>
      <c r="K391" s="1183"/>
      <c r="L391" s="1183"/>
      <c r="M391" s="1183"/>
      <c r="N391" s="1183"/>
      <c r="O391" s="1183"/>
      <c r="P391" s="1183"/>
      <c r="Q391" s="1183"/>
      <c r="R391" s="1183"/>
      <c r="S391" s="1183"/>
      <c r="T391" s="1183"/>
      <c r="U391" s="1183"/>
      <c r="V391" s="1183"/>
      <c r="W391" s="1183"/>
      <c r="X391" s="1183"/>
      <c r="Y391" s="1183"/>
      <c r="Z391" s="1183"/>
      <c r="AA391" s="1183"/>
      <c r="AB391" s="1183"/>
      <c r="AC391" s="1183"/>
      <c r="AD391" s="1183"/>
      <c r="AE391" s="162"/>
      <c r="AF391" s="2403" t="s">
        <v>355</v>
      </c>
      <c r="AG391" s="2403"/>
      <c r="AH391" s="2403"/>
      <c r="AI391" s="2403"/>
      <c r="AJ391" s="2403"/>
      <c r="AK391" s="2403"/>
      <c r="AL391" s="2404"/>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3"/>
      <c r="D392" s="1201"/>
      <c r="E392" s="1190"/>
      <c r="F392" s="1385"/>
      <c r="G392" s="1385"/>
      <c r="H392" s="1385"/>
      <c r="I392" s="1385"/>
      <c r="J392" s="1385"/>
      <c r="K392" s="1385"/>
      <c r="L392" s="1385"/>
      <c r="M392" s="1385"/>
      <c r="N392" s="1385"/>
      <c r="O392" s="1385"/>
      <c r="P392" s="1385"/>
      <c r="Q392" s="1385"/>
      <c r="R392" s="1385"/>
      <c r="S392" s="1385"/>
      <c r="T392" s="1385"/>
      <c r="U392" s="1385"/>
      <c r="V392" s="1385"/>
      <c r="W392" s="1385"/>
      <c r="X392" s="1385"/>
      <c r="Y392" s="1385"/>
      <c r="Z392" s="1385"/>
      <c r="AA392" s="1385"/>
      <c r="AB392" s="1385"/>
      <c r="AC392" s="1385"/>
      <c r="AD392" s="1385"/>
      <c r="AE392" s="1389"/>
      <c r="AF392" s="1389"/>
      <c r="AG392" s="1389"/>
      <c r="AH392" s="1389"/>
      <c r="AI392" s="1389"/>
      <c r="AJ392" s="1389"/>
      <c r="AK392" s="1389"/>
      <c r="AL392" s="1390"/>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53"/>
      <c r="D393" s="1853"/>
      <c r="E393" s="350"/>
      <c r="F393" s="1424"/>
      <c r="G393" s="1425"/>
      <c r="H393" s="1425"/>
      <c r="I393" s="1425"/>
      <c r="J393" s="1425"/>
      <c r="K393" s="1425"/>
      <c r="L393" s="1425"/>
      <c r="M393" s="1425"/>
      <c r="N393" s="1425"/>
      <c r="O393" s="1425"/>
      <c r="P393" s="1425"/>
      <c r="Q393" s="1425"/>
      <c r="R393" s="1425"/>
      <c r="S393" s="1425"/>
      <c r="T393" s="1425"/>
      <c r="U393" s="1425"/>
      <c r="V393" s="1425"/>
      <c r="W393" s="1425"/>
      <c r="X393" s="1425"/>
      <c r="Y393" s="1425"/>
      <c r="Z393" s="1425"/>
      <c r="AA393" s="1425"/>
      <c r="AB393" s="1425"/>
      <c r="AC393" s="1425"/>
      <c r="AD393" s="1425"/>
      <c r="AE393" s="203"/>
      <c r="AF393" s="2437"/>
      <c r="AG393" s="2437"/>
      <c r="AH393" s="2437"/>
      <c r="AI393" s="2437"/>
      <c r="AJ393" s="2437"/>
      <c r="AK393" s="2437"/>
      <c r="AL393" s="2437"/>
      <c r="AM393" s="16"/>
      <c r="AN393" s="474"/>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5"/>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4"/>
      <c r="D396" s="1185"/>
      <c r="E396" s="1186" t="s">
        <v>208</v>
      </c>
      <c r="F396" s="2601" t="s">
        <v>2232</v>
      </c>
      <c r="G396" s="2601"/>
      <c r="H396" s="2601"/>
      <c r="I396" s="2601"/>
      <c r="J396" s="2601"/>
      <c r="K396" s="2601"/>
      <c r="L396" s="2601"/>
      <c r="M396" s="2601"/>
      <c r="N396" s="2601"/>
      <c r="O396" s="2601"/>
      <c r="P396" s="2601"/>
      <c r="Q396" s="2601"/>
      <c r="R396" s="2601"/>
      <c r="S396" s="2601"/>
      <c r="T396" s="2601"/>
      <c r="U396" s="2601"/>
      <c r="V396" s="2601"/>
      <c r="W396" s="2601"/>
      <c r="X396" s="2601"/>
      <c r="Y396" s="2601"/>
      <c r="Z396" s="2601"/>
      <c r="AA396" s="2601"/>
      <c r="AB396" s="2601"/>
      <c r="AC396" s="2601"/>
      <c r="AD396" s="2601"/>
      <c r="AE396" s="2601"/>
      <c r="AF396" s="2601"/>
      <c r="AG396" s="1327"/>
      <c r="AH396" s="1327"/>
      <c r="AI396" s="1327"/>
      <c r="AJ396" s="1327"/>
      <c r="AK396" s="1327"/>
      <c r="AL396" s="1323"/>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2"/>
      <c r="D397" s="125"/>
      <c r="E397" s="306"/>
      <c r="F397" s="2602"/>
      <c r="G397" s="2602"/>
      <c r="H397" s="2602"/>
      <c r="I397" s="2602"/>
      <c r="J397" s="2602"/>
      <c r="K397" s="2602"/>
      <c r="L397" s="2602"/>
      <c r="M397" s="2602"/>
      <c r="N397" s="2602"/>
      <c r="O397" s="2602"/>
      <c r="P397" s="2602"/>
      <c r="Q397" s="2602"/>
      <c r="R397" s="2602"/>
      <c r="S397" s="2602"/>
      <c r="T397" s="2602"/>
      <c r="U397" s="2602"/>
      <c r="V397" s="2602"/>
      <c r="W397" s="2602"/>
      <c r="X397" s="2602"/>
      <c r="Y397" s="2602"/>
      <c r="Z397" s="2602"/>
      <c r="AA397" s="2602"/>
      <c r="AB397" s="2602"/>
      <c r="AC397" s="2602"/>
      <c r="AD397" s="2602"/>
      <c r="AE397" s="2602"/>
      <c r="AF397" s="2602"/>
      <c r="AG397" s="680"/>
      <c r="AH397" s="680"/>
      <c r="AI397" s="680"/>
      <c r="AJ397" s="680"/>
      <c r="AK397" s="680"/>
      <c r="AL397" s="1317"/>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2"/>
      <c r="D398" s="125"/>
      <c r="E398" s="306"/>
      <c r="F398" s="2602"/>
      <c r="G398" s="2602"/>
      <c r="H398" s="2602"/>
      <c r="I398" s="2602"/>
      <c r="J398" s="2602"/>
      <c r="K398" s="2602"/>
      <c r="L398" s="2602"/>
      <c r="M398" s="2602"/>
      <c r="N398" s="2602"/>
      <c r="O398" s="2602"/>
      <c r="P398" s="2602"/>
      <c r="Q398" s="2602"/>
      <c r="R398" s="2602"/>
      <c r="S398" s="2602"/>
      <c r="T398" s="2602"/>
      <c r="U398" s="2602"/>
      <c r="V398" s="2602"/>
      <c r="W398" s="2602"/>
      <c r="X398" s="2602"/>
      <c r="Y398" s="2602"/>
      <c r="Z398" s="2602"/>
      <c r="AA398" s="2602"/>
      <c r="AB398" s="2602"/>
      <c r="AC398" s="2602"/>
      <c r="AD398" s="2602"/>
      <c r="AE398" s="2602"/>
      <c r="AF398" s="2602"/>
      <c r="AG398" s="680"/>
      <c r="AH398" s="680"/>
      <c r="AI398" s="680"/>
      <c r="AJ398" s="680"/>
      <c r="AK398" s="680"/>
      <c r="AL398" s="1387"/>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2"/>
      <c r="D399" s="125"/>
      <c r="E399" s="306"/>
      <c r="F399" s="2602"/>
      <c r="G399" s="2602"/>
      <c r="H399" s="2602"/>
      <c r="I399" s="2602"/>
      <c r="J399" s="2602"/>
      <c r="K399" s="2602"/>
      <c r="L399" s="2602"/>
      <c r="M399" s="2602"/>
      <c r="N399" s="2602"/>
      <c r="O399" s="2602"/>
      <c r="P399" s="2602"/>
      <c r="Q399" s="2602"/>
      <c r="R399" s="2602"/>
      <c r="S399" s="2602"/>
      <c r="T399" s="2602"/>
      <c r="U399" s="2602"/>
      <c r="V399" s="2602"/>
      <c r="W399" s="2602"/>
      <c r="X399" s="2602"/>
      <c r="Y399" s="2602"/>
      <c r="Z399" s="2602"/>
      <c r="AA399" s="2602"/>
      <c r="AB399" s="2602"/>
      <c r="AC399" s="2602"/>
      <c r="AD399" s="2602"/>
      <c r="AE399" s="2602"/>
      <c r="AF399" s="2602"/>
      <c r="AG399" s="680"/>
      <c r="AH399" s="680"/>
      <c r="AI399" s="680"/>
      <c r="AJ399" s="680"/>
      <c r="AK399" s="680"/>
      <c r="AL399" s="1317"/>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2"/>
      <c r="D400" s="125"/>
      <c r="E400" s="306"/>
      <c r="F400" s="2602"/>
      <c r="G400" s="2602"/>
      <c r="H400" s="2602"/>
      <c r="I400" s="2602"/>
      <c r="J400" s="2602"/>
      <c r="K400" s="2602"/>
      <c r="L400" s="2602"/>
      <c r="M400" s="2602"/>
      <c r="N400" s="2602"/>
      <c r="O400" s="2602"/>
      <c r="P400" s="2602"/>
      <c r="Q400" s="2602"/>
      <c r="R400" s="2602"/>
      <c r="S400" s="2602"/>
      <c r="T400" s="2602"/>
      <c r="U400" s="2602"/>
      <c r="V400" s="2602"/>
      <c r="W400" s="2602"/>
      <c r="X400" s="2602"/>
      <c r="Y400" s="2602"/>
      <c r="Z400" s="2602"/>
      <c r="AA400" s="2602"/>
      <c r="AB400" s="2602"/>
      <c r="AC400" s="2602"/>
      <c r="AD400" s="2602"/>
      <c r="AE400" s="2602"/>
      <c r="AF400" s="2602"/>
      <c r="AG400" s="680"/>
      <c r="AH400" s="680"/>
      <c r="AI400" s="680"/>
      <c r="AJ400" s="680"/>
      <c r="AK400" s="680"/>
      <c r="AL400" s="1317"/>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90" t="s">
        <v>119</v>
      </c>
      <c r="D401" s="1694"/>
      <c r="E401" s="306"/>
      <c r="F401" s="1182" t="s">
        <v>2012</v>
      </c>
      <c r="G401" s="1183"/>
      <c r="H401" s="1183"/>
      <c r="I401" s="1183"/>
      <c r="J401" s="1183"/>
      <c r="K401" s="1183"/>
      <c r="L401" s="1183"/>
      <c r="M401" s="1183"/>
      <c r="N401" s="1183"/>
      <c r="O401" s="1183"/>
      <c r="P401" s="1183"/>
      <c r="Q401" s="1183"/>
      <c r="R401" s="1183"/>
      <c r="S401" s="1183"/>
      <c r="T401" s="1183"/>
      <c r="U401" s="1183"/>
      <c r="V401" s="1183"/>
      <c r="W401" s="1183"/>
      <c r="X401" s="1183"/>
      <c r="Y401" s="1183"/>
      <c r="Z401" s="1183"/>
      <c r="AA401" s="1183"/>
      <c r="AB401" s="1183"/>
      <c r="AC401" s="1183"/>
      <c r="AD401" s="1183"/>
      <c r="AE401" s="162"/>
      <c r="AF401" s="2403" t="s">
        <v>1067</v>
      </c>
      <c r="AG401" s="2403"/>
      <c r="AH401" s="2403"/>
      <c r="AI401" s="2403"/>
      <c r="AJ401" s="2403"/>
      <c r="AK401" s="2403"/>
      <c r="AL401" s="2404"/>
      <c r="AM401" s="1421"/>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2"/>
      <c r="D402" s="125"/>
      <c r="E402" s="306"/>
      <c r="F402" s="1318"/>
      <c r="G402" s="1318"/>
      <c r="H402" s="1318"/>
      <c r="I402" s="1318"/>
      <c r="J402" s="1318"/>
      <c r="K402" s="1318"/>
      <c r="L402" s="1318"/>
      <c r="M402" s="1318"/>
      <c r="N402" s="1318"/>
      <c r="O402" s="1318"/>
      <c r="P402" s="1318"/>
      <c r="Q402" s="1318"/>
      <c r="R402" s="1318"/>
      <c r="S402" s="1318"/>
      <c r="T402" s="1318"/>
      <c r="U402" s="1318"/>
      <c r="V402" s="1318"/>
      <c r="W402" s="1318"/>
      <c r="X402" s="1318"/>
      <c r="Y402" s="1318"/>
      <c r="Z402" s="1318"/>
      <c r="AA402" s="1318"/>
      <c r="AB402" s="1318"/>
      <c r="AC402" s="1318"/>
      <c r="AD402" s="1318"/>
      <c r="AE402" s="162"/>
      <c r="AF402" s="162"/>
      <c r="AG402" s="162"/>
      <c r="AH402" s="162"/>
      <c r="AI402" s="162"/>
      <c r="AJ402" s="162"/>
      <c r="AK402" s="162"/>
      <c r="AL402" s="1193"/>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90" t="s">
        <v>136</v>
      </c>
      <c r="D403" s="1694"/>
      <c r="E403" s="306"/>
      <c r="F403" s="1195" t="s">
        <v>2013</v>
      </c>
      <c r="G403" s="1318"/>
      <c r="H403" s="1318"/>
      <c r="I403" s="1318"/>
      <c r="J403" s="1318"/>
      <c r="K403" s="1318"/>
      <c r="L403" s="1318"/>
      <c r="M403" s="1318"/>
      <c r="N403" s="1318"/>
      <c r="O403" s="1318"/>
      <c r="P403" s="1318"/>
      <c r="Q403" s="1318"/>
      <c r="R403" s="1318"/>
      <c r="S403" s="1318"/>
      <c r="T403" s="1318"/>
      <c r="U403" s="1318"/>
      <c r="V403" s="1318"/>
      <c r="W403" s="1318"/>
      <c r="X403" s="1318"/>
      <c r="Y403" s="1318"/>
      <c r="Z403" s="1318"/>
      <c r="AA403" s="1318"/>
      <c r="AB403" s="1318"/>
      <c r="AC403" s="1318"/>
      <c r="AD403" s="1318"/>
      <c r="AE403" s="162"/>
      <c r="AF403" s="2403" t="s">
        <v>355</v>
      </c>
      <c r="AG403" s="2403"/>
      <c r="AH403" s="2403"/>
      <c r="AI403" s="2403"/>
      <c r="AJ403" s="2403"/>
      <c r="AK403" s="2403"/>
      <c r="AL403" s="2404"/>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2"/>
      <c r="D404" s="125"/>
      <c r="E404" s="306"/>
      <c r="F404" s="1195"/>
      <c r="G404" s="1195"/>
      <c r="H404" s="1195"/>
      <c r="I404" s="1195"/>
      <c r="J404" s="1195"/>
      <c r="K404" s="1195"/>
      <c r="L404" s="1195"/>
      <c r="M404" s="1195"/>
      <c r="N404" s="1195"/>
      <c r="O404" s="1195"/>
      <c r="P404" s="1195"/>
      <c r="Q404" s="1195"/>
      <c r="R404" s="1195"/>
      <c r="S404" s="1195"/>
      <c r="T404" s="1195"/>
      <c r="U404" s="1195"/>
      <c r="V404" s="1195"/>
      <c r="W404" s="1195"/>
      <c r="X404" s="1195"/>
      <c r="Y404" s="1195"/>
      <c r="Z404" s="1195"/>
      <c r="AA404" s="1195"/>
      <c r="AB404" s="1195"/>
      <c r="AC404" s="1195"/>
      <c r="AD404" s="1195"/>
      <c r="AE404" s="71"/>
      <c r="AF404" s="162"/>
      <c r="AG404" s="162"/>
      <c r="AH404" s="162"/>
      <c r="AI404" s="162"/>
      <c r="AJ404" s="162"/>
      <c r="AK404" s="162"/>
      <c r="AL404" s="1193"/>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7"/>
      <c r="D405" s="1198"/>
      <c r="E405" s="1199"/>
      <c r="F405" s="1200" t="s">
        <v>2011</v>
      </c>
      <c r="G405" s="1194"/>
      <c r="H405" s="1194"/>
      <c r="I405" s="1194"/>
      <c r="J405" s="1194"/>
      <c r="K405" s="1194"/>
      <c r="L405" s="1194"/>
      <c r="M405" s="1194"/>
      <c r="N405" s="1194"/>
      <c r="O405" s="1194"/>
      <c r="P405" s="1194"/>
      <c r="Q405" s="1194"/>
      <c r="R405" s="1194"/>
      <c r="S405" s="1194"/>
      <c r="T405" s="1194"/>
      <c r="U405" s="1194"/>
      <c r="V405" s="1194"/>
      <c r="W405" s="1194"/>
      <c r="X405" s="1194"/>
      <c r="Y405" s="1194"/>
      <c r="Z405" s="1194"/>
      <c r="AA405" s="1194"/>
      <c r="AB405" s="1194"/>
      <c r="AC405" s="1194"/>
      <c r="AD405" s="1194"/>
      <c r="AE405" s="1201"/>
      <c r="AF405" s="1202"/>
      <c r="AG405" s="1201"/>
      <c r="AH405" s="1203"/>
      <c r="AI405" s="1203"/>
      <c r="AJ405" s="1203"/>
      <c r="AK405" s="1203"/>
      <c r="AL405" s="1204"/>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4"/>
      <c r="D407" s="1185"/>
      <c r="E407" s="1186" t="s">
        <v>209</v>
      </c>
      <c r="F407" s="2387" t="s">
        <v>2015</v>
      </c>
      <c r="G407" s="2387"/>
      <c r="H407" s="2387"/>
      <c r="I407" s="2387"/>
      <c r="J407" s="2387"/>
      <c r="K407" s="2387"/>
      <c r="L407" s="2387"/>
      <c r="M407" s="2387"/>
      <c r="N407" s="2387"/>
      <c r="O407" s="2387"/>
      <c r="P407" s="2387"/>
      <c r="Q407" s="2387"/>
      <c r="R407" s="2387"/>
      <c r="S407" s="2387"/>
      <c r="T407" s="2387"/>
      <c r="U407" s="2387"/>
      <c r="V407" s="2387"/>
      <c r="W407" s="2387"/>
      <c r="X407" s="2387"/>
      <c r="Y407" s="2387"/>
      <c r="Z407" s="2387"/>
      <c r="AA407" s="2387"/>
      <c r="AB407" s="2387"/>
      <c r="AC407" s="2387"/>
      <c r="AD407" s="2387"/>
      <c r="AE407" s="2387"/>
      <c r="AF407" s="2387"/>
      <c r="AG407" s="1327"/>
      <c r="AH407" s="1327"/>
      <c r="AI407" s="1327"/>
      <c r="AJ407" s="1327"/>
      <c r="AK407" s="1327"/>
      <c r="AL407" s="1323"/>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2"/>
      <c r="D408" s="125"/>
      <c r="E408" s="306"/>
      <c r="F408" s="2388"/>
      <c r="G408" s="2388"/>
      <c r="H408" s="2388"/>
      <c r="I408" s="2388"/>
      <c r="J408" s="2388"/>
      <c r="K408" s="2388"/>
      <c r="L408" s="2388"/>
      <c r="M408" s="2388"/>
      <c r="N408" s="2388"/>
      <c r="O408" s="2388"/>
      <c r="P408" s="2388"/>
      <c r="Q408" s="2388"/>
      <c r="R408" s="2388"/>
      <c r="S408" s="2388"/>
      <c r="T408" s="2388"/>
      <c r="U408" s="2388"/>
      <c r="V408" s="2388"/>
      <c r="W408" s="2388"/>
      <c r="X408" s="2388"/>
      <c r="Y408" s="2388"/>
      <c r="Z408" s="2388"/>
      <c r="AA408" s="2388"/>
      <c r="AB408" s="2388"/>
      <c r="AC408" s="2388"/>
      <c r="AD408" s="2388"/>
      <c r="AE408" s="2388"/>
      <c r="AF408" s="2388"/>
      <c r="AG408" s="680"/>
      <c r="AH408" s="680"/>
      <c r="AI408" s="680"/>
      <c r="AJ408" s="680"/>
      <c r="AK408" s="680"/>
      <c r="AL408" s="1317"/>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2"/>
      <c r="D409" s="125"/>
      <c r="E409" s="306"/>
      <c r="F409" s="2388"/>
      <c r="G409" s="2388"/>
      <c r="H409" s="2388"/>
      <c r="I409" s="2388"/>
      <c r="J409" s="2388"/>
      <c r="K409" s="2388"/>
      <c r="L409" s="2388"/>
      <c r="M409" s="2388"/>
      <c r="N409" s="2388"/>
      <c r="O409" s="2388"/>
      <c r="P409" s="2388"/>
      <c r="Q409" s="2388"/>
      <c r="R409" s="2388"/>
      <c r="S409" s="2388"/>
      <c r="T409" s="2388"/>
      <c r="U409" s="2388"/>
      <c r="V409" s="2388"/>
      <c r="W409" s="2388"/>
      <c r="X409" s="2388"/>
      <c r="Y409" s="2388"/>
      <c r="Z409" s="2388"/>
      <c r="AA409" s="2388"/>
      <c r="AB409" s="2388"/>
      <c r="AC409" s="2388"/>
      <c r="AD409" s="2388"/>
      <c r="AE409" s="2388"/>
      <c r="AF409" s="2388"/>
      <c r="AG409" s="680"/>
      <c r="AH409" s="680"/>
      <c r="AI409" s="680"/>
      <c r="AJ409" s="680"/>
      <c r="AK409" s="680"/>
      <c r="AL409" s="1317"/>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2"/>
      <c r="D410" s="125"/>
      <c r="E410" s="306"/>
      <c r="F410" s="2388"/>
      <c r="G410" s="2388"/>
      <c r="H410" s="2388"/>
      <c r="I410" s="2388"/>
      <c r="J410" s="2388"/>
      <c r="K410" s="2388"/>
      <c r="L410" s="2388"/>
      <c r="M410" s="2388"/>
      <c r="N410" s="2388"/>
      <c r="O410" s="2388"/>
      <c r="P410" s="2388"/>
      <c r="Q410" s="2388"/>
      <c r="R410" s="2388"/>
      <c r="S410" s="2388"/>
      <c r="T410" s="2388"/>
      <c r="U410" s="2388"/>
      <c r="V410" s="2388"/>
      <c r="W410" s="2388"/>
      <c r="X410" s="2388"/>
      <c r="Y410" s="2388"/>
      <c r="Z410" s="2388"/>
      <c r="AA410" s="2388"/>
      <c r="AB410" s="2388"/>
      <c r="AC410" s="2388"/>
      <c r="AD410" s="2388"/>
      <c r="AE410" s="2388"/>
      <c r="AF410" s="2388"/>
      <c r="AG410" s="680"/>
      <c r="AH410" s="680"/>
      <c r="AI410" s="680"/>
      <c r="AJ410" s="680"/>
      <c r="AK410" s="680"/>
      <c r="AL410" s="1317"/>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90" t="s">
        <v>136</v>
      </c>
      <c r="D411" s="1694"/>
      <c r="E411" s="306"/>
      <c r="F411" s="1182" t="s">
        <v>2014</v>
      </c>
      <c r="G411" s="1183"/>
      <c r="H411" s="1183"/>
      <c r="I411" s="1183"/>
      <c r="J411" s="1183"/>
      <c r="K411" s="1183"/>
      <c r="L411" s="1183"/>
      <c r="M411" s="1183"/>
      <c r="N411" s="1183"/>
      <c r="O411" s="1183"/>
      <c r="P411" s="1183"/>
      <c r="Q411" s="1183"/>
      <c r="R411" s="1183"/>
      <c r="S411" s="1183"/>
      <c r="T411" s="1183"/>
      <c r="U411" s="1183"/>
      <c r="V411" s="1183"/>
      <c r="W411" s="1183"/>
      <c r="X411" s="1183"/>
      <c r="Y411" s="1183"/>
      <c r="Z411" s="1183"/>
      <c r="AA411" s="1183"/>
      <c r="AB411" s="1183"/>
      <c r="AC411" s="1183"/>
      <c r="AD411" s="1183"/>
      <c r="AE411" s="162"/>
      <c r="AF411" s="2403" t="s">
        <v>355</v>
      </c>
      <c r="AG411" s="2403"/>
      <c r="AH411" s="2403"/>
      <c r="AI411" s="2403"/>
      <c r="AJ411" s="2403"/>
      <c r="AK411" s="2403"/>
      <c r="AL411" s="2404"/>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2"/>
      <c r="D412" s="125"/>
      <c r="E412" s="306"/>
      <c r="F412" s="162"/>
      <c r="G412" s="1183"/>
      <c r="H412" s="1183"/>
      <c r="I412" s="1183"/>
      <c r="J412" s="1183"/>
      <c r="K412" s="1183"/>
      <c r="L412" s="1183"/>
      <c r="M412" s="1183"/>
      <c r="N412" s="1183"/>
      <c r="O412" s="1183"/>
      <c r="P412" s="1183"/>
      <c r="Q412" s="1183"/>
      <c r="R412" s="1183"/>
      <c r="S412" s="1183"/>
      <c r="T412" s="1183"/>
      <c r="U412" s="1183"/>
      <c r="V412" s="1183"/>
      <c r="W412" s="1183"/>
      <c r="X412" s="1183"/>
      <c r="Y412" s="1183"/>
      <c r="Z412" s="1183"/>
      <c r="AA412" s="1183"/>
      <c r="AB412" s="1183"/>
      <c r="AC412" s="1183"/>
      <c r="AD412" s="1183"/>
      <c r="AE412" s="162"/>
      <c r="AF412" s="162"/>
      <c r="AG412" s="162"/>
      <c r="AH412" s="162"/>
      <c r="AI412" s="162"/>
      <c r="AJ412" s="162"/>
      <c r="AK412" s="162"/>
      <c r="AL412" s="1193"/>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90" t="s">
        <v>136</v>
      </c>
      <c r="D413" s="1694"/>
      <c r="E413" s="350"/>
      <c r="F413" s="1182" t="s">
        <v>1068</v>
      </c>
      <c r="G413" s="1183"/>
      <c r="H413" s="1183"/>
      <c r="I413" s="1183"/>
      <c r="J413" s="1183"/>
      <c r="K413" s="1183"/>
      <c r="L413" s="1183"/>
      <c r="M413" s="1183"/>
      <c r="N413" s="1183"/>
      <c r="O413" s="1183"/>
      <c r="P413" s="1183"/>
      <c r="Q413" s="1183"/>
      <c r="R413" s="1183"/>
      <c r="S413" s="1183"/>
      <c r="T413" s="1183"/>
      <c r="U413" s="1183"/>
      <c r="V413" s="1183"/>
      <c r="W413" s="1183"/>
      <c r="X413" s="1183"/>
      <c r="Y413" s="1183"/>
      <c r="Z413" s="1183"/>
      <c r="AA413" s="1183"/>
      <c r="AB413" s="1183"/>
      <c r="AC413" s="1183"/>
      <c r="AD413" s="1183"/>
      <c r="AE413" s="162"/>
      <c r="AF413" s="2403" t="s">
        <v>1066</v>
      </c>
      <c r="AG413" s="2403"/>
      <c r="AH413" s="2403"/>
      <c r="AI413" s="2403"/>
      <c r="AJ413" s="2403"/>
      <c r="AK413" s="2403"/>
      <c r="AL413" s="2404"/>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5"/>
      <c r="D414" s="1203"/>
      <c r="E414" s="1190"/>
      <c r="F414" s="1203"/>
      <c r="G414" s="1191"/>
      <c r="H414" s="1191"/>
      <c r="I414" s="1191"/>
      <c r="J414" s="1191"/>
      <c r="K414" s="1191"/>
      <c r="L414" s="1191"/>
      <c r="M414" s="1191"/>
      <c r="N414" s="1191"/>
      <c r="O414" s="1191"/>
      <c r="P414" s="1191"/>
      <c r="Q414" s="1191"/>
      <c r="R414" s="1191"/>
      <c r="S414" s="1191"/>
      <c r="T414" s="1191"/>
      <c r="U414" s="1191"/>
      <c r="V414" s="1191"/>
      <c r="W414" s="1191"/>
      <c r="X414" s="1191"/>
      <c r="Y414" s="1191"/>
      <c r="Z414" s="1191"/>
      <c r="AA414" s="1191"/>
      <c r="AB414" s="1191"/>
      <c r="AC414" s="1191"/>
      <c r="AD414" s="1191"/>
      <c r="AE414" s="1203"/>
      <c r="AF414" s="1203"/>
      <c r="AG414" s="1203"/>
      <c r="AH414" s="1203"/>
      <c r="AI414" s="1203"/>
      <c r="AJ414" s="1203"/>
      <c r="AK414" s="1203"/>
      <c r="AL414" s="1204"/>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3"/>
      <c r="H415" s="533"/>
      <c r="I415" s="533"/>
      <c r="J415" s="533"/>
      <c r="K415" s="533"/>
      <c r="L415" s="533"/>
      <c r="M415" s="533"/>
      <c r="N415" s="533"/>
      <c r="O415" s="533"/>
      <c r="P415" s="533"/>
      <c r="Q415" s="533"/>
      <c r="R415" s="533"/>
      <c r="S415" s="533"/>
      <c r="T415" s="533"/>
      <c r="U415" s="533"/>
      <c r="V415" s="533"/>
      <c r="W415" s="533"/>
      <c r="X415" s="533"/>
      <c r="Y415" s="533"/>
      <c r="Z415" s="533"/>
      <c r="AA415" s="533"/>
      <c r="AB415" s="533"/>
      <c r="AC415" s="533"/>
      <c r="AD415" s="533"/>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90" t="s">
        <v>136</v>
      </c>
      <c r="D416" s="1694"/>
      <c r="E416" s="1186" t="s">
        <v>210</v>
      </c>
      <c r="F416" s="2387" t="s">
        <v>2019</v>
      </c>
      <c r="G416" s="2387"/>
      <c r="H416" s="2387"/>
      <c r="I416" s="2387"/>
      <c r="J416" s="2387"/>
      <c r="K416" s="2387"/>
      <c r="L416" s="2387"/>
      <c r="M416" s="2387"/>
      <c r="N416" s="2387"/>
      <c r="O416" s="2387"/>
      <c r="P416" s="2387"/>
      <c r="Q416" s="2387"/>
      <c r="R416" s="2387"/>
      <c r="S416" s="2387"/>
      <c r="T416" s="2387"/>
      <c r="U416" s="2387"/>
      <c r="V416" s="2387"/>
      <c r="W416" s="2387"/>
      <c r="X416" s="2387"/>
      <c r="Y416" s="2387"/>
      <c r="Z416" s="2387"/>
      <c r="AA416" s="2387"/>
      <c r="AB416" s="2387"/>
      <c r="AC416" s="2387"/>
      <c r="AD416" s="2387"/>
      <c r="AE416" s="2387"/>
      <c r="AF416" s="1240"/>
      <c r="AG416" s="1328"/>
      <c r="AH416" s="1185"/>
      <c r="AI416" s="1185"/>
      <c r="AJ416" s="1185"/>
      <c r="AK416" s="1185"/>
      <c r="AL416" s="1213"/>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6"/>
      <c r="D417" s="162"/>
      <c r="E417" s="162"/>
      <c r="F417" s="2388"/>
      <c r="G417" s="2388"/>
      <c r="H417" s="2388"/>
      <c r="I417" s="2388"/>
      <c r="J417" s="2388"/>
      <c r="K417" s="2388"/>
      <c r="L417" s="2388"/>
      <c r="M417" s="2388"/>
      <c r="N417" s="2388"/>
      <c r="O417" s="2388"/>
      <c r="P417" s="2388"/>
      <c r="Q417" s="2388"/>
      <c r="R417" s="2388"/>
      <c r="S417" s="2388"/>
      <c r="T417" s="2388"/>
      <c r="U417" s="2388"/>
      <c r="V417" s="2388"/>
      <c r="W417" s="2388"/>
      <c r="X417" s="2388"/>
      <c r="Y417" s="2388"/>
      <c r="Z417" s="2388"/>
      <c r="AA417" s="2388"/>
      <c r="AB417" s="2388"/>
      <c r="AC417" s="2388"/>
      <c r="AD417" s="2388"/>
      <c r="AE417" s="2388"/>
      <c r="AF417" s="2405" t="s">
        <v>355</v>
      </c>
      <c r="AG417" s="2405"/>
      <c r="AH417" s="2405"/>
      <c r="AI417" s="2405"/>
      <c r="AJ417" s="2405"/>
      <c r="AK417" s="2405"/>
      <c r="AL417" s="2406"/>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2"/>
      <c r="D418" s="125"/>
      <c r="E418" s="306"/>
      <c r="F418" s="2388"/>
      <c r="G418" s="2388"/>
      <c r="H418" s="2388"/>
      <c r="I418" s="2388"/>
      <c r="J418" s="2388"/>
      <c r="K418" s="2388"/>
      <c r="L418" s="2388"/>
      <c r="M418" s="2388"/>
      <c r="N418" s="2388"/>
      <c r="O418" s="2388"/>
      <c r="P418" s="2388"/>
      <c r="Q418" s="2388"/>
      <c r="R418" s="2388"/>
      <c r="S418" s="2388"/>
      <c r="T418" s="2388"/>
      <c r="U418" s="2388"/>
      <c r="V418" s="2388"/>
      <c r="W418" s="2388"/>
      <c r="X418" s="2388"/>
      <c r="Y418" s="2388"/>
      <c r="Z418" s="2388"/>
      <c r="AA418" s="2388"/>
      <c r="AB418" s="2388"/>
      <c r="AC418" s="2388"/>
      <c r="AD418" s="2388"/>
      <c r="AE418" s="2388"/>
      <c r="AF418" s="162"/>
      <c r="AG418" s="162"/>
      <c r="AH418" s="162"/>
      <c r="AI418" s="162"/>
      <c r="AJ418" s="162"/>
      <c r="AK418" s="162"/>
      <c r="AL418" s="1193"/>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7"/>
      <c r="D419" s="1198"/>
      <c r="E419" s="1199"/>
      <c r="F419" s="2389"/>
      <c r="G419" s="2389"/>
      <c r="H419" s="2389"/>
      <c r="I419" s="2389"/>
      <c r="J419" s="2389"/>
      <c r="K419" s="2389"/>
      <c r="L419" s="2389"/>
      <c r="M419" s="2389"/>
      <c r="N419" s="2389"/>
      <c r="O419" s="2389"/>
      <c r="P419" s="2389"/>
      <c r="Q419" s="2389"/>
      <c r="R419" s="2389"/>
      <c r="S419" s="2389"/>
      <c r="T419" s="2389"/>
      <c r="U419" s="2389"/>
      <c r="V419" s="2389"/>
      <c r="W419" s="2389"/>
      <c r="X419" s="2389"/>
      <c r="Y419" s="2389"/>
      <c r="Z419" s="2389"/>
      <c r="AA419" s="2389"/>
      <c r="AB419" s="2389"/>
      <c r="AC419" s="2389"/>
      <c r="AD419" s="2389"/>
      <c r="AE419" s="2389"/>
      <c r="AF419" s="1202"/>
      <c r="AG419" s="1201"/>
      <c r="AH419" s="1203"/>
      <c r="AI419" s="1203"/>
      <c r="AJ419" s="1203"/>
      <c r="AK419" s="1203"/>
      <c r="AL419" s="1204"/>
      <c r="AM419" s="16"/>
      <c r="AN419" s="439"/>
    </row>
    <row r="420" spans="1:153">
      <c r="A420" s="8"/>
      <c r="E420" s="306"/>
      <c r="F420" s="533"/>
      <c r="G420" s="533"/>
      <c r="H420" s="533"/>
      <c r="I420" s="533"/>
      <c r="J420" s="533"/>
      <c r="K420" s="533"/>
      <c r="L420" s="533"/>
      <c r="M420" s="533"/>
      <c r="N420" s="533"/>
      <c r="O420" s="533"/>
      <c r="P420" s="533"/>
      <c r="Q420" s="533"/>
      <c r="R420" s="533"/>
      <c r="S420" s="533"/>
      <c r="T420" s="533"/>
      <c r="U420" s="533"/>
      <c r="V420" s="533"/>
      <c r="W420" s="533"/>
      <c r="X420" s="533"/>
      <c r="Y420" s="533"/>
      <c r="Z420" s="533"/>
      <c r="AA420" s="533"/>
      <c r="AB420" s="533"/>
      <c r="AC420" s="533"/>
      <c r="AD420" s="533"/>
      <c r="AE420" s="8"/>
      <c r="AF420" s="63"/>
      <c r="AG420" s="8"/>
      <c r="AH420" s="46"/>
      <c r="AI420" s="46"/>
      <c r="AJ420" s="46"/>
      <c r="AK420" s="46"/>
      <c r="AL420" s="46"/>
      <c r="AM420" s="16"/>
    </row>
    <row r="421" spans="1:153" ht="12.75" customHeight="1">
      <c r="A421" s="8"/>
      <c r="C421" s="1206"/>
      <c r="D421" s="1207"/>
      <c r="E421" s="1186" t="s">
        <v>211</v>
      </c>
      <c r="F421" s="2407" t="s">
        <v>2021</v>
      </c>
      <c r="G421" s="2407"/>
      <c r="H421" s="2407"/>
      <c r="I421" s="2407"/>
      <c r="J421" s="2407"/>
      <c r="K421" s="2407"/>
      <c r="L421" s="2407"/>
      <c r="M421" s="2407"/>
      <c r="N421" s="2407"/>
      <c r="O421" s="2407"/>
      <c r="P421" s="2407"/>
      <c r="Q421" s="2407"/>
      <c r="R421" s="2407"/>
      <c r="S421" s="2407"/>
      <c r="T421" s="2407"/>
      <c r="U421" s="2407"/>
      <c r="V421" s="2407"/>
      <c r="W421" s="2407"/>
      <c r="X421" s="2407"/>
      <c r="Y421" s="2407"/>
      <c r="Z421" s="2407"/>
      <c r="AA421" s="2407"/>
      <c r="AB421" s="2407"/>
      <c r="AC421" s="2407"/>
      <c r="AD421" s="2407"/>
      <c r="AE421" s="2407"/>
      <c r="AF421" s="1207"/>
      <c r="AG421" s="1207"/>
      <c r="AH421" s="1207"/>
      <c r="AI421" s="1207"/>
      <c r="AJ421" s="1207"/>
      <c r="AK421" s="1207"/>
      <c r="AL421" s="1208"/>
      <c r="AM421" s="16"/>
    </row>
    <row r="422" spans="1:153">
      <c r="A422" s="8"/>
      <c r="C422" s="1192"/>
      <c r="D422" s="125"/>
      <c r="E422" s="306"/>
      <c r="F422" s="2408"/>
      <c r="G422" s="2408"/>
      <c r="H422" s="2408"/>
      <c r="I422" s="2408"/>
      <c r="J422" s="2408"/>
      <c r="K422" s="2408"/>
      <c r="L422" s="2408"/>
      <c r="M422" s="2408"/>
      <c r="N422" s="2408"/>
      <c r="O422" s="2408"/>
      <c r="P422" s="2408"/>
      <c r="Q422" s="2408"/>
      <c r="R422" s="2408"/>
      <c r="S422" s="2408"/>
      <c r="T422" s="2408"/>
      <c r="U422" s="2408"/>
      <c r="V422" s="2408"/>
      <c r="W422" s="2408"/>
      <c r="X422" s="2408"/>
      <c r="Y422" s="2408"/>
      <c r="Z422" s="2408"/>
      <c r="AA422" s="2408"/>
      <c r="AB422" s="2408"/>
      <c r="AC422" s="2408"/>
      <c r="AD422" s="2408"/>
      <c r="AE422" s="2408"/>
      <c r="AF422" s="62"/>
      <c r="AG422" s="71"/>
      <c r="AH422" s="162"/>
      <c r="AI422" s="162"/>
      <c r="AJ422" s="162"/>
      <c r="AK422" s="162"/>
      <c r="AL422" s="1193"/>
      <c r="AM422" s="16"/>
    </row>
    <row r="423" spans="1:153" s="46" customFormat="1" ht="12.75" customHeight="1">
      <c r="A423" s="8"/>
      <c r="B423" s="65"/>
      <c r="C423" s="1192"/>
      <c r="D423" s="125"/>
      <c r="E423" s="306"/>
      <c r="F423" s="2408"/>
      <c r="G423" s="2408"/>
      <c r="H423" s="2408"/>
      <c r="I423" s="2408"/>
      <c r="J423" s="2408"/>
      <c r="K423" s="2408"/>
      <c r="L423" s="2408"/>
      <c r="M423" s="2408"/>
      <c r="N423" s="2408"/>
      <c r="O423" s="2408"/>
      <c r="P423" s="2408"/>
      <c r="Q423" s="2408"/>
      <c r="R423" s="2408"/>
      <c r="S423" s="2408"/>
      <c r="T423" s="2408"/>
      <c r="U423" s="2408"/>
      <c r="V423" s="2408"/>
      <c r="W423" s="2408"/>
      <c r="X423" s="2408"/>
      <c r="Y423" s="2408"/>
      <c r="Z423" s="2408"/>
      <c r="AA423" s="2408"/>
      <c r="AB423" s="2408"/>
      <c r="AC423" s="2408"/>
      <c r="AD423" s="2408"/>
      <c r="AE423" s="2408"/>
      <c r="AF423" s="162"/>
      <c r="AG423" s="162"/>
      <c r="AH423" s="162"/>
      <c r="AI423" s="162"/>
      <c r="AJ423" s="162"/>
      <c r="AK423" s="162"/>
      <c r="AL423" s="1193"/>
      <c r="AM423" s="16"/>
      <c r="AN423" s="439"/>
    </row>
    <row r="424" spans="1:153" s="46" customFormat="1" ht="12.75" customHeight="1">
      <c r="A424" s="8"/>
      <c r="B424" s="65"/>
      <c r="C424" s="1196"/>
      <c r="D424" s="162"/>
      <c r="E424" s="162"/>
      <c r="F424" s="2408"/>
      <c r="G424" s="2408"/>
      <c r="H424" s="2408"/>
      <c r="I424" s="2408"/>
      <c r="J424" s="2408"/>
      <c r="K424" s="2408"/>
      <c r="L424" s="2408"/>
      <c r="M424" s="2408"/>
      <c r="N424" s="2408"/>
      <c r="O424" s="2408"/>
      <c r="P424" s="2408"/>
      <c r="Q424" s="2408"/>
      <c r="R424" s="2408"/>
      <c r="S424" s="2408"/>
      <c r="T424" s="2408"/>
      <c r="U424" s="2408"/>
      <c r="V424" s="2408"/>
      <c r="W424" s="2408"/>
      <c r="X424" s="2408"/>
      <c r="Y424" s="2408"/>
      <c r="Z424" s="2408"/>
      <c r="AA424" s="2408"/>
      <c r="AB424" s="2408"/>
      <c r="AC424" s="2408"/>
      <c r="AD424" s="2408"/>
      <c r="AE424" s="2408"/>
      <c r="AF424" s="162"/>
      <c r="AG424" s="162"/>
      <c r="AH424" s="162"/>
      <c r="AI424" s="162"/>
      <c r="AJ424" s="162"/>
      <c r="AK424" s="162"/>
      <c r="AL424" s="1193"/>
      <c r="AM424" s="16"/>
      <c r="AN424" s="439"/>
    </row>
    <row r="425" spans="1:153" s="46" customFormat="1" ht="12.75" customHeight="1">
      <c r="A425" s="8"/>
      <c r="B425" s="65"/>
      <c r="C425" s="2390" t="s">
        <v>136</v>
      </c>
      <c r="D425" s="1694"/>
      <c r="E425" s="306"/>
      <c r="F425" s="1209" t="s">
        <v>2018</v>
      </c>
      <c r="G425" s="1210"/>
      <c r="H425" s="1210"/>
      <c r="I425" s="1210"/>
      <c r="J425" s="1210"/>
      <c r="K425" s="1210"/>
      <c r="L425" s="1210"/>
      <c r="M425" s="1210"/>
      <c r="N425" s="1210"/>
      <c r="O425" s="1210"/>
      <c r="P425" s="1210"/>
      <c r="Q425" s="1210"/>
      <c r="R425" s="1210"/>
      <c r="S425" s="1210"/>
      <c r="T425" s="1210"/>
      <c r="U425" s="1210"/>
      <c r="V425" s="1210"/>
      <c r="W425" s="1210"/>
      <c r="X425" s="1210"/>
      <c r="Y425" s="1210"/>
      <c r="Z425" s="1210"/>
      <c r="AA425" s="1210"/>
      <c r="AB425" s="1210"/>
      <c r="AC425" s="1210"/>
      <c r="AD425" s="1210"/>
      <c r="AE425" s="162"/>
      <c r="AF425" s="2405" t="s">
        <v>355</v>
      </c>
      <c r="AG425" s="2405"/>
      <c r="AH425" s="2405"/>
      <c r="AI425" s="2405"/>
      <c r="AJ425" s="2405"/>
      <c r="AK425" s="2405"/>
      <c r="AL425" s="2406"/>
      <c r="AM425" s="16"/>
      <c r="AN425" s="439"/>
      <c r="AO425" s="162"/>
      <c r="AP425" s="162"/>
    </row>
    <row r="426" spans="1:153" s="46" customFormat="1" ht="12.75" customHeight="1">
      <c r="A426" s="8"/>
      <c r="B426" s="65"/>
      <c r="C426" s="1196"/>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3"/>
      <c r="AM426" s="16"/>
      <c r="AN426" s="439"/>
      <c r="AO426" s="162"/>
      <c r="AP426" s="162"/>
    </row>
    <row r="427" spans="1:153" s="46" customFormat="1" ht="12.75" customHeight="1">
      <c r="A427" s="8"/>
      <c r="B427" s="65"/>
      <c r="C427" s="2390" t="s">
        <v>136</v>
      </c>
      <c r="D427" s="1694"/>
      <c r="E427" s="350"/>
      <c r="F427" s="1209" t="s">
        <v>1069</v>
      </c>
      <c r="G427" s="1210"/>
      <c r="H427" s="1210"/>
      <c r="I427" s="1210"/>
      <c r="J427" s="1210"/>
      <c r="K427" s="1210"/>
      <c r="L427" s="1210"/>
      <c r="M427" s="1210"/>
      <c r="N427" s="1210"/>
      <c r="O427" s="1210"/>
      <c r="P427" s="1210"/>
      <c r="Q427" s="1210"/>
      <c r="R427" s="1210"/>
      <c r="S427" s="1210"/>
      <c r="T427" s="1210"/>
      <c r="U427" s="1210"/>
      <c r="V427" s="1210"/>
      <c r="W427" s="1210"/>
      <c r="X427" s="1210"/>
      <c r="Y427" s="1210"/>
      <c r="Z427" s="1210"/>
      <c r="AA427" s="1210"/>
      <c r="AB427" s="1210"/>
      <c r="AC427" s="1210"/>
      <c r="AD427" s="1210"/>
      <c r="AE427" s="162"/>
      <c r="AF427" s="2405" t="s">
        <v>1066</v>
      </c>
      <c r="AG427" s="2405"/>
      <c r="AH427" s="2405"/>
      <c r="AI427" s="2405"/>
      <c r="AJ427" s="2405"/>
      <c r="AK427" s="2405"/>
      <c r="AL427" s="2406"/>
      <c r="AM427" s="16"/>
      <c r="AN427" s="439"/>
      <c r="AO427" s="473"/>
      <c r="AP427" s="473"/>
      <c r="BC427" s="65"/>
    </row>
    <row r="428" spans="1:153" s="46" customFormat="1" ht="12.75" customHeight="1">
      <c r="A428" s="8"/>
      <c r="B428" s="65"/>
      <c r="C428" s="1197"/>
      <c r="D428" s="1198"/>
      <c r="E428" s="1199"/>
      <c r="F428" s="1211"/>
      <c r="G428" s="1212"/>
      <c r="H428" s="1212"/>
      <c r="I428" s="1212"/>
      <c r="J428" s="1212"/>
      <c r="K428" s="1212"/>
      <c r="L428" s="1212"/>
      <c r="M428" s="1212"/>
      <c r="N428" s="1212"/>
      <c r="O428" s="1212"/>
      <c r="P428" s="1212"/>
      <c r="Q428" s="1212"/>
      <c r="R428" s="1212"/>
      <c r="S428" s="1212"/>
      <c r="T428" s="1212"/>
      <c r="U428" s="1212"/>
      <c r="V428" s="1212"/>
      <c r="W428" s="1212"/>
      <c r="X428" s="1212"/>
      <c r="Y428" s="1212"/>
      <c r="Z428" s="1212"/>
      <c r="AA428" s="1212"/>
      <c r="AB428" s="1212"/>
      <c r="AC428" s="1212"/>
      <c r="AD428" s="1212"/>
      <c r="AE428" s="1201"/>
      <c r="AF428" s="1202"/>
      <c r="AG428" s="1201"/>
      <c r="AH428" s="1203"/>
      <c r="AI428" s="1203"/>
      <c r="AJ428" s="1203"/>
      <c r="AK428" s="1203"/>
      <c r="AL428" s="1204"/>
      <c r="AM428" s="16"/>
      <c r="AN428" s="439"/>
      <c r="AO428" s="162"/>
      <c r="AP428" s="162"/>
    </row>
    <row r="429" spans="1:153" s="46" customFormat="1" ht="12.75" customHeight="1">
      <c r="A429" s="8"/>
      <c r="B429" s="65"/>
      <c r="C429" s="65"/>
      <c r="D429" s="65"/>
      <c r="E429" s="306"/>
      <c r="F429" s="547"/>
      <c r="G429" s="546"/>
      <c r="H429" s="546"/>
      <c r="I429" s="546"/>
      <c r="J429" s="546"/>
      <c r="K429" s="546"/>
      <c r="L429" s="546"/>
      <c r="M429" s="546"/>
      <c r="N429" s="546"/>
      <c r="O429" s="546"/>
      <c r="P429" s="546"/>
      <c r="Q429" s="546"/>
      <c r="R429" s="546"/>
      <c r="S429" s="546"/>
      <c r="T429" s="546"/>
      <c r="U429" s="546"/>
      <c r="V429" s="546"/>
      <c r="W429" s="546"/>
      <c r="X429" s="546"/>
      <c r="Y429" s="546"/>
      <c r="Z429" s="546"/>
      <c r="AA429" s="546"/>
      <c r="AB429" s="546"/>
      <c r="AC429" s="546"/>
      <c r="AD429" s="546"/>
      <c r="AE429" s="8"/>
      <c r="AF429" s="63"/>
      <c r="AG429" s="8"/>
      <c r="AM429" s="16"/>
      <c r="AN429" s="439"/>
      <c r="AO429" s="162"/>
      <c r="AP429" s="162"/>
    </row>
    <row r="430" spans="1:153" s="46" customFormat="1" ht="12.75" customHeight="1">
      <c r="A430" s="8"/>
      <c r="B430" s="65"/>
      <c r="C430" s="554" t="s">
        <v>1672</v>
      </c>
      <c r="D430" s="65"/>
      <c r="E430" s="306"/>
      <c r="F430" s="546"/>
      <c r="G430" s="546"/>
      <c r="H430" s="546"/>
      <c r="I430" s="546"/>
      <c r="J430" s="546"/>
      <c r="K430" s="546"/>
      <c r="L430" s="546"/>
      <c r="M430" s="546"/>
      <c r="N430" s="546"/>
      <c r="O430" s="546"/>
      <c r="P430" s="546"/>
      <c r="Q430" s="546"/>
      <c r="R430" s="546"/>
      <c r="S430" s="546"/>
      <c r="T430" s="546"/>
      <c r="U430" s="546"/>
      <c r="V430" s="546"/>
      <c r="W430" s="546"/>
      <c r="X430" s="546"/>
      <c r="Y430" s="546"/>
      <c r="Z430" s="546"/>
      <c r="AA430" s="546"/>
      <c r="AB430" s="546"/>
      <c r="AC430" s="546"/>
      <c r="AD430" s="546"/>
      <c r="AE430" s="8"/>
      <c r="AF430" s="63"/>
      <c r="AG430" s="8"/>
      <c r="AM430" s="16"/>
      <c r="AN430" s="439"/>
      <c r="AO430" s="162"/>
      <c r="AP430" s="162"/>
    </row>
    <row r="431" spans="1:153" s="46" customFormat="1" ht="12.75" customHeight="1">
      <c r="A431" s="8"/>
      <c r="B431" s="118"/>
      <c r="C431" s="1184"/>
      <c r="D431" s="1185"/>
      <c r="E431" s="1186" t="s">
        <v>736</v>
      </c>
      <c r="F431" s="2387" t="s">
        <v>2022</v>
      </c>
      <c r="G431" s="2387"/>
      <c r="H431" s="2387"/>
      <c r="I431" s="2387"/>
      <c r="J431" s="2387"/>
      <c r="K431" s="2387"/>
      <c r="L431" s="2387"/>
      <c r="M431" s="2387"/>
      <c r="N431" s="2387"/>
      <c r="O431" s="2387"/>
      <c r="P431" s="2387"/>
      <c r="Q431" s="2387"/>
      <c r="R431" s="2387"/>
      <c r="S431" s="2387"/>
      <c r="T431" s="2387"/>
      <c r="U431" s="2387"/>
      <c r="V431" s="2387"/>
      <c r="W431" s="2387"/>
      <c r="X431" s="2387"/>
      <c r="Y431" s="2387"/>
      <c r="Z431" s="2387"/>
      <c r="AA431" s="2387"/>
      <c r="AB431" s="2387"/>
      <c r="AC431" s="2387"/>
      <c r="AD431" s="2387"/>
      <c r="AE431" s="2387"/>
      <c r="AF431" s="1185"/>
      <c r="AG431" s="1185"/>
      <c r="AH431" s="1185"/>
      <c r="AI431" s="1185"/>
      <c r="AJ431" s="1185"/>
      <c r="AK431" s="1185"/>
      <c r="AL431" s="1213"/>
      <c r="AM431" s="16"/>
      <c r="AN431" s="439"/>
      <c r="AO431" s="162"/>
      <c r="AP431" s="162"/>
    </row>
    <row r="432" spans="1:153" s="137" customFormat="1" ht="12.75" customHeight="1">
      <c r="A432" s="8"/>
      <c r="B432" s="118"/>
      <c r="C432" s="1214"/>
      <c r="D432" s="1215"/>
      <c r="E432" s="306"/>
      <c r="F432" s="2388"/>
      <c r="G432" s="2388"/>
      <c r="H432" s="2388"/>
      <c r="I432" s="2388"/>
      <c r="J432" s="2388"/>
      <c r="K432" s="2388"/>
      <c r="L432" s="2388"/>
      <c r="M432" s="2388"/>
      <c r="N432" s="2388"/>
      <c r="O432" s="2388"/>
      <c r="P432" s="2388"/>
      <c r="Q432" s="2388"/>
      <c r="R432" s="2388"/>
      <c r="S432" s="2388"/>
      <c r="T432" s="2388"/>
      <c r="U432" s="2388"/>
      <c r="V432" s="2388"/>
      <c r="W432" s="2388"/>
      <c r="X432" s="2388"/>
      <c r="Y432" s="2388"/>
      <c r="Z432" s="2388"/>
      <c r="AA432" s="2388"/>
      <c r="AB432" s="2388"/>
      <c r="AC432" s="2388"/>
      <c r="AD432" s="2388"/>
      <c r="AE432" s="2388"/>
      <c r="AF432" s="62"/>
      <c r="AG432" s="71"/>
      <c r="AH432" s="162"/>
      <c r="AI432" s="162"/>
      <c r="AJ432" s="162"/>
      <c r="AK432" s="162"/>
      <c r="AL432" s="1193"/>
      <c r="AM432" s="16"/>
      <c r="AN432" s="1138"/>
      <c r="AO432" s="162"/>
      <c r="AP432" s="162"/>
    </row>
    <row r="433" spans="1:60" s="46" customFormat="1" ht="12.6" customHeight="1">
      <c r="A433" s="8"/>
      <c r="B433" s="118"/>
      <c r="C433" s="1214"/>
      <c r="D433" s="1215"/>
      <c r="E433" s="306"/>
      <c r="F433" s="2388"/>
      <c r="G433" s="2388"/>
      <c r="H433" s="2388"/>
      <c r="I433" s="2388"/>
      <c r="J433" s="2388"/>
      <c r="K433" s="2388"/>
      <c r="L433" s="2388"/>
      <c r="M433" s="2388"/>
      <c r="N433" s="2388"/>
      <c r="O433" s="2388"/>
      <c r="P433" s="2388"/>
      <c r="Q433" s="2388"/>
      <c r="R433" s="2388"/>
      <c r="S433" s="2388"/>
      <c r="T433" s="2388"/>
      <c r="U433" s="2388"/>
      <c r="V433" s="2388"/>
      <c r="W433" s="2388"/>
      <c r="X433" s="2388"/>
      <c r="Y433" s="2388"/>
      <c r="Z433" s="2388"/>
      <c r="AA433" s="2388"/>
      <c r="AB433" s="2388"/>
      <c r="AC433" s="2388"/>
      <c r="AD433" s="2388"/>
      <c r="AE433" s="2388"/>
      <c r="AF433" s="162"/>
      <c r="AG433" s="162"/>
      <c r="AH433" s="162"/>
      <c r="AI433" s="162"/>
      <c r="AJ433" s="162"/>
      <c r="AK433" s="162"/>
      <c r="AL433" s="1193"/>
      <c r="AM433" s="16"/>
      <c r="AN433" s="439"/>
      <c r="AO433" s="162"/>
      <c r="AP433" s="162"/>
    </row>
    <row r="434" spans="1:60" s="46" customFormat="1" ht="12.75" customHeight="1">
      <c r="A434" s="8"/>
      <c r="B434" s="118"/>
      <c r="C434" s="2390" t="s">
        <v>136</v>
      </c>
      <c r="D434" s="1694"/>
      <c r="E434" s="306"/>
      <c r="F434" s="1182" t="s">
        <v>2020</v>
      </c>
      <c r="G434" s="1216"/>
      <c r="H434" s="1216"/>
      <c r="I434" s="1216"/>
      <c r="J434" s="1216"/>
      <c r="K434" s="1216"/>
      <c r="L434" s="1216"/>
      <c r="M434" s="1216"/>
      <c r="N434" s="1216"/>
      <c r="O434" s="1216"/>
      <c r="P434" s="1216"/>
      <c r="Q434" s="1216"/>
      <c r="R434" s="1216"/>
      <c r="S434" s="1216"/>
      <c r="T434" s="1216"/>
      <c r="U434" s="1216"/>
      <c r="V434" s="1216"/>
      <c r="W434" s="1216"/>
      <c r="X434" s="1216"/>
      <c r="Y434" s="1216"/>
      <c r="Z434" s="1216"/>
      <c r="AA434" s="1216"/>
      <c r="AB434" s="1216"/>
      <c r="AC434" s="1216"/>
      <c r="AD434" s="1216"/>
      <c r="AE434" s="162"/>
      <c r="AF434" s="2405" t="s">
        <v>355</v>
      </c>
      <c r="AG434" s="2405"/>
      <c r="AH434" s="2405"/>
      <c r="AI434" s="2405"/>
      <c r="AJ434" s="2405"/>
      <c r="AK434" s="2405"/>
      <c r="AL434" s="2406"/>
      <c r="AM434" s="16"/>
      <c r="AN434" s="439"/>
      <c r="AO434" s="162"/>
      <c r="AP434" s="162"/>
    </row>
    <row r="435" spans="1:60" s="46" customFormat="1" ht="12.75" customHeight="1">
      <c r="A435" s="8"/>
      <c r="B435" s="118"/>
      <c r="C435" s="1427"/>
      <c r="D435" s="1224"/>
      <c r="E435" s="1190"/>
      <c r="F435" s="1428"/>
      <c r="G435" s="1249"/>
      <c r="H435" s="1249"/>
      <c r="I435" s="1249"/>
      <c r="J435" s="1249"/>
      <c r="K435" s="1249"/>
      <c r="L435" s="1249"/>
      <c r="M435" s="1249"/>
      <c r="N435" s="1249"/>
      <c r="O435" s="1249"/>
      <c r="P435" s="1249"/>
      <c r="Q435" s="1249"/>
      <c r="R435" s="1249"/>
      <c r="S435" s="1249"/>
      <c r="T435" s="1249"/>
      <c r="U435" s="1249"/>
      <c r="V435" s="1249"/>
      <c r="W435" s="1249"/>
      <c r="X435" s="1249"/>
      <c r="Y435" s="1249"/>
      <c r="Z435" s="1249"/>
      <c r="AA435" s="1249"/>
      <c r="AB435" s="1249"/>
      <c r="AC435" s="1249"/>
      <c r="AD435" s="1249"/>
      <c r="AE435" s="1241"/>
      <c r="AF435" s="1226"/>
      <c r="AG435" s="1226"/>
      <c r="AH435" s="1226"/>
      <c r="AI435" s="1226"/>
      <c r="AJ435" s="1226"/>
      <c r="AK435" s="1226"/>
      <c r="AL435" s="1426"/>
      <c r="AM435" s="16"/>
      <c r="AN435" s="439"/>
      <c r="AO435" s="162"/>
      <c r="AP435" s="162"/>
    </row>
    <row r="436" spans="1:60" s="46" customFormat="1" ht="12.75" customHeight="1">
      <c r="A436" s="8"/>
      <c r="B436" s="118"/>
      <c r="C436" s="390"/>
      <c r="D436" s="390"/>
      <c r="E436" s="350"/>
      <c r="F436" s="543"/>
      <c r="G436" s="533"/>
      <c r="H436" s="533"/>
      <c r="I436" s="533"/>
      <c r="J436" s="533"/>
      <c r="K436" s="533"/>
      <c r="L436" s="533"/>
      <c r="M436" s="533"/>
      <c r="N436" s="533"/>
      <c r="O436" s="533"/>
      <c r="P436" s="533"/>
      <c r="Q436" s="533"/>
      <c r="R436" s="533"/>
      <c r="S436" s="533"/>
      <c r="T436" s="533"/>
      <c r="U436" s="533"/>
      <c r="V436" s="533"/>
      <c r="W436" s="533"/>
      <c r="X436" s="533"/>
      <c r="Y436" s="533"/>
      <c r="Z436" s="533"/>
      <c r="AA436" s="533"/>
      <c r="AB436" s="533"/>
      <c r="AC436" s="533"/>
      <c r="AD436" s="533"/>
      <c r="AE436" s="8"/>
      <c r="AM436" s="16"/>
      <c r="AN436" s="439"/>
      <c r="AO436" s="162"/>
      <c r="AP436" s="162"/>
    </row>
    <row r="437" spans="1:60" ht="13.35" customHeight="1">
      <c r="A437" s="8"/>
      <c r="B437" s="118"/>
      <c r="C437" s="1206"/>
      <c r="D437" s="1207"/>
      <c r="E437" s="1186" t="s">
        <v>733</v>
      </c>
      <c r="F437" s="2387" t="s">
        <v>2023</v>
      </c>
      <c r="G437" s="2387"/>
      <c r="H437" s="2387"/>
      <c r="I437" s="2387"/>
      <c r="J437" s="2387"/>
      <c r="K437" s="2387"/>
      <c r="L437" s="2387"/>
      <c r="M437" s="2387"/>
      <c r="N437" s="2387"/>
      <c r="O437" s="2387"/>
      <c r="P437" s="2387"/>
      <c r="Q437" s="2387"/>
      <c r="R437" s="2387"/>
      <c r="S437" s="2387"/>
      <c r="T437" s="2387"/>
      <c r="U437" s="2387"/>
      <c r="V437" s="2387"/>
      <c r="W437" s="2387"/>
      <c r="X437" s="2387"/>
      <c r="Y437" s="2387"/>
      <c r="Z437" s="2387"/>
      <c r="AA437" s="2387"/>
      <c r="AB437" s="2387"/>
      <c r="AC437" s="2387"/>
      <c r="AD437" s="2387"/>
      <c r="AE437" s="2387"/>
      <c r="AF437" s="1207"/>
      <c r="AG437" s="1207"/>
      <c r="AH437" s="1207"/>
      <c r="AI437" s="1207"/>
      <c r="AJ437" s="1207"/>
      <c r="AK437" s="1207"/>
      <c r="AL437" s="1208"/>
      <c r="AM437" s="16"/>
      <c r="AO437" s="162"/>
      <c r="AP437" s="162"/>
      <c r="BD437" s="65"/>
      <c r="BE437" s="65"/>
      <c r="BF437" s="65"/>
      <c r="BG437" s="65"/>
      <c r="BH437" s="65"/>
    </row>
    <row r="438" spans="1:60">
      <c r="A438" s="8"/>
      <c r="B438" s="118"/>
      <c r="C438" s="1214"/>
      <c r="D438" s="1215"/>
      <c r="E438" s="306"/>
      <c r="F438" s="2388"/>
      <c r="G438" s="2388"/>
      <c r="H438" s="2388"/>
      <c r="I438" s="2388"/>
      <c r="J438" s="2388"/>
      <c r="K438" s="2388"/>
      <c r="L438" s="2388"/>
      <c r="M438" s="2388"/>
      <c r="N438" s="2388"/>
      <c r="O438" s="2388"/>
      <c r="P438" s="2388"/>
      <c r="Q438" s="2388"/>
      <c r="R438" s="2388"/>
      <c r="S438" s="2388"/>
      <c r="T438" s="2388"/>
      <c r="U438" s="2388"/>
      <c r="V438" s="2388"/>
      <c r="W438" s="2388"/>
      <c r="X438" s="2388"/>
      <c r="Y438" s="2388"/>
      <c r="Z438" s="2388"/>
      <c r="AA438" s="2388"/>
      <c r="AB438" s="2388"/>
      <c r="AC438" s="2388"/>
      <c r="AD438" s="2388"/>
      <c r="AE438" s="2388"/>
      <c r="AF438" s="1314"/>
      <c r="AG438" s="1314"/>
      <c r="AH438" s="1314"/>
      <c r="AI438" s="1314"/>
      <c r="AJ438" s="1314"/>
      <c r="AK438" s="1314"/>
      <c r="AL438" s="1321"/>
      <c r="AM438" s="16"/>
      <c r="AO438" s="162"/>
      <c r="AP438" s="162"/>
    </row>
    <row r="439" spans="1:60" s="46" customFormat="1" ht="12.75" customHeight="1">
      <c r="A439" s="8"/>
      <c r="B439" s="118"/>
      <c r="C439" s="1214"/>
      <c r="D439" s="1215"/>
      <c r="E439" s="306"/>
      <c r="F439" s="2388"/>
      <c r="G439" s="2388"/>
      <c r="H439" s="2388"/>
      <c r="I439" s="2388"/>
      <c r="J439" s="2388"/>
      <c r="K439" s="2388"/>
      <c r="L439" s="2388"/>
      <c r="M439" s="2388"/>
      <c r="N439" s="2388"/>
      <c r="O439" s="2388"/>
      <c r="P439" s="2388"/>
      <c r="Q439" s="2388"/>
      <c r="R439" s="2388"/>
      <c r="S439" s="2388"/>
      <c r="T439" s="2388"/>
      <c r="U439" s="2388"/>
      <c r="V439" s="2388"/>
      <c r="W439" s="2388"/>
      <c r="X439" s="2388"/>
      <c r="Y439" s="2388"/>
      <c r="Z439" s="2388"/>
      <c r="AA439" s="2388"/>
      <c r="AB439" s="2388"/>
      <c r="AC439" s="2388"/>
      <c r="AD439" s="2388"/>
      <c r="AE439" s="2388"/>
      <c r="AF439" s="1314"/>
      <c r="AG439" s="1314"/>
      <c r="AH439" s="1314"/>
      <c r="AI439" s="1314"/>
      <c r="AJ439" s="1314"/>
      <c r="AK439" s="1314"/>
      <c r="AL439" s="1321"/>
      <c r="AM439" s="16"/>
      <c r="AN439" s="439"/>
      <c r="AO439" s="162"/>
      <c r="AP439" s="162"/>
    </row>
    <row r="440" spans="1:60" s="46" customFormat="1" ht="12.75" customHeight="1">
      <c r="A440" s="8"/>
      <c r="B440" s="118"/>
      <c r="C440" s="1322"/>
      <c r="D440" s="1315"/>
      <c r="E440" s="350"/>
      <c r="F440" s="2388"/>
      <c r="G440" s="2388"/>
      <c r="H440" s="2388"/>
      <c r="I440" s="2388"/>
      <c r="J440" s="2388"/>
      <c r="K440" s="2388"/>
      <c r="L440" s="2388"/>
      <c r="M440" s="2388"/>
      <c r="N440" s="2388"/>
      <c r="O440" s="2388"/>
      <c r="P440" s="2388"/>
      <c r="Q440" s="2388"/>
      <c r="R440" s="2388"/>
      <c r="S440" s="2388"/>
      <c r="T440" s="2388"/>
      <c r="U440" s="2388"/>
      <c r="V440" s="2388"/>
      <c r="W440" s="2388"/>
      <c r="X440" s="2388"/>
      <c r="Y440" s="2388"/>
      <c r="Z440" s="2388"/>
      <c r="AA440" s="2388"/>
      <c r="AB440" s="2388"/>
      <c r="AC440" s="2388"/>
      <c r="AD440" s="2388"/>
      <c r="AE440" s="2388"/>
      <c r="AF440" s="1314"/>
      <c r="AG440" s="1314"/>
      <c r="AH440" s="1314"/>
      <c r="AI440" s="1314"/>
      <c r="AJ440" s="1314"/>
      <c r="AK440" s="1314"/>
      <c r="AL440" s="1321"/>
      <c r="AM440" s="16"/>
      <c r="AN440" s="439"/>
      <c r="AO440" s="553"/>
      <c r="AP440" s="125"/>
    </row>
    <row r="441" spans="1:60" s="46" customFormat="1" ht="12.75" customHeight="1">
      <c r="A441" s="8"/>
      <c r="B441" s="118"/>
      <c r="C441" s="1322"/>
      <c r="D441" s="1315"/>
      <c r="E441" s="350"/>
      <c r="F441" s="2388"/>
      <c r="G441" s="2388"/>
      <c r="H441" s="2388"/>
      <c r="I441" s="2388"/>
      <c r="J441" s="2388"/>
      <c r="K441" s="2388"/>
      <c r="L441" s="2388"/>
      <c r="M441" s="2388"/>
      <c r="N441" s="2388"/>
      <c r="O441" s="2388"/>
      <c r="P441" s="2388"/>
      <c r="Q441" s="2388"/>
      <c r="R441" s="2388"/>
      <c r="S441" s="2388"/>
      <c r="T441" s="2388"/>
      <c r="U441" s="2388"/>
      <c r="V441" s="2388"/>
      <c r="W441" s="2388"/>
      <c r="X441" s="2388"/>
      <c r="Y441" s="2388"/>
      <c r="Z441" s="2388"/>
      <c r="AA441" s="2388"/>
      <c r="AB441" s="2388"/>
      <c r="AC441" s="2388"/>
      <c r="AD441" s="2388"/>
      <c r="AE441" s="2388"/>
      <c r="AF441" s="1314"/>
      <c r="AG441" s="1314"/>
      <c r="AH441" s="1314"/>
      <c r="AI441" s="1314"/>
      <c r="AJ441" s="1314"/>
      <c r="AK441" s="1314"/>
      <c r="AL441" s="1321"/>
      <c r="AM441" s="16"/>
      <c r="AN441" s="439"/>
      <c r="AO441" s="162"/>
      <c r="AP441" s="162"/>
    </row>
    <row r="442" spans="1:60" s="46" customFormat="1" ht="12.75" customHeight="1">
      <c r="A442" s="8"/>
      <c r="B442" s="118"/>
      <c r="C442" s="1322"/>
      <c r="D442" s="1315"/>
      <c r="E442" s="350"/>
      <c r="F442" s="2388"/>
      <c r="G442" s="2388"/>
      <c r="H442" s="2388"/>
      <c r="I442" s="2388"/>
      <c r="J442" s="2388"/>
      <c r="K442" s="2388"/>
      <c r="L442" s="2388"/>
      <c r="M442" s="2388"/>
      <c r="N442" s="2388"/>
      <c r="O442" s="2388"/>
      <c r="P442" s="2388"/>
      <c r="Q442" s="2388"/>
      <c r="R442" s="2388"/>
      <c r="S442" s="2388"/>
      <c r="T442" s="2388"/>
      <c r="U442" s="2388"/>
      <c r="V442" s="2388"/>
      <c r="W442" s="2388"/>
      <c r="X442" s="2388"/>
      <c r="Y442" s="2388"/>
      <c r="Z442" s="2388"/>
      <c r="AA442" s="2388"/>
      <c r="AB442" s="2388"/>
      <c r="AC442" s="2388"/>
      <c r="AD442" s="2388"/>
      <c r="AE442" s="2388"/>
      <c r="AF442" s="1314"/>
      <c r="AG442" s="1314"/>
      <c r="AH442" s="1314"/>
      <c r="AI442" s="1314"/>
      <c r="AJ442" s="1314"/>
      <c r="AK442" s="1314"/>
      <c r="AL442" s="1321"/>
      <c r="AM442" s="16"/>
      <c r="AN442" s="439"/>
    </row>
    <row r="443" spans="1:60" s="46" customFormat="1" ht="12.75" customHeight="1">
      <c r="A443" s="8"/>
      <c r="B443" s="118"/>
      <c r="C443" s="1322"/>
      <c r="D443" s="1315"/>
      <c r="E443" s="350"/>
      <c r="F443" s="2388"/>
      <c r="G443" s="2388"/>
      <c r="H443" s="2388"/>
      <c r="I443" s="2388"/>
      <c r="J443" s="2388"/>
      <c r="K443" s="2388"/>
      <c r="L443" s="2388"/>
      <c r="M443" s="2388"/>
      <c r="N443" s="2388"/>
      <c r="O443" s="2388"/>
      <c r="P443" s="2388"/>
      <c r="Q443" s="2388"/>
      <c r="R443" s="2388"/>
      <c r="S443" s="2388"/>
      <c r="T443" s="2388"/>
      <c r="U443" s="2388"/>
      <c r="V443" s="2388"/>
      <c r="W443" s="2388"/>
      <c r="X443" s="2388"/>
      <c r="Y443" s="2388"/>
      <c r="Z443" s="2388"/>
      <c r="AA443" s="2388"/>
      <c r="AB443" s="2388"/>
      <c r="AC443" s="2388"/>
      <c r="AD443" s="2388"/>
      <c r="AE443" s="2388"/>
      <c r="AF443" s="1314"/>
      <c r="AG443" s="1314"/>
      <c r="AH443" s="1314"/>
      <c r="AI443" s="1314"/>
      <c r="AJ443" s="1314"/>
      <c r="AK443" s="1314"/>
      <c r="AL443" s="1321"/>
      <c r="AM443" s="16"/>
      <c r="AN443" s="439"/>
    </row>
    <row r="444" spans="1:60" s="46" customFormat="1" ht="12.75" customHeight="1">
      <c r="A444" s="8"/>
      <c r="B444" s="118"/>
      <c r="C444" s="1322"/>
      <c r="D444" s="1315"/>
      <c r="E444" s="350"/>
      <c r="F444" s="2388"/>
      <c r="G444" s="2388"/>
      <c r="H444" s="2388"/>
      <c r="I444" s="2388"/>
      <c r="J444" s="2388"/>
      <c r="K444" s="2388"/>
      <c r="L444" s="2388"/>
      <c r="M444" s="2388"/>
      <c r="N444" s="2388"/>
      <c r="O444" s="2388"/>
      <c r="P444" s="2388"/>
      <c r="Q444" s="2388"/>
      <c r="R444" s="2388"/>
      <c r="S444" s="2388"/>
      <c r="T444" s="2388"/>
      <c r="U444" s="2388"/>
      <c r="V444" s="2388"/>
      <c r="W444" s="2388"/>
      <c r="X444" s="2388"/>
      <c r="Y444" s="2388"/>
      <c r="Z444" s="2388"/>
      <c r="AA444" s="2388"/>
      <c r="AB444" s="2388"/>
      <c r="AC444" s="2388"/>
      <c r="AD444" s="2388"/>
      <c r="AE444" s="2388"/>
      <c r="AF444" s="1314"/>
      <c r="AG444" s="1314"/>
      <c r="AH444" s="1314"/>
      <c r="AI444" s="1314"/>
      <c r="AJ444" s="1314"/>
      <c r="AK444" s="1314"/>
      <c r="AL444" s="1321"/>
      <c r="AM444" s="16"/>
      <c r="AN444" s="439"/>
    </row>
    <row r="445" spans="1:60" s="46" customFormat="1" ht="17.25" customHeight="1">
      <c r="A445" s="8"/>
      <c r="B445" s="118"/>
      <c r="C445" s="1322"/>
      <c r="D445" s="1315"/>
      <c r="E445" s="350"/>
      <c r="F445" s="2388"/>
      <c r="G445" s="2388"/>
      <c r="H445" s="2388"/>
      <c r="I445" s="2388"/>
      <c r="J445" s="2388"/>
      <c r="K445" s="2388"/>
      <c r="L445" s="2388"/>
      <c r="M445" s="2388"/>
      <c r="N445" s="2388"/>
      <c r="O445" s="2388"/>
      <c r="P445" s="2388"/>
      <c r="Q445" s="2388"/>
      <c r="R445" s="2388"/>
      <c r="S445" s="2388"/>
      <c r="T445" s="2388"/>
      <c r="U445" s="2388"/>
      <c r="V445" s="2388"/>
      <c r="W445" s="2388"/>
      <c r="X445" s="2388"/>
      <c r="Y445" s="2388"/>
      <c r="Z445" s="2388"/>
      <c r="AA445" s="2388"/>
      <c r="AB445" s="2388"/>
      <c r="AC445" s="2388"/>
      <c r="AD445" s="2388"/>
      <c r="AE445" s="2388"/>
      <c r="AF445" s="162"/>
      <c r="AG445" s="162"/>
      <c r="AH445" s="162"/>
      <c r="AI445" s="162"/>
      <c r="AJ445" s="162"/>
      <c r="AK445" s="162"/>
      <c r="AL445" s="1193"/>
      <c r="AM445" s="16"/>
      <c r="AN445" s="439"/>
    </row>
    <row r="446" spans="1:60" s="46" customFormat="1" ht="12.75" customHeight="1">
      <c r="A446" s="8"/>
      <c r="B446" s="65"/>
      <c r="C446" s="2390" t="s">
        <v>136</v>
      </c>
      <c r="D446" s="1694"/>
      <c r="E446" s="350"/>
      <c r="F446" s="473" t="s">
        <v>2024</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405" t="s">
        <v>355</v>
      </c>
      <c r="AG446" s="2405"/>
      <c r="AH446" s="2405"/>
      <c r="AI446" s="2405"/>
      <c r="AJ446" s="2405"/>
      <c r="AK446" s="2405"/>
      <c r="AL446" s="2406"/>
      <c r="AM446" s="16"/>
      <c r="AN446" s="439"/>
    </row>
    <row r="447" spans="1:60" s="46" customFormat="1" ht="12.75" customHeight="1">
      <c r="A447" s="8"/>
      <c r="B447" s="118"/>
      <c r="C447" s="1205"/>
      <c r="D447" s="1203"/>
      <c r="E447" s="1190"/>
      <c r="F447" s="1200"/>
      <c r="G447" s="1191"/>
      <c r="H447" s="1191"/>
      <c r="I447" s="1191"/>
      <c r="J447" s="1191"/>
      <c r="K447" s="1191"/>
      <c r="L447" s="1191"/>
      <c r="M447" s="1191"/>
      <c r="N447" s="1191"/>
      <c r="O447" s="1191"/>
      <c r="P447" s="1191"/>
      <c r="Q447" s="1191"/>
      <c r="R447" s="1191"/>
      <c r="S447" s="1191"/>
      <c r="T447" s="1191"/>
      <c r="U447" s="1191"/>
      <c r="V447" s="1191"/>
      <c r="W447" s="1191"/>
      <c r="X447" s="1191"/>
      <c r="Y447" s="1191"/>
      <c r="Z447" s="1191"/>
      <c r="AA447" s="1191"/>
      <c r="AB447" s="1191"/>
      <c r="AC447" s="1191"/>
      <c r="AD447" s="1191"/>
      <c r="AE447" s="1203"/>
      <c r="AF447" s="1203"/>
      <c r="AG447" s="1203"/>
      <c r="AH447" s="1203"/>
      <c r="AI447" s="1203"/>
      <c r="AJ447" s="1203"/>
      <c r="AK447" s="1203"/>
      <c r="AL447" s="1204"/>
      <c r="AM447" s="16"/>
      <c r="AN447" s="439"/>
    </row>
    <row r="448" spans="1:60" s="46" customFormat="1" ht="12.75" customHeight="1">
      <c r="A448" s="8"/>
      <c r="B448" s="118"/>
      <c r="C448" s="390"/>
      <c r="D448" s="390"/>
      <c r="E448" s="350"/>
      <c r="F448" s="543"/>
      <c r="G448" s="533"/>
      <c r="H448" s="533"/>
      <c r="I448" s="533"/>
      <c r="J448" s="533"/>
      <c r="K448" s="533"/>
      <c r="L448" s="533"/>
      <c r="M448" s="533"/>
      <c r="N448" s="533"/>
      <c r="O448" s="533"/>
      <c r="P448" s="533"/>
      <c r="Q448" s="533"/>
      <c r="R448" s="533"/>
      <c r="S448" s="533"/>
      <c r="T448" s="533"/>
      <c r="U448" s="533"/>
      <c r="V448" s="533"/>
      <c r="W448" s="533"/>
      <c r="X448" s="533"/>
      <c r="Y448" s="533"/>
      <c r="Z448" s="533"/>
      <c r="AA448" s="533"/>
      <c r="AB448" s="533"/>
      <c r="AC448" s="533"/>
      <c r="AD448" s="533"/>
      <c r="AE448" s="33"/>
      <c r="AF448" s="33"/>
      <c r="AG448" s="33"/>
      <c r="AH448" s="33"/>
      <c r="AI448" s="33"/>
      <c r="AJ448" s="33"/>
      <c r="AK448" s="33"/>
      <c r="AL448" s="1303"/>
      <c r="AM448" s="16"/>
      <c r="AN448" s="439"/>
    </row>
    <row r="449" spans="1:49" s="46" customFormat="1" ht="12.75" customHeight="1">
      <c r="A449" s="8"/>
      <c r="B449" s="118"/>
      <c r="C449" s="1184"/>
      <c r="D449" s="1185"/>
      <c r="E449" s="1186" t="s">
        <v>734</v>
      </c>
      <c r="F449" s="2387" t="s">
        <v>2026</v>
      </c>
      <c r="G449" s="2387"/>
      <c r="H449" s="2387"/>
      <c r="I449" s="2387"/>
      <c r="J449" s="2387"/>
      <c r="K449" s="2387"/>
      <c r="L449" s="2387"/>
      <c r="M449" s="2387"/>
      <c r="N449" s="2387"/>
      <c r="O449" s="2387"/>
      <c r="P449" s="2387"/>
      <c r="Q449" s="2387"/>
      <c r="R449" s="2387"/>
      <c r="S449" s="2387"/>
      <c r="T449" s="2387"/>
      <c r="U449" s="2387"/>
      <c r="V449" s="2387"/>
      <c r="W449" s="2387"/>
      <c r="X449" s="2387"/>
      <c r="Y449" s="2387"/>
      <c r="Z449" s="2387"/>
      <c r="AA449" s="2387"/>
      <c r="AB449" s="2387"/>
      <c r="AC449" s="2387"/>
      <c r="AD449" s="2387"/>
      <c r="AE449" s="2387"/>
      <c r="AF449" s="1185"/>
      <c r="AG449" s="1185"/>
      <c r="AH449" s="1185"/>
      <c r="AI449" s="1185"/>
      <c r="AJ449" s="1185"/>
      <c r="AK449" s="1185"/>
      <c r="AL449" s="1213"/>
      <c r="AM449" s="16"/>
      <c r="AN449" s="439"/>
    </row>
    <row r="450" spans="1:49" s="46" customFormat="1" ht="12.75" customHeight="1">
      <c r="A450" s="8"/>
      <c r="B450" s="118"/>
      <c r="C450" s="1322"/>
      <c r="D450" s="1315"/>
      <c r="E450" s="350"/>
      <c r="F450" s="2388"/>
      <c r="G450" s="2388"/>
      <c r="H450" s="2388"/>
      <c r="I450" s="2388"/>
      <c r="J450" s="2388"/>
      <c r="K450" s="2388"/>
      <c r="L450" s="2388"/>
      <c r="M450" s="2388"/>
      <c r="N450" s="2388"/>
      <c r="O450" s="2388"/>
      <c r="P450" s="2388"/>
      <c r="Q450" s="2388"/>
      <c r="R450" s="2388"/>
      <c r="S450" s="2388"/>
      <c r="T450" s="2388"/>
      <c r="U450" s="2388"/>
      <c r="V450" s="2388"/>
      <c r="W450" s="2388"/>
      <c r="X450" s="2388"/>
      <c r="Y450" s="2388"/>
      <c r="Z450" s="2388"/>
      <c r="AA450" s="2388"/>
      <c r="AB450" s="2388"/>
      <c r="AC450" s="2388"/>
      <c r="AD450" s="2388"/>
      <c r="AE450" s="2388"/>
      <c r="AF450" s="1386"/>
      <c r="AG450" s="1316"/>
      <c r="AH450" s="1316"/>
      <c r="AI450" s="1316"/>
      <c r="AJ450" s="1316"/>
      <c r="AK450" s="1316"/>
      <c r="AL450" s="1317"/>
      <c r="AM450" s="16"/>
      <c r="AN450" s="439"/>
    </row>
    <row r="451" spans="1:49" s="46" customFormat="1" ht="12.75" customHeight="1">
      <c r="A451" s="8"/>
      <c r="B451" s="118"/>
      <c r="C451" s="1322"/>
      <c r="D451" s="1315"/>
      <c r="E451" s="350"/>
      <c r="F451" s="2388"/>
      <c r="G451" s="2388"/>
      <c r="H451" s="2388"/>
      <c r="I451" s="2388"/>
      <c r="J451" s="2388"/>
      <c r="K451" s="2388"/>
      <c r="L451" s="2388"/>
      <c r="M451" s="2388"/>
      <c r="N451" s="2388"/>
      <c r="O451" s="2388"/>
      <c r="P451" s="2388"/>
      <c r="Q451" s="2388"/>
      <c r="R451" s="2388"/>
      <c r="S451" s="2388"/>
      <c r="T451" s="2388"/>
      <c r="U451" s="2388"/>
      <c r="V451" s="2388"/>
      <c r="W451" s="2388"/>
      <c r="X451" s="2388"/>
      <c r="Y451" s="2388"/>
      <c r="Z451" s="2388"/>
      <c r="AA451" s="2388"/>
      <c r="AB451" s="2388"/>
      <c r="AC451" s="2388"/>
      <c r="AD451" s="2388"/>
      <c r="AE451" s="2388"/>
      <c r="AF451" s="1386"/>
      <c r="AG451" s="1316"/>
      <c r="AH451" s="1316"/>
      <c r="AI451" s="1316"/>
      <c r="AJ451" s="1316"/>
      <c r="AK451" s="1316"/>
      <c r="AL451" s="1317"/>
      <c r="AM451" s="16"/>
      <c r="AN451" s="439"/>
    </row>
    <row r="452" spans="1:49" s="46" customFormat="1" ht="12.75" customHeight="1">
      <c r="A452" s="8"/>
      <c r="B452" s="118"/>
      <c r="C452" s="1322"/>
      <c r="D452" s="1315"/>
      <c r="E452" s="350"/>
      <c r="F452" s="2388"/>
      <c r="G452" s="2388"/>
      <c r="H452" s="2388"/>
      <c r="I452" s="2388"/>
      <c r="J452" s="2388"/>
      <c r="K452" s="2388"/>
      <c r="L452" s="2388"/>
      <c r="M452" s="2388"/>
      <c r="N452" s="2388"/>
      <c r="O452" s="2388"/>
      <c r="P452" s="2388"/>
      <c r="Q452" s="2388"/>
      <c r="R452" s="2388"/>
      <c r="S452" s="2388"/>
      <c r="T452" s="2388"/>
      <c r="U452" s="2388"/>
      <c r="V452" s="2388"/>
      <c r="W452" s="2388"/>
      <c r="X452" s="2388"/>
      <c r="Y452" s="2388"/>
      <c r="Z452" s="2388"/>
      <c r="AA452" s="2388"/>
      <c r="AB452" s="2388"/>
      <c r="AC452" s="2388"/>
      <c r="AD452" s="2388"/>
      <c r="AE452" s="2388"/>
      <c r="AF452" s="162"/>
      <c r="AG452" s="162"/>
      <c r="AH452" s="162"/>
      <c r="AI452" s="162"/>
      <c r="AJ452" s="162"/>
      <c r="AK452" s="162"/>
      <c r="AL452" s="1193"/>
      <c r="AM452" s="16"/>
      <c r="AN452" s="439"/>
    </row>
    <row r="453" spans="1:49" s="162" customFormat="1" ht="12.75" customHeight="1">
      <c r="A453" s="8"/>
      <c r="B453" s="118"/>
      <c r="C453" s="2390" t="s">
        <v>136</v>
      </c>
      <c r="D453" s="1694"/>
      <c r="E453" s="350"/>
      <c r="F453" s="1182" t="s">
        <v>2025</v>
      </c>
      <c r="G453" s="1183"/>
      <c r="H453" s="1183"/>
      <c r="I453" s="1183"/>
      <c r="J453" s="1183"/>
      <c r="K453" s="1183"/>
      <c r="L453" s="1183"/>
      <c r="M453" s="1183"/>
      <c r="N453" s="1183"/>
      <c r="O453" s="1183"/>
      <c r="P453" s="1183"/>
      <c r="Q453" s="1183"/>
      <c r="R453" s="1183"/>
      <c r="S453" s="1183"/>
      <c r="T453" s="1183"/>
      <c r="U453" s="1183"/>
      <c r="V453" s="1183"/>
      <c r="W453" s="1183"/>
      <c r="X453" s="1183"/>
      <c r="Y453" s="1183"/>
      <c r="Z453" s="1183"/>
      <c r="AA453" s="1183"/>
      <c r="AB453" s="1183"/>
      <c r="AC453" s="1183"/>
      <c r="AD453" s="1183"/>
      <c r="AF453" s="2405" t="s">
        <v>355</v>
      </c>
      <c r="AG453" s="2405"/>
      <c r="AH453" s="2405"/>
      <c r="AI453" s="2405"/>
      <c r="AJ453" s="2405"/>
      <c r="AK453" s="2405"/>
      <c r="AL453" s="2406"/>
      <c r="AM453" s="16"/>
      <c r="AN453" s="1143"/>
      <c r="AP453" s="125"/>
      <c r="AQ453" s="249"/>
      <c r="AR453" s="249"/>
      <c r="AS453" s="249"/>
      <c r="AT453" s="249"/>
      <c r="AU453" s="249"/>
      <c r="AV453" s="249"/>
      <c r="AW453" s="249"/>
    </row>
    <row r="454" spans="1:49" s="46" customFormat="1" ht="12.75" customHeight="1">
      <c r="A454" s="8"/>
      <c r="B454" s="118"/>
      <c r="C454" s="1196"/>
      <c r="D454" s="162"/>
      <c r="E454" s="306"/>
      <c r="F454" s="1218"/>
      <c r="G454" s="1318"/>
      <c r="H454" s="1318"/>
      <c r="I454" s="1318"/>
      <c r="J454" s="1318"/>
      <c r="K454" s="1318"/>
      <c r="L454" s="1318"/>
      <c r="M454" s="1318"/>
      <c r="N454" s="1318"/>
      <c r="O454" s="1318"/>
      <c r="P454" s="1318"/>
      <c r="Q454" s="1318"/>
      <c r="R454" s="1318"/>
      <c r="S454" s="1318"/>
      <c r="T454" s="1318"/>
      <c r="U454" s="1318"/>
      <c r="V454" s="1318"/>
      <c r="W454" s="1318"/>
      <c r="X454" s="1318"/>
      <c r="Y454" s="1318"/>
      <c r="Z454" s="1318"/>
      <c r="AA454" s="1318"/>
      <c r="AB454" s="1318"/>
      <c r="AC454" s="1318"/>
      <c r="AD454" s="1318"/>
      <c r="AE454" s="162"/>
      <c r="AF454" s="162"/>
      <c r="AG454" s="162"/>
      <c r="AH454" s="162"/>
      <c r="AI454" s="162"/>
      <c r="AJ454" s="162"/>
      <c r="AK454" s="162"/>
      <c r="AL454" s="1193"/>
      <c r="AM454" s="16"/>
      <c r="AN454" s="1143"/>
      <c r="AO454" s="162"/>
      <c r="AP454" s="162"/>
      <c r="AQ454" s="249"/>
      <c r="AR454" s="249"/>
      <c r="AS454" s="249"/>
      <c r="AT454" s="249"/>
      <c r="AU454" s="249"/>
      <c r="AV454" s="249"/>
      <c r="AW454" s="249"/>
    </row>
    <row r="455" spans="1:49" s="46" customFormat="1" ht="12.75" customHeight="1">
      <c r="A455" s="8"/>
      <c r="B455" s="118"/>
      <c r="C455" s="1219"/>
      <c r="D455" s="1220"/>
      <c r="E455" s="1199"/>
      <c r="F455" s="1203" t="s">
        <v>2011</v>
      </c>
      <c r="G455" s="1194"/>
      <c r="H455" s="1194"/>
      <c r="I455" s="1194"/>
      <c r="J455" s="1194"/>
      <c r="K455" s="1194"/>
      <c r="L455" s="1194"/>
      <c r="M455" s="1194"/>
      <c r="N455" s="1194"/>
      <c r="O455" s="1194"/>
      <c r="P455" s="1194"/>
      <c r="Q455" s="1194"/>
      <c r="R455" s="1194"/>
      <c r="S455" s="1194"/>
      <c r="T455" s="1194"/>
      <c r="U455" s="1194"/>
      <c r="V455" s="1194"/>
      <c r="W455" s="1194"/>
      <c r="X455" s="1194"/>
      <c r="Y455" s="1194"/>
      <c r="Z455" s="1194"/>
      <c r="AA455" s="1194"/>
      <c r="AB455" s="1194"/>
      <c r="AC455" s="1194"/>
      <c r="AD455" s="1194"/>
      <c r="AE455" s="1201"/>
      <c r="AF455" s="1202"/>
      <c r="AG455" s="1201"/>
      <c r="AH455" s="1203"/>
      <c r="AI455" s="1203"/>
      <c r="AJ455" s="1203"/>
      <c r="AK455" s="1203"/>
      <c r="AL455" s="1204"/>
      <c r="AM455" s="16"/>
      <c r="AN455" s="1143"/>
      <c r="AO455" s="162"/>
      <c r="AP455" s="162"/>
      <c r="AQ455" s="249"/>
      <c r="AR455" s="249"/>
      <c r="AS455" s="249"/>
      <c r="AT455" s="249"/>
      <c r="AU455" s="249"/>
      <c r="AV455" s="249"/>
      <c r="AW455" s="249"/>
    </row>
    <row r="456" spans="1:49" s="46" customFormat="1" ht="12.75" customHeight="1">
      <c r="A456" s="8"/>
      <c r="B456" s="118"/>
      <c r="C456" s="390"/>
      <c r="D456" s="390"/>
      <c r="E456" s="350"/>
      <c r="F456" s="543"/>
      <c r="G456" s="533"/>
      <c r="H456" s="533"/>
      <c r="I456" s="533"/>
      <c r="J456" s="533"/>
      <c r="K456" s="533"/>
      <c r="L456" s="533"/>
      <c r="M456" s="533"/>
      <c r="N456" s="533"/>
      <c r="O456" s="533"/>
      <c r="P456" s="533"/>
      <c r="Q456" s="533"/>
      <c r="R456" s="533"/>
      <c r="S456" s="533"/>
      <c r="T456" s="533"/>
      <c r="U456" s="533"/>
      <c r="V456" s="533"/>
      <c r="W456" s="533"/>
      <c r="X456" s="533"/>
      <c r="Y456" s="533"/>
      <c r="Z456" s="533"/>
      <c r="AA456" s="533"/>
      <c r="AB456" s="533"/>
      <c r="AC456" s="533"/>
      <c r="AD456" s="533"/>
      <c r="AE456" s="33"/>
      <c r="AM456" s="16"/>
      <c r="AN456" s="1143"/>
      <c r="AO456" s="162"/>
      <c r="AP456" s="162"/>
      <c r="AQ456" s="249"/>
      <c r="AR456" s="249"/>
      <c r="AS456" s="249"/>
      <c r="AT456" s="249"/>
      <c r="AU456" s="249"/>
      <c r="AV456" s="249"/>
      <c r="AW456" s="249"/>
    </row>
    <row r="457" spans="1:49" s="137" customFormat="1" ht="12.75" customHeight="1">
      <c r="A457" s="8"/>
      <c r="B457" s="118"/>
      <c r="C457" s="2398" t="s">
        <v>136</v>
      </c>
      <c r="D457" s="2399"/>
      <c r="E457" s="1186" t="s">
        <v>1071</v>
      </c>
      <c r="F457" s="2387" t="s">
        <v>1073</v>
      </c>
      <c r="G457" s="2387"/>
      <c r="H457" s="2387"/>
      <c r="I457" s="2387"/>
      <c r="J457" s="2387"/>
      <c r="K457" s="2387"/>
      <c r="L457" s="2387"/>
      <c r="M457" s="2387"/>
      <c r="N457" s="2387"/>
      <c r="O457" s="2387"/>
      <c r="P457" s="2387"/>
      <c r="Q457" s="2387"/>
      <c r="R457" s="2387"/>
      <c r="S457" s="2387"/>
      <c r="T457" s="2387"/>
      <c r="U457" s="2387"/>
      <c r="V457" s="2387"/>
      <c r="W457" s="2387"/>
      <c r="X457" s="2387"/>
      <c r="Y457" s="2387"/>
      <c r="Z457" s="2387"/>
      <c r="AA457" s="2387"/>
      <c r="AB457" s="2387"/>
      <c r="AC457" s="2387"/>
      <c r="AD457" s="2387"/>
      <c r="AE457" s="2387"/>
      <c r="AF457" s="2409" t="s">
        <v>355</v>
      </c>
      <c r="AG457" s="2409"/>
      <c r="AH457" s="2409"/>
      <c r="AI457" s="2409"/>
      <c r="AJ457" s="2409"/>
      <c r="AK457" s="2409"/>
      <c r="AL457" s="2410"/>
      <c r="AM457" s="16"/>
      <c r="AN457" s="1143"/>
      <c r="AO457" s="162"/>
      <c r="AP457" s="162"/>
      <c r="AQ457" s="249"/>
    </row>
    <row r="458" spans="1:49" s="137" customFormat="1" ht="12.75" customHeight="1">
      <c r="A458" s="8"/>
      <c r="B458" s="118"/>
      <c r="C458" s="1322"/>
      <c r="D458" s="1315"/>
      <c r="E458" s="350"/>
      <c r="F458" s="2388"/>
      <c r="G458" s="2388"/>
      <c r="H458" s="2388"/>
      <c r="I458" s="2388"/>
      <c r="J458" s="2388"/>
      <c r="K458" s="2388"/>
      <c r="L458" s="2388"/>
      <c r="M458" s="2388"/>
      <c r="N458" s="2388"/>
      <c r="O458" s="2388"/>
      <c r="P458" s="2388"/>
      <c r="Q458" s="2388"/>
      <c r="R458" s="2388"/>
      <c r="S458" s="2388"/>
      <c r="T458" s="2388"/>
      <c r="U458" s="2388"/>
      <c r="V458" s="2388"/>
      <c r="W458" s="2388"/>
      <c r="X458" s="2388"/>
      <c r="Y458" s="2388"/>
      <c r="Z458" s="2388"/>
      <c r="AA458" s="2388"/>
      <c r="AB458" s="2388"/>
      <c r="AC458" s="2388"/>
      <c r="AD458" s="2388"/>
      <c r="AE458" s="2388"/>
      <c r="AF458" s="1316"/>
      <c r="AG458" s="1316"/>
      <c r="AH458" s="1316"/>
      <c r="AI458" s="1316"/>
      <c r="AJ458" s="1316"/>
      <c r="AK458" s="1316"/>
      <c r="AL458" s="1317"/>
      <c r="AM458" s="16"/>
      <c r="AN458" s="1144"/>
      <c r="AO458" s="46" t="s">
        <v>136</v>
      </c>
      <c r="AP458" s="162">
        <v>0</v>
      </c>
      <c r="AQ458" s="249"/>
    </row>
    <row r="459" spans="1:49" s="46" customFormat="1" ht="17.850000000000001" customHeight="1">
      <c r="A459" s="8"/>
      <c r="B459" s="118"/>
      <c r="C459" s="1188"/>
      <c r="D459" s="1189"/>
      <c r="E459" s="1190"/>
      <c r="F459" s="2389"/>
      <c r="G459" s="2389"/>
      <c r="H459" s="2389"/>
      <c r="I459" s="2389"/>
      <c r="J459" s="2389"/>
      <c r="K459" s="2389"/>
      <c r="L459" s="2389"/>
      <c r="M459" s="2389"/>
      <c r="N459" s="2389"/>
      <c r="O459" s="2389"/>
      <c r="P459" s="2389"/>
      <c r="Q459" s="2389"/>
      <c r="R459" s="2389"/>
      <c r="S459" s="2389"/>
      <c r="T459" s="2389"/>
      <c r="U459" s="2389"/>
      <c r="V459" s="2389"/>
      <c r="W459" s="2389"/>
      <c r="X459" s="2389"/>
      <c r="Y459" s="2389"/>
      <c r="Z459" s="2389"/>
      <c r="AA459" s="2389"/>
      <c r="AB459" s="2389"/>
      <c r="AC459" s="2389"/>
      <c r="AD459" s="2389"/>
      <c r="AE459" s="2389"/>
      <c r="AF459" s="1319"/>
      <c r="AG459" s="1319"/>
      <c r="AH459" s="1319"/>
      <c r="AI459" s="1319"/>
      <c r="AJ459" s="1319"/>
      <c r="AK459" s="1319"/>
      <c r="AL459" s="1320"/>
      <c r="AM459" s="16"/>
      <c r="AN459" s="1145"/>
      <c r="AO459" s="46" t="s">
        <v>1074</v>
      </c>
      <c r="AP459" s="46">
        <v>5</v>
      </c>
      <c r="AQ459" s="249"/>
    </row>
    <row r="460" spans="1:49" s="46" customFormat="1" ht="12.75" customHeight="1">
      <c r="A460" s="8"/>
      <c r="B460" s="118"/>
      <c r="C460" s="390"/>
      <c r="D460" s="390"/>
      <c r="E460" s="350"/>
      <c r="F460" s="543"/>
      <c r="G460" s="533"/>
      <c r="H460" s="533"/>
      <c r="I460" s="533"/>
      <c r="J460" s="533"/>
      <c r="K460" s="533"/>
      <c r="L460" s="533"/>
      <c r="M460" s="533"/>
      <c r="N460" s="533"/>
      <c r="O460" s="533"/>
      <c r="P460" s="533"/>
      <c r="Q460" s="533"/>
      <c r="R460" s="533"/>
      <c r="S460" s="533"/>
      <c r="T460" s="533"/>
      <c r="U460" s="533"/>
      <c r="V460" s="533"/>
      <c r="W460" s="533"/>
      <c r="X460" s="533"/>
      <c r="Y460" s="533"/>
      <c r="Z460" s="533"/>
      <c r="AA460" s="533"/>
      <c r="AB460" s="533"/>
      <c r="AC460" s="533"/>
      <c r="AD460" s="533"/>
      <c r="AE460" s="33"/>
      <c r="AM460" s="16"/>
      <c r="AN460" s="1146"/>
      <c r="AO460" s="46" t="s">
        <v>1075</v>
      </c>
      <c r="AP460" s="46">
        <v>5</v>
      </c>
      <c r="AQ460" s="250"/>
    </row>
    <row r="461" spans="1:49" s="46" customFormat="1" ht="12.75" customHeight="1">
      <c r="A461" s="8"/>
      <c r="B461" s="65"/>
      <c r="C461" s="2398" t="s">
        <v>136</v>
      </c>
      <c r="D461" s="2399"/>
      <c r="E461" s="1186" t="s">
        <v>1072</v>
      </c>
      <c r="F461" s="2387" t="s">
        <v>2073</v>
      </c>
      <c r="G461" s="2387"/>
      <c r="H461" s="2387"/>
      <c r="I461" s="2387"/>
      <c r="J461" s="2387"/>
      <c r="K461" s="2387"/>
      <c r="L461" s="2387"/>
      <c r="M461" s="2387"/>
      <c r="N461" s="2387"/>
      <c r="O461" s="2387"/>
      <c r="P461" s="2387"/>
      <c r="Q461" s="2387"/>
      <c r="R461" s="2387"/>
      <c r="S461" s="2387"/>
      <c r="T461" s="2387"/>
      <c r="U461" s="2387"/>
      <c r="V461" s="2387"/>
      <c r="W461" s="2387"/>
      <c r="X461" s="2387"/>
      <c r="Y461" s="2387"/>
      <c r="Z461" s="2387"/>
      <c r="AA461" s="2387"/>
      <c r="AB461" s="2387"/>
      <c r="AC461" s="2387"/>
      <c r="AD461" s="2387"/>
      <c r="AE461" s="2387"/>
      <c r="AF461" s="2409" t="s">
        <v>355</v>
      </c>
      <c r="AG461" s="2409"/>
      <c r="AH461" s="2409"/>
      <c r="AI461" s="2409"/>
      <c r="AJ461" s="2409"/>
      <c r="AK461" s="2409"/>
      <c r="AL461" s="2410"/>
      <c r="AM461" s="16"/>
      <c r="AN461" s="1146"/>
      <c r="AO461" s="46" t="s">
        <v>1475</v>
      </c>
      <c r="AP461" s="46">
        <v>5</v>
      </c>
      <c r="AQ461" s="251"/>
    </row>
    <row r="462" spans="1:49" s="46" customFormat="1" ht="12.75" customHeight="1">
      <c r="A462" s="8"/>
      <c r="B462" s="65"/>
      <c r="C462" s="1192"/>
      <c r="D462" s="125"/>
      <c r="E462" s="306"/>
      <c r="F462" s="2388"/>
      <c r="G462" s="2388"/>
      <c r="H462" s="2388"/>
      <c r="I462" s="2388"/>
      <c r="J462" s="2388"/>
      <c r="K462" s="2388"/>
      <c r="L462" s="2388"/>
      <c r="M462" s="2388"/>
      <c r="N462" s="2388"/>
      <c r="O462" s="2388"/>
      <c r="P462" s="2388"/>
      <c r="Q462" s="2388"/>
      <c r="R462" s="2388"/>
      <c r="S462" s="2388"/>
      <c r="T462" s="2388"/>
      <c r="U462" s="2388"/>
      <c r="V462" s="2388"/>
      <c r="W462" s="2388"/>
      <c r="X462" s="2388"/>
      <c r="Y462" s="2388"/>
      <c r="Z462" s="2388"/>
      <c r="AA462" s="2388"/>
      <c r="AB462" s="2388"/>
      <c r="AC462" s="2388"/>
      <c r="AD462" s="2388"/>
      <c r="AE462" s="2388"/>
      <c r="AF462" s="62"/>
      <c r="AG462" s="71"/>
      <c r="AH462" s="162"/>
      <c r="AI462" s="162"/>
      <c r="AJ462" s="162"/>
      <c r="AK462" s="162"/>
      <c r="AL462" s="1193"/>
      <c r="AM462" s="16"/>
      <c r="AN462" s="1146"/>
      <c r="AO462" s="46" t="s">
        <v>1471</v>
      </c>
      <c r="AP462" s="46">
        <v>5</v>
      </c>
    </row>
    <row r="463" spans="1:49" s="46" customFormat="1" ht="12.75" customHeight="1">
      <c r="A463" s="8"/>
      <c r="B463" s="65"/>
      <c r="C463" s="1192"/>
      <c r="D463" s="125"/>
      <c r="E463" s="306"/>
      <c r="F463" s="2388"/>
      <c r="G463" s="2388"/>
      <c r="H463" s="2388"/>
      <c r="I463" s="2388"/>
      <c r="J463" s="2388"/>
      <c r="K463" s="2388"/>
      <c r="L463" s="2388"/>
      <c r="M463" s="2388"/>
      <c r="N463" s="2388"/>
      <c r="O463" s="2388"/>
      <c r="P463" s="2388"/>
      <c r="Q463" s="2388"/>
      <c r="R463" s="2388"/>
      <c r="S463" s="2388"/>
      <c r="T463" s="2388"/>
      <c r="U463" s="2388"/>
      <c r="V463" s="2388"/>
      <c r="W463" s="2388"/>
      <c r="X463" s="2388"/>
      <c r="Y463" s="2388"/>
      <c r="Z463" s="2388"/>
      <c r="AA463" s="2388"/>
      <c r="AB463" s="2388"/>
      <c r="AC463" s="2388"/>
      <c r="AD463" s="2388"/>
      <c r="AE463" s="2388"/>
      <c r="AF463" s="62"/>
      <c r="AG463" s="71"/>
      <c r="AH463" s="162"/>
      <c r="AI463" s="162"/>
      <c r="AJ463" s="162"/>
      <c r="AK463" s="162"/>
      <c r="AL463" s="1193"/>
      <c r="AM463" s="16"/>
      <c r="AN463" s="1146"/>
      <c r="AO463" s="46" t="s">
        <v>1472</v>
      </c>
      <c r="AP463" s="46">
        <v>5</v>
      </c>
    </row>
    <row r="464" spans="1:49" s="46" customFormat="1" ht="12.75" customHeight="1">
      <c r="A464" s="8"/>
      <c r="B464" s="118"/>
      <c r="C464" s="1188"/>
      <c r="D464" s="1189"/>
      <c r="E464" s="1190"/>
      <c r="F464" s="2389"/>
      <c r="G464" s="2389"/>
      <c r="H464" s="2389"/>
      <c r="I464" s="2389"/>
      <c r="J464" s="2389"/>
      <c r="K464" s="2389"/>
      <c r="L464" s="2389"/>
      <c r="M464" s="2389"/>
      <c r="N464" s="2389"/>
      <c r="O464" s="2389"/>
      <c r="P464" s="2389"/>
      <c r="Q464" s="2389"/>
      <c r="R464" s="2389"/>
      <c r="S464" s="2389"/>
      <c r="T464" s="2389"/>
      <c r="U464" s="2389"/>
      <c r="V464" s="2389"/>
      <c r="W464" s="2389"/>
      <c r="X464" s="2389"/>
      <c r="Y464" s="2389"/>
      <c r="Z464" s="2389"/>
      <c r="AA464" s="2389"/>
      <c r="AB464" s="2389"/>
      <c r="AC464" s="2389"/>
      <c r="AD464" s="2389"/>
      <c r="AE464" s="2389"/>
      <c r="AF464" s="1319"/>
      <c r="AG464" s="1319"/>
      <c r="AH464" s="1319"/>
      <c r="AI464" s="1319"/>
      <c r="AJ464" s="1319"/>
      <c r="AK464" s="1319"/>
      <c r="AL464" s="1320"/>
      <c r="AM464" s="16"/>
      <c r="AN464" s="439"/>
      <c r="AO464" s="46" t="s">
        <v>1473</v>
      </c>
      <c r="AP464" s="46">
        <v>5</v>
      </c>
    </row>
    <row r="465" spans="1:54" s="46" customFormat="1" ht="12.75" customHeight="1">
      <c r="A465" s="8"/>
      <c r="B465" s="65"/>
      <c r="C465" s="162"/>
      <c r="D465" s="162"/>
      <c r="E465" s="162"/>
      <c r="F465" s="162"/>
      <c r="G465" s="1210"/>
      <c r="H465" s="1210"/>
      <c r="I465" s="1210"/>
      <c r="J465" s="1210"/>
      <c r="K465" s="1210"/>
      <c r="L465" s="1210"/>
      <c r="M465" s="1210"/>
      <c r="N465" s="1210"/>
      <c r="O465" s="1210"/>
      <c r="P465" s="1210"/>
      <c r="Q465" s="1210"/>
      <c r="R465" s="1210"/>
      <c r="S465" s="1210"/>
      <c r="T465" s="1210"/>
      <c r="U465" s="1210"/>
      <c r="V465" s="1210"/>
      <c r="W465" s="1210"/>
      <c r="X465" s="1210"/>
      <c r="Y465" s="1210"/>
      <c r="Z465" s="1210"/>
      <c r="AA465" s="1210"/>
      <c r="AB465" s="1210"/>
      <c r="AC465" s="1210"/>
      <c r="AD465" s="1210"/>
      <c r="AE465" s="162"/>
      <c r="AF465" s="162"/>
      <c r="AG465" s="162"/>
      <c r="AH465" s="162"/>
      <c r="AI465" s="162"/>
      <c r="AJ465" s="162"/>
      <c r="AK465" s="162"/>
      <c r="AL465" s="162"/>
      <c r="AM465" s="16"/>
      <c r="AN465" s="439"/>
      <c r="AO465" s="46" t="s">
        <v>1351</v>
      </c>
      <c r="AP465" s="46">
        <v>5</v>
      </c>
    </row>
    <row r="466" spans="1:54" s="46" customFormat="1" ht="12.75" customHeight="1">
      <c r="A466" s="8"/>
      <c r="B466" s="65"/>
      <c r="C466" s="1329"/>
      <c r="D466" s="1254"/>
      <c r="E466" s="1186" t="s">
        <v>1070</v>
      </c>
      <c r="F466" s="2407" t="s">
        <v>2074</v>
      </c>
      <c r="G466" s="2407"/>
      <c r="H466" s="2407"/>
      <c r="I466" s="2407"/>
      <c r="J466" s="2407"/>
      <c r="K466" s="2407"/>
      <c r="L466" s="2407"/>
      <c r="M466" s="2407"/>
      <c r="N466" s="2407"/>
      <c r="O466" s="2407"/>
      <c r="P466" s="2407"/>
      <c r="Q466" s="2407"/>
      <c r="R466" s="2407"/>
      <c r="S466" s="2407"/>
      <c r="T466" s="2407"/>
      <c r="U466" s="2407"/>
      <c r="V466" s="2407"/>
      <c r="W466" s="2407"/>
      <c r="X466" s="2407"/>
      <c r="Y466" s="2407"/>
      <c r="Z466" s="2407"/>
      <c r="AA466" s="2407"/>
      <c r="AB466" s="2407"/>
      <c r="AC466" s="2407"/>
      <c r="AD466" s="2407"/>
      <c r="AE466" s="2407"/>
      <c r="AF466" s="2407"/>
      <c r="AG466" s="1328"/>
      <c r="AH466" s="1185"/>
      <c r="AI466" s="1185"/>
      <c r="AJ466" s="1185"/>
      <c r="AK466" s="1185"/>
      <c r="AL466" s="1213"/>
      <c r="AM466" s="16"/>
      <c r="AN466" s="439"/>
      <c r="AO466" s="46" t="s">
        <v>1474</v>
      </c>
      <c r="AP466" s="46">
        <v>1</v>
      </c>
    </row>
    <row r="467" spans="1:54" s="46" customFormat="1" ht="12.75" customHeight="1">
      <c r="A467" s="8"/>
      <c r="B467" s="65"/>
      <c r="C467" s="1192"/>
      <c r="D467" s="125"/>
      <c r="E467" s="306"/>
      <c r="F467" s="2408"/>
      <c r="G467" s="2408"/>
      <c r="H467" s="2408"/>
      <c r="I467" s="2408"/>
      <c r="J467" s="2408"/>
      <c r="K467" s="2408"/>
      <c r="L467" s="2408"/>
      <c r="M467" s="2408"/>
      <c r="N467" s="2408"/>
      <c r="O467" s="2408"/>
      <c r="P467" s="2408"/>
      <c r="Q467" s="2408"/>
      <c r="R467" s="2408"/>
      <c r="S467" s="2408"/>
      <c r="T467" s="2408"/>
      <c r="U467" s="2408"/>
      <c r="V467" s="2408"/>
      <c r="W467" s="2408"/>
      <c r="X467" s="2408"/>
      <c r="Y467" s="2408"/>
      <c r="Z467" s="2408"/>
      <c r="AA467" s="2408"/>
      <c r="AB467" s="2408"/>
      <c r="AC467" s="2408"/>
      <c r="AD467" s="2408"/>
      <c r="AE467" s="2408"/>
      <c r="AF467" s="2408"/>
      <c r="AG467" s="162"/>
      <c r="AH467" s="162"/>
      <c r="AI467" s="162"/>
      <c r="AJ467" s="162"/>
      <c r="AK467" s="162"/>
      <c r="AL467" s="1193"/>
      <c r="AM467" s="16"/>
      <c r="AN467" s="439"/>
      <c r="AS467" s="542"/>
      <c r="AW467" s="542" t="s">
        <v>1079</v>
      </c>
      <c r="BA467" s="542" t="s">
        <v>1080</v>
      </c>
    </row>
    <row r="468" spans="1:54" s="46" customFormat="1" ht="12.75" customHeight="1">
      <c r="A468" s="8"/>
      <c r="B468" s="65"/>
      <c r="C468" s="1196"/>
      <c r="D468" s="162"/>
      <c r="E468" s="162"/>
      <c r="F468" s="2408"/>
      <c r="G468" s="2408"/>
      <c r="H468" s="2408"/>
      <c r="I468" s="2408"/>
      <c r="J468" s="2408"/>
      <c r="K468" s="2408"/>
      <c r="L468" s="2408"/>
      <c r="M468" s="2408"/>
      <c r="N468" s="2408"/>
      <c r="O468" s="2408"/>
      <c r="P468" s="2408"/>
      <c r="Q468" s="2408"/>
      <c r="R468" s="2408"/>
      <c r="S468" s="2408"/>
      <c r="T468" s="2408"/>
      <c r="U468" s="2408"/>
      <c r="V468" s="2408"/>
      <c r="W468" s="2408"/>
      <c r="X468" s="2408"/>
      <c r="Y468" s="2408"/>
      <c r="Z468" s="2408"/>
      <c r="AA468" s="2408"/>
      <c r="AB468" s="2408"/>
      <c r="AC468" s="2408"/>
      <c r="AD468" s="2408"/>
      <c r="AE468" s="2408"/>
      <c r="AF468" s="2408"/>
      <c r="AG468" s="162"/>
      <c r="AH468" s="162"/>
      <c r="AI468" s="162"/>
      <c r="AJ468" s="162"/>
      <c r="AK468" s="162"/>
      <c r="AL468" s="1193"/>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6"/>
      <c r="D469" s="162"/>
      <c r="E469" s="162"/>
      <c r="F469" s="2408"/>
      <c r="G469" s="2408"/>
      <c r="H469" s="2408"/>
      <c r="I469" s="2408"/>
      <c r="J469" s="2408"/>
      <c r="K469" s="2408"/>
      <c r="L469" s="2408"/>
      <c r="M469" s="2408"/>
      <c r="N469" s="2408"/>
      <c r="O469" s="2408"/>
      <c r="P469" s="2408"/>
      <c r="Q469" s="2408"/>
      <c r="R469" s="2408"/>
      <c r="S469" s="2408"/>
      <c r="T469" s="2408"/>
      <c r="U469" s="2408"/>
      <c r="V469" s="2408"/>
      <c r="W469" s="2408"/>
      <c r="X469" s="2408"/>
      <c r="Y469" s="2408"/>
      <c r="Z469" s="2408"/>
      <c r="AA469" s="2408"/>
      <c r="AB469" s="2408"/>
      <c r="AC469" s="2408"/>
      <c r="AD469" s="2408"/>
      <c r="AE469" s="2408"/>
      <c r="AF469" s="2408"/>
      <c r="AG469" s="162"/>
      <c r="AH469" s="162"/>
      <c r="AI469" s="162"/>
      <c r="AJ469" s="162"/>
      <c r="AK469" s="162"/>
      <c r="AL469" s="1193"/>
      <c r="AM469" s="16"/>
      <c r="AN469" s="439"/>
      <c r="AO469" s="551">
        <v>7.0000000000000007E-2</v>
      </c>
      <c r="AP469" s="64">
        <v>3</v>
      </c>
      <c r="AR469" s="46" t="s">
        <v>2183</v>
      </c>
      <c r="AS469" s="64">
        <v>3</v>
      </c>
      <c r="AT469" s="43"/>
      <c r="AW469" s="551">
        <v>0.4</v>
      </c>
      <c r="AX469" s="43">
        <v>3</v>
      </c>
      <c r="BA469" s="551">
        <v>0.4</v>
      </c>
      <c r="BB469" s="43">
        <v>4</v>
      </c>
    </row>
    <row r="470" spans="1:54" s="46" customFormat="1" ht="12.75" customHeight="1">
      <c r="A470" s="8"/>
      <c r="B470" s="65"/>
      <c r="C470" s="2390" t="s">
        <v>136</v>
      </c>
      <c r="D470" s="1694"/>
      <c r="E470" s="350"/>
      <c r="F470" s="1209" t="s">
        <v>2018</v>
      </c>
      <c r="G470" s="1210"/>
      <c r="H470" s="1210"/>
      <c r="I470" s="1210"/>
      <c r="J470" s="1210"/>
      <c r="K470" s="1210"/>
      <c r="L470" s="1210"/>
      <c r="M470" s="1210"/>
      <c r="N470" s="1210"/>
      <c r="O470" s="1210"/>
      <c r="P470" s="1210"/>
      <c r="Q470" s="1210"/>
      <c r="R470" s="1210"/>
      <c r="S470" s="1210"/>
      <c r="T470" s="1210"/>
      <c r="U470" s="1210"/>
      <c r="V470" s="1210"/>
      <c r="W470" s="1210"/>
      <c r="X470" s="1210"/>
      <c r="Y470" s="1210"/>
      <c r="Z470" s="1210"/>
      <c r="AA470" s="1210"/>
      <c r="AB470" s="1210"/>
      <c r="AC470" s="1210"/>
      <c r="AD470" s="1210"/>
      <c r="AE470" s="162"/>
      <c r="AF470" s="2403" t="s">
        <v>355</v>
      </c>
      <c r="AG470" s="2403"/>
      <c r="AH470" s="2403"/>
      <c r="AI470" s="2403"/>
      <c r="AJ470" s="2403"/>
      <c r="AK470" s="2403"/>
      <c r="AL470" s="2404"/>
      <c r="AM470" s="16"/>
      <c r="AN470" s="439"/>
      <c r="AO470" s="551">
        <v>0.12</v>
      </c>
      <c r="AP470" s="64">
        <v>5</v>
      </c>
      <c r="AR470" s="46" t="s">
        <v>2184</v>
      </c>
      <c r="AS470" s="64">
        <v>5</v>
      </c>
      <c r="AT470" s="43"/>
      <c r="AW470" s="551">
        <v>0.6</v>
      </c>
      <c r="AX470" s="43">
        <v>4</v>
      </c>
      <c r="BA470" s="551">
        <v>0.6</v>
      </c>
      <c r="BB470" s="43">
        <v>5</v>
      </c>
    </row>
    <row r="471" spans="1:54" s="46" customFormat="1" ht="12.75" customHeight="1">
      <c r="A471" s="8"/>
      <c r="B471" s="65"/>
      <c r="C471" s="1197"/>
      <c r="D471" s="1198"/>
      <c r="E471" s="1199"/>
      <c r="F471" s="1203"/>
      <c r="G471" s="1203"/>
      <c r="H471" s="1203"/>
      <c r="I471" s="1203"/>
      <c r="J471" s="1203"/>
      <c r="K471" s="1203"/>
      <c r="L471" s="1203"/>
      <c r="M471" s="1203"/>
      <c r="N471" s="1203"/>
      <c r="O471" s="1203"/>
      <c r="P471" s="1203"/>
      <c r="Q471" s="1203"/>
      <c r="R471" s="1203"/>
      <c r="S471" s="1203"/>
      <c r="T471" s="1203"/>
      <c r="U471" s="1203"/>
      <c r="V471" s="1203"/>
      <c r="W471" s="1203"/>
      <c r="X471" s="1203"/>
      <c r="Y471" s="1203"/>
      <c r="Z471" s="1203"/>
      <c r="AA471" s="1203"/>
      <c r="AB471" s="1203"/>
      <c r="AC471" s="1203"/>
      <c r="AD471" s="1203"/>
      <c r="AE471" s="1203"/>
      <c r="AF471" s="1203"/>
      <c r="AG471" s="1203"/>
      <c r="AH471" s="1203"/>
      <c r="AI471" s="1203"/>
      <c r="AJ471" s="1203"/>
      <c r="AK471" s="1203"/>
      <c r="AL471" s="1204"/>
      <c r="AN471" s="439"/>
      <c r="AO471" s="551"/>
      <c r="AP471" s="43"/>
      <c r="AS471" s="551"/>
      <c r="AT471" s="43"/>
      <c r="AW471" s="551">
        <v>0.8</v>
      </c>
      <c r="AX471" s="43">
        <v>5</v>
      </c>
      <c r="BA471" s="551"/>
      <c r="BB471" s="43"/>
    </row>
    <row r="472" spans="1:54" s="46" customFormat="1" ht="12.75" customHeight="1">
      <c r="A472" s="8"/>
      <c r="B472" s="65"/>
      <c r="C472" s="102"/>
      <c r="D472" s="102"/>
      <c r="E472" s="153"/>
      <c r="F472" s="1429"/>
      <c r="G472" s="977"/>
      <c r="H472" s="977"/>
      <c r="I472" s="977"/>
      <c r="J472" s="977"/>
      <c r="K472" s="977"/>
      <c r="L472" s="977"/>
      <c r="M472" s="977"/>
      <c r="N472" s="977"/>
      <c r="O472" s="977"/>
      <c r="P472" s="977"/>
      <c r="Q472" s="977"/>
      <c r="R472" s="977"/>
      <c r="S472" s="977"/>
      <c r="T472" s="977"/>
      <c r="U472" s="977"/>
      <c r="V472" s="977"/>
      <c r="W472" s="977"/>
      <c r="X472" s="977"/>
      <c r="Y472" s="977"/>
      <c r="Z472" s="977"/>
      <c r="AA472" s="977"/>
      <c r="AB472" s="977"/>
      <c r="AC472" s="977"/>
      <c r="AD472" s="977"/>
      <c r="AE472" s="153"/>
      <c r="AF472" s="175"/>
      <c r="AG472" s="175"/>
      <c r="AH472" s="175"/>
      <c r="AI472" s="175"/>
      <c r="AJ472" s="175"/>
      <c r="AK472" s="175"/>
      <c r="AL472" s="175"/>
      <c r="AN472" s="439"/>
      <c r="AO472" s="46" t="s">
        <v>136</v>
      </c>
      <c r="AP472" s="64">
        <v>0</v>
      </c>
      <c r="AW472" s="551"/>
      <c r="AX472" s="43"/>
    </row>
    <row r="473" spans="1:54" s="46" customFormat="1" ht="12.75" customHeight="1">
      <c r="A473" s="8"/>
      <c r="B473" s="65"/>
      <c r="C473" s="153"/>
      <c r="D473" s="153"/>
      <c r="E473" s="350"/>
      <c r="F473" s="153"/>
      <c r="G473" s="977"/>
      <c r="H473" s="977"/>
      <c r="I473" s="977"/>
      <c r="J473" s="977"/>
      <c r="K473" s="977"/>
      <c r="L473" s="977"/>
      <c r="M473" s="977"/>
      <c r="N473" s="977"/>
      <c r="O473" s="977"/>
      <c r="P473" s="977"/>
      <c r="Q473" s="977"/>
      <c r="R473" s="977"/>
      <c r="S473" s="977"/>
      <c r="T473" s="977"/>
      <c r="U473" s="977"/>
      <c r="V473" s="977"/>
      <c r="W473" s="977"/>
      <c r="X473" s="977"/>
      <c r="Y473" s="977"/>
      <c r="Z473" s="977"/>
      <c r="AA473" s="977"/>
      <c r="AB473" s="977"/>
      <c r="AC473" s="977"/>
      <c r="AD473" s="977"/>
      <c r="AE473" s="153"/>
      <c r="AF473" s="153"/>
      <c r="AG473" s="153"/>
      <c r="AH473" s="153"/>
      <c r="AI473" s="153"/>
      <c r="AJ473" s="153"/>
      <c r="AK473" s="153"/>
      <c r="AL473" s="153"/>
      <c r="AM473" s="16"/>
      <c r="AN473" s="439"/>
      <c r="AO473" s="551">
        <v>0.09</v>
      </c>
      <c r="AP473" s="64">
        <v>3</v>
      </c>
      <c r="AS473" s="542"/>
    </row>
    <row r="474" spans="1:54" s="46" customFormat="1" ht="12.75" customHeight="1">
      <c r="A474" s="8"/>
      <c r="B474" s="65"/>
      <c r="C474" s="102"/>
      <c r="D474" s="102"/>
      <c r="E474" s="306"/>
      <c r="F474" s="1429"/>
      <c r="G474" s="977"/>
      <c r="H474" s="977"/>
      <c r="I474" s="977"/>
      <c r="J474" s="977"/>
      <c r="K474" s="977"/>
      <c r="L474" s="977"/>
      <c r="M474" s="977"/>
      <c r="N474" s="977"/>
      <c r="O474" s="977"/>
      <c r="P474" s="977"/>
      <c r="Q474" s="977"/>
      <c r="R474" s="977"/>
      <c r="S474" s="977"/>
      <c r="T474" s="977"/>
      <c r="U474" s="977"/>
      <c r="V474" s="977"/>
      <c r="W474" s="977"/>
      <c r="X474" s="977"/>
      <c r="Y474" s="977"/>
      <c r="Z474" s="977"/>
      <c r="AA474" s="977"/>
      <c r="AB474" s="977"/>
      <c r="AC474" s="977"/>
      <c r="AD474" s="977"/>
      <c r="AE474" s="153"/>
      <c r="AF474" s="175"/>
      <c r="AG474" s="175"/>
      <c r="AH474" s="175"/>
      <c r="AI474" s="175"/>
      <c r="AJ474" s="175"/>
      <c r="AK474" s="175"/>
      <c r="AL474" s="175"/>
      <c r="AM474" s="16"/>
      <c r="AN474" s="439"/>
      <c r="AO474" s="551">
        <v>0.15</v>
      </c>
      <c r="AP474" s="64">
        <v>5</v>
      </c>
    </row>
    <row r="475" spans="1:54" s="46" customFormat="1" ht="12.75" customHeight="1">
      <c r="A475" s="8"/>
      <c r="B475" s="65"/>
      <c r="C475" s="15"/>
      <c r="D475" s="65"/>
      <c r="E475" s="306"/>
      <c r="G475" s="546"/>
      <c r="H475" s="546"/>
      <c r="I475" s="546"/>
      <c r="J475" s="546"/>
      <c r="K475" s="546"/>
      <c r="L475" s="546"/>
      <c r="M475" s="546"/>
      <c r="N475" s="546"/>
      <c r="O475" s="546"/>
      <c r="P475" s="546"/>
      <c r="Q475" s="546"/>
      <c r="R475" s="546"/>
      <c r="S475" s="546"/>
      <c r="T475" s="546"/>
      <c r="U475" s="546"/>
      <c r="V475" s="546"/>
      <c r="W475" s="546"/>
      <c r="X475" s="546"/>
      <c r="Y475" s="546"/>
      <c r="Z475" s="546"/>
      <c r="AA475" s="546"/>
      <c r="AB475" s="546"/>
      <c r="AC475" s="546"/>
      <c r="AD475" s="546"/>
      <c r="AE475" s="8"/>
      <c r="AF475" s="63"/>
      <c r="AG475" s="8"/>
      <c r="AM475" s="16"/>
      <c r="AN475" s="439"/>
    </row>
    <row r="476" spans="1:54" s="46" customFormat="1" ht="12.75" customHeight="1">
      <c r="A476" s="117"/>
      <c r="B476" s="970" t="s">
        <v>2094</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7" t="s">
        <v>790</v>
      </c>
      <c r="AK476" s="2360">
        <f>IF(AS359=0,AS357,AS359)</f>
        <v>12</v>
      </c>
      <c r="AL476" s="2361"/>
      <c r="AM476" s="2362"/>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1639</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437" t="s">
        <v>1391</v>
      </c>
      <c r="AF479" s="2437"/>
      <c r="AG479" s="2437"/>
      <c r="AH479" s="2437"/>
      <c r="AI479" s="2437"/>
      <c r="AJ479" s="2437"/>
      <c r="AK479" s="2437"/>
      <c r="AL479" s="1299"/>
      <c r="AM479" s="153"/>
      <c r="AN479" s="439"/>
      <c r="AO479" s="46" t="s">
        <v>1074</v>
      </c>
      <c r="AP479" s="46">
        <v>5</v>
      </c>
      <c r="AQ479" s="162"/>
      <c r="AR479" s="162"/>
      <c r="AS479" s="162"/>
      <c r="AT479" s="162"/>
      <c r="AU479" s="162"/>
      <c r="AV479" s="162"/>
      <c r="AW479" s="162"/>
    </row>
    <row r="480" spans="1:54" s="46" customFormat="1" ht="12.75" hidden="1" customHeight="1">
      <c r="A480" s="152"/>
      <c r="B480" s="74" t="s">
        <v>1673</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99"/>
      <c r="AM480" s="153"/>
      <c r="AN480" s="439"/>
      <c r="AO480" s="46" t="s">
        <v>1283</v>
      </c>
      <c r="AP480" s="46">
        <v>5</v>
      </c>
      <c r="AQ480" s="162"/>
      <c r="AR480" s="162"/>
      <c r="AS480" s="162"/>
      <c r="AT480" s="162"/>
      <c r="AU480" s="162"/>
      <c r="AV480" s="162"/>
      <c r="AW480" s="162"/>
    </row>
    <row r="481" spans="1:50" s="46" customFormat="1" ht="12.75" hidden="1" customHeight="1">
      <c r="A481" s="152"/>
      <c r="B481" s="48" t="s">
        <v>1127</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99"/>
      <c r="AM481" s="153"/>
      <c r="AN481" s="439"/>
      <c r="AO481" s="46" t="s">
        <v>1475</v>
      </c>
      <c r="AP481" s="46">
        <v>5</v>
      </c>
      <c r="AQ481" s="680"/>
      <c r="AR481" s="680"/>
      <c r="AS481" s="542"/>
      <c r="AW481" s="542"/>
    </row>
    <row r="482" spans="1:50" s="46" customFormat="1" ht="12.75" hidden="1" customHeight="1">
      <c r="A482" s="152"/>
      <c r="B482" s="48" t="s">
        <v>1084</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99"/>
      <c r="AM482" s="153"/>
      <c r="AN482" s="439"/>
      <c r="AO482" s="46" t="s">
        <v>1471</v>
      </c>
      <c r="AP482" s="46">
        <v>5</v>
      </c>
      <c r="AQ482" s="680"/>
      <c r="AR482" s="680"/>
      <c r="AW482" s="731"/>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99"/>
      <c r="AM483" s="153"/>
      <c r="AN483" s="439"/>
      <c r="AO483" s="46" t="s">
        <v>1472</v>
      </c>
      <c r="AP483" s="46">
        <v>5</v>
      </c>
      <c r="AQ483" s="680"/>
      <c r="AR483" s="680"/>
      <c r="AW483" s="731"/>
    </row>
    <row r="484" spans="1:50" s="46" customFormat="1" ht="12.75" hidden="1" customHeight="1">
      <c r="A484" s="152"/>
      <c r="B484" s="153"/>
      <c r="C484" s="550" t="s">
        <v>1640</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1473</v>
      </c>
      <c r="AP484" s="46">
        <v>5</v>
      </c>
      <c r="AW484" s="731"/>
    </row>
    <row r="485" spans="1:50" s="46" customFormat="1" ht="12.75" hidden="1" customHeight="1">
      <c r="A485" s="152"/>
      <c r="C485" s="2336" t="s">
        <v>136</v>
      </c>
      <c r="D485" s="2337"/>
      <c r="E485" s="1252" t="s">
        <v>212</v>
      </c>
      <c r="F485" s="2367" t="s">
        <v>1076</v>
      </c>
      <c r="G485" s="2367"/>
      <c r="H485" s="2367"/>
      <c r="I485" s="2367"/>
      <c r="J485" s="2367"/>
      <c r="K485" s="2367"/>
      <c r="L485" s="2367"/>
      <c r="M485" s="2367"/>
      <c r="N485" s="2367"/>
      <c r="O485" s="2367"/>
      <c r="P485" s="2367"/>
      <c r="Q485" s="2367"/>
      <c r="R485" s="2367"/>
      <c r="S485" s="2367"/>
      <c r="T485" s="2367"/>
      <c r="U485" s="2367"/>
      <c r="V485" s="2367"/>
      <c r="W485" s="2367"/>
      <c r="X485" s="2367"/>
      <c r="Y485" s="2367"/>
      <c r="Z485" s="2367"/>
      <c r="AA485" s="2367"/>
      <c r="AB485" s="2367"/>
      <c r="AC485" s="2367"/>
      <c r="AD485" s="2367"/>
      <c r="AE485" s="2367"/>
      <c r="AF485" s="1185"/>
      <c r="AG485" s="1185"/>
      <c r="AH485" s="1185"/>
      <c r="AI485" s="1185"/>
      <c r="AJ485" s="1185"/>
      <c r="AK485" s="1213"/>
      <c r="AL485" s="162"/>
      <c r="AN485" s="439"/>
      <c r="AO485" s="46" t="s">
        <v>2185</v>
      </c>
      <c r="AP485" s="46">
        <v>5</v>
      </c>
      <c r="AS485" s="551"/>
      <c r="AT485" s="43"/>
      <c r="AW485" s="731"/>
      <c r="AX485" s="64"/>
    </row>
    <row r="486" spans="1:50" s="46" customFormat="1" ht="12.75" hidden="1" customHeight="1">
      <c r="A486" s="28"/>
      <c r="C486" s="1221"/>
      <c r="D486" s="162"/>
      <c r="E486" s="225"/>
      <c r="F486" s="2368"/>
      <c r="G486" s="2368"/>
      <c r="H486" s="2368"/>
      <c r="I486" s="2368"/>
      <c r="J486" s="2368"/>
      <c r="K486" s="2368"/>
      <c r="L486" s="2368"/>
      <c r="M486" s="2368"/>
      <c r="N486" s="2368"/>
      <c r="O486" s="2368"/>
      <c r="P486" s="2368"/>
      <c r="Q486" s="2368"/>
      <c r="R486" s="2368"/>
      <c r="S486" s="2368"/>
      <c r="T486" s="2368"/>
      <c r="U486" s="2368"/>
      <c r="V486" s="2368"/>
      <c r="W486" s="2368"/>
      <c r="X486" s="2368"/>
      <c r="Y486" s="2368"/>
      <c r="Z486" s="2368"/>
      <c r="AA486" s="2368"/>
      <c r="AB486" s="2368"/>
      <c r="AC486" s="2368"/>
      <c r="AD486" s="2368"/>
      <c r="AE486" s="2368"/>
      <c r="AF486" s="162"/>
      <c r="AG486" s="27"/>
      <c r="AH486" s="27"/>
      <c r="AI486" s="27"/>
      <c r="AJ486" s="27"/>
      <c r="AK486" s="1193"/>
      <c r="AL486" s="162"/>
      <c r="AN486" s="439"/>
      <c r="AO486" s="46" t="s">
        <v>1474</v>
      </c>
      <c r="AP486" s="46">
        <v>1</v>
      </c>
    </row>
    <row r="487" spans="1:50" s="46" customFormat="1" ht="12.75" hidden="1" customHeight="1">
      <c r="A487" s="28"/>
      <c r="C487" s="1222"/>
      <c r="D487" s="1203"/>
      <c r="E487" s="1223"/>
      <c r="F487" s="2341" t="s">
        <v>136</v>
      </c>
      <c r="G487" s="2341"/>
      <c r="H487" s="2341"/>
      <c r="I487" s="2341"/>
      <c r="J487" s="2341"/>
      <c r="K487" s="2341"/>
      <c r="L487" s="2341"/>
      <c r="M487" s="2341"/>
      <c r="N487" s="2341"/>
      <c r="O487" s="2341"/>
      <c r="P487" s="2341"/>
      <c r="Q487" s="2341"/>
      <c r="R487" s="2341"/>
      <c r="S487" s="2341"/>
      <c r="T487" s="2341"/>
      <c r="U487" s="2341"/>
      <c r="V487" s="2341"/>
      <c r="W487" s="2341"/>
      <c r="X487" s="2341"/>
      <c r="Y487" s="2341"/>
      <c r="Z487" s="2341"/>
      <c r="AA487" s="1224"/>
      <c r="AB487" s="1225"/>
      <c r="AC487" s="1225"/>
      <c r="AD487" s="1203"/>
      <c r="AE487" s="1203"/>
      <c r="AF487" s="1203"/>
      <c r="AG487" s="1226">
        <f>IF($C$485="Yes",(VLOOKUP($F$487,$AO$458:$AP$466,2,FALSE)),0)</f>
        <v>0</v>
      </c>
      <c r="AH487" s="1227" t="s">
        <v>1078</v>
      </c>
      <c r="AI487" s="1226"/>
      <c r="AJ487" s="1226"/>
      <c r="AK487" s="1204"/>
      <c r="AL487" s="162"/>
      <c r="AN487" s="439"/>
      <c r="AS487" s="542"/>
      <c r="AW487" s="542"/>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398" t="s">
        <v>119</v>
      </c>
      <c r="D489" s="2399"/>
      <c r="E489" s="1252" t="s">
        <v>336</v>
      </c>
      <c r="F489" s="1228" t="s">
        <v>1479</v>
      </c>
      <c r="G489" s="1229"/>
      <c r="H489" s="1229"/>
      <c r="I489" s="1229"/>
      <c r="J489" s="1229"/>
      <c r="K489" s="1229"/>
      <c r="L489" s="1229"/>
      <c r="M489" s="1229"/>
      <c r="N489" s="1229"/>
      <c r="O489" s="1229"/>
      <c r="P489" s="1229"/>
      <c r="Q489" s="1229"/>
      <c r="R489" s="1229"/>
      <c r="S489" s="1229"/>
      <c r="T489" s="1229"/>
      <c r="U489" s="1229"/>
      <c r="V489" s="1229"/>
      <c r="W489" s="1229"/>
      <c r="X489" s="1229"/>
      <c r="Y489" s="1229"/>
      <c r="Z489" s="1229"/>
      <c r="AA489" s="1229"/>
      <c r="AB489" s="1229"/>
      <c r="AC489" s="1229"/>
      <c r="AD489" s="1185"/>
      <c r="AE489" s="1185"/>
      <c r="AF489" s="1185"/>
      <c r="AG489" s="1229"/>
      <c r="AH489" s="1229"/>
      <c r="AI489" s="1229"/>
      <c r="AJ489" s="1229"/>
      <c r="AK489" s="1213"/>
      <c r="AL489" s="162"/>
      <c r="AN489" s="439"/>
      <c r="AO489" s="551">
        <v>0.15</v>
      </c>
      <c r="AP489" s="64">
        <v>3</v>
      </c>
    </row>
    <row r="490" spans="1:50" s="46" customFormat="1" ht="12.75" hidden="1" customHeight="1">
      <c r="A490" s="28"/>
      <c r="C490" s="1230" t="s">
        <v>1352</v>
      </c>
      <c r="D490" s="162"/>
      <c r="E490" s="162"/>
      <c r="F490" s="891" t="s">
        <v>1674</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6"/>
      <c r="AD490" s="162"/>
      <c r="AE490" s="162"/>
      <c r="AF490" s="162"/>
      <c r="AG490" s="175"/>
      <c r="AH490" s="175"/>
      <c r="AI490" s="175"/>
      <c r="AJ490" s="175"/>
      <c r="AK490" s="1193"/>
      <c r="AL490" s="162"/>
      <c r="AN490" s="439"/>
      <c r="AO490" s="551">
        <v>0.2</v>
      </c>
      <c r="AP490" s="64">
        <v>5</v>
      </c>
    </row>
    <row r="491" spans="1:50" s="46" customFormat="1" ht="12.75" hidden="1" customHeight="1">
      <c r="A491" s="28"/>
      <c r="C491" s="1217"/>
      <c r="D491" s="1160"/>
      <c r="E491" s="297"/>
      <c r="F491" s="891" t="s">
        <v>2197</v>
      </c>
      <c r="G491" s="891"/>
      <c r="H491" s="891"/>
      <c r="I491" s="891"/>
      <c r="J491" s="891"/>
      <c r="K491" s="891"/>
      <c r="L491" s="891"/>
      <c r="M491" s="891"/>
      <c r="N491" s="891"/>
      <c r="O491" s="891"/>
      <c r="P491" s="891"/>
      <c r="Q491" s="891"/>
      <c r="R491" s="891"/>
      <c r="S491" s="891"/>
      <c r="T491" s="891"/>
      <c r="U491" s="891"/>
      <c r="V491" s="891"/>
      <c r="W491" s="891"/>
      <c r="X491" s="891"/>
      <c r="Y491" s="891"/>
      <c r="Z491" s="891"/>
      <c r="AA491" s="891"/>
      <c r="AB491" s="891"/>
      <c r="AC491" s="892"/>
      <c r="AD491" s="967"/>
      <c r="AE491" s="967"/>
      <c r="AF491" s="967"/>
      <c r="AG491" s="893"/>
      <c r="AH491" s="175"/>
      <c r="AI491" s="175"/>
      <c r="AJ491" s="175"/>
      <c r="AK491" s="1193"/>
      <c r="AL491" s="162"/>
      <c r="AN491" s="474"/>
      <c r="AO491" s="551"/>
      <c r="AP491" s="43"/>
    </row>
    <row r="492" spans="1:50" s="205" customFormat="1" ht="12.75" hidden="1" customHeight="1">
      <c r="A492" s="57"/>
      <c r="B492" s="46"/>
      <c r="C492" s="1221"/>
      <c r="D492" s="162"/>
      <c r="E492" s="225"/>
      <c r="F492" s="1231" t="s">
        <v>1077</v>
      </c>
      <c r="G492" s="162"/>
      <c r="H492" s="162"/>
      <c r="I492" s="891"/>
      <c r="J492" s="891"/>
      <c r="K492" s="891"/>
      <c r="L492" s="891"/>
      <c r="M492" s="891"/>
      <c r="N492" s="891"/>
      <c r="O492" s="891"/>
      <c r="P492" s="891"/>
      <c r="Q492" s="891"/>
      <c r="R492" s="891"/>
      <c r="S492" s="891"/>
      <c r="T492" s="891"/>
      <c r="U492" s="891"/>
      <c r="V492" s="2338" t="s">
        <v>136</v>
      </c>
      <c r="W492" s="2338"/>
      <c r="X492" s="2338"/>
      <c r="Y492" s="891"/>
      <c r="Z492" s="891"/>
      <c r="AA492" s="891"/>
      <c r="AB492" s="891"/>
      <c r="AC492" s="891"/>
      <c r="AD492" s="967"/>
      <c r="AE492" s="967"/>
      <c r="AF492" s="967"/>
      <c r="AG492" s="175">
        <f>IF(AND($C$489="Yes",$V$494="N/A",$V$499="N/A",$V$503="N/A",$V$505="N/A"),(VLOOKUP(V492,$AR$468:$AS$470,2,FALSE)),0)</f>
        <v>0</v>
      </c>
      <c r="AH492" s="1159" t="s">
        <v>1078</v>
      </c>
      <c r="AI492" s="27"/>
      <c r="AJ492" s="27"/>
      <c r="AK492" s="1193"/>
      <c r="AL492" s="162"/>
      <c r="AM492" s="46"/>
      <c r="AN492" s="439"/>
    </row>
    <row r="493" spans="1:50" s="205" customFormat="1" ht="12.75" hidden="1" customHeight="1">
      <c r="A493" s="57"/>
      <c r="B493" s="46"/>
      <c r="C493" s="1221"/>
      <c r="D493" s="162"/>
      <c r="E493" s="225"/>
      <c r="F493" s="1231"/>
      <c r="G493" s="162"/>
      <c r="H493" s="162"/>
      <c r="I493" s="891"/>
      <c r="J493" s="891"/>
      <c r="K493" s="891"/>
      <c r="L493" s="891"/>
      <c r="M493" s="891"/>
      <c r="N493" s="891"/>
      <c r="O493" s="891"/>
      <c r="P493" s="891"/>
      <c r="Q493" s="891"/>
      <c r="R493" s="891"/>
      <c r="S493" s="891"/>
      <c r="T493" s="891"/>
      <c r="U493" s="891"/>
      <c r="V493" s="891"/>
      <c r="W493" s="891"/>
      <c r="X493" s="891"/>
      <c r="Y493" s="891"/>
      <c r="Z493" s="891"/>
      <c r="AA493" s="891"/>
      <c r="AB493" s="891"/>
      <c r="AC493" s="891"/>
      <c r="AD493" s="967"/>
      <c r="AE493" s="967"/>
      <c r="AF493" s="967"/>
      <c r="AG493" s="175"/>
      <c r="AH493" s="1354"/>
      <c r="AI493" s="27"/>
      <c r="AJ493" s="27"/>
      <c r="AK493" s="1193"/>
      <c r="AL493" s="162"/>
      <c r="AM493" s="46"/>
      <c r="AN493" s="439"/>
    </row>
    <row r="494" spans="1:50" s="205" customFormat="1" ht="12.75" hidden="1" customHeight="1">
      <c r="A494" s="57"/>
      <c r="B494" s="46"/>
      <c r="C494" s="1221"/>
      <c r="D494" s="162"/>
      <c r="E494" s="225"/>
      <c r="F494" s="1231" t="s">
        <v>2203</v>
      </c>
      <c r="G494" s="162"/>
      <c r="H494" s="162"/>
      <c r="I494" s="891"/>
      <c r="J494" s="891"/>
      <c r="K494" s="891"/>
      <c r="L494" s="891"/>
      <c r="M494" s="891"/>
      <c r="N494" s="891"/>
      <c r="O494" s="891"/>
      <c r="P494" s="891"/>
      <c r="Q494" s="891"/>
      <c r="R494" s="891"/>
      <c r="S494" s="891"/>
      <c r="T494" s="891"/>
      <c r="U494" s="891"/>
      <c r="V494" s="2338" t="s">
        <v>136</v>
      </c>
      <c r="W494" s="2338"/>
      <c r="X494" s="2338"/>
      <c r="Y494" s="891"/>
      <c r="Z494" s="891"/>
      <c r="AA494" s="891"/>
      <c r="AB494" s="891"/>
      <c r="AC494" s="891"/>
      <c r="AD494" s="967"/>
      <c r="AE494" s="967"/>
      <c r="AF494" s="967"/>
      <c r="AG494" s="175">
        <f>IF(AND($C$489="Yes",$V$492="N/A", $V$499="N/A",$V$503="N/A",$V$505="N/A"),(VLOOKUP(V494,$AO$468:$AP$470,2,FALSE)),0)</f>
        <v>0</v>
      </c>
      <c r="AH494" s="1354" t="s">
        <v>1078</v>
      </c>
      <c r="AI494" s="27"/>
      <c r="AJ494" s="27"/>
      <c r="AK494" s="1193"/>
      <c r="AL494" s="162"/>
      <c r="AM494" s="46"/>
      <c r="AN494" s="439"/>
    </row>
    <row r="495" spans="1:50" s="46" customFormat="1" ht="12.75" hidden="1" customHeight="1">
      <c r="A495" s="28"/>
      <c r="C495" s="1221"/>
      <c r="D495" s="162"/>
      <c r="E495" s="225"/>
      <c r="F495" s="473"/>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3"/>
      <c r="AH495" s="473"/>
      <c r="AI495" s="473"/>
      <c r="AJ495" s="473"/>
      <c r="AK495" s="1193"/>
      <c r="AL495" s="162"/>
      <c r="AN495" s="439"/>
      <c r="AO495" s="46" t="s">
        <v>136</v>
      </c>
      <c r="AP495" s="46">
        <v>0</v>
      </c>
    </row>
    <row r="496" spans="1:50" s="46" customFormat="1" ht="12.75" hidden="1" customHeight="1">
      <c r="A496" s="28"/>
      <c r="C496" s="1221"/>
      <c r="D496" s="162"/>
      <c r="E496" s="225"/>
      <c r="F496" s="384" t="s">
        <v>1478</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3"/>
      <c r="AL496" s="162"/>
      <c r="AN496" s="439"/>
      <c r="AO496" s="46" t="s">
        <v>1481</v>
      </c>
      <c r="AP496" s="64">
        <v>2</v>
      </c>
    </row>
    <row r="497" spans="1:147" s="46" customFormat="1" ht="12.75" hidden="1" customHeight="1">
      <c r="A497" s="28"/>
      <c r="C497" s="1221"/>
      <c r="D497" s="28"/>
      <c r="E497" s="28"/>
      <c r="F497" s="967" t="s">
        <v>2181</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59"/>
      <c r="AI497" s="27"/>
      <c r="AJ497" s="27"/>
      <c r="AK497" s="1193"/>
      <c r="AL497" s="162"/>
      <c r="AN497" s="439"/>
      <c r="AO497" s="46" t="s">
        <v>1085</v>
      </c>
      <c r="AP497" s="46">
        <v>2</v>
      </c>
    </row>
    <row r="498" spans="1:147" s="205" customFormat="1" ht="12.75" hidden="1" customHeight="1">
      <c r="A498" s="28"/>
      <c r="B498" s="46"/>
      <c r="C498" s="1196"/>
      <c r="D498" s="102"/>
      <c r="E498" s="102"/>
      <c r="F498" s="967" t="s">
        <v>2182</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59"/>
      <c r="AI498" s="27"/>
      <c r="AJ498" s="27"/>
      <c r="AK498" s="1193"/>
      <c r="AL498" s="162"/>
      <c r="AM498" s="46"/>
      <c r="AN498" s="474"/>
      <c r="AO498" s="46" t="s">
        <v>1086</v>
      </c>
      <c r="AP498" s="46">
        <v>2</v>
      </c>
    </row>
    <row r="499" spans="1:147" s="46" customFormat="1" ht="12.75" hidden="1" customHeight="1">
      <c r="A499" s="28"/>
      <c r="C499" s="1232"/>
      <c r="D499" s="28"/>
      <c r="E499" s="28"/>
      <c r="F499" s="1231" t="s">
        <v>1480</v>
      </c>
      <c r="G499" s="28"/>
      <c r="H499" s="28"/>
      <c r="I499" s="28"/>
      <c r="J499" s="28"/>
      <c r="K499" s="28"/>
      <c r="L499" s="28"/>
      <c r="M499" s="225"/>
      <c r="N499" s="225"/>
      <c r="O499" s="225"/>
      <c r="P499" s="225"/>
      <c r="Q499" s="27"/>
      <c r="R499" s="27"/>
      <c r="S499" s="27"/>
      <c r="T499" s="27"/>
      <c r="U499" s="27"/>
      <c r="V499" s="2338" t="s">
        <v>136</v>
      </c>
      <c r="W499" s="2338"/>
      <c r="X499" s="2338"/>
      <c r="Y499" s="27"/>
      <c r="Z499" s="27"/>
      <c r="AA499" s="27"/>
      <c r="AB499" s="27"/>
      <c r="AC499" s="27"/>
      <c r="AD499" s="162"/>
      <c r="AE499" s="162"/>
      <c r="AF499" s="162"/>
      <c r="AG499" s="175">
        <f>IF(AND($C$489="Yes",$V$492="N/A",$V$494="N/A", $V$503="N/A",$V$505="N/A"),(VLOOKUP($V$499,$AO$472:$AP$474,2,FALSE)),0)</f>
        <v>0</v>
      </c>
      <c r="AH499" s="1159" t="s">
        <v>1078</v>
      </c>
      <c r="AI499" s="27"/>
      <c r="AJ499" s="27"/>
      <c r="AK499" s="1193"/>
      <c r="AL499" s="162"/>
      <c r="AN499" s="1134"/>
    </row>
    <row r="500" spans="1:147" s="46" customFormat="1" ht="12.75" hidden="1" customHeight="1">
      <c r="A500" s="28"/>
      <c r="C500" s="1221"/>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3"/>
      <c r="AL500" s="162"/>
      <c r="AN500" s="1147"/>
    </row>
    <row r="501" spans="1:147" s="205" customFormat="1" ht="12.75" hidden="1" customHeight="1">
      <c r="A501" s="28"/>
      <c r="B501" s="153"/>
      <c r="C501" s="1236" t="s">
        <v>1353</v>
      </c>
      <c r="D501" s="1237"/>
      <c r="E501" s="1237"/>
      <c r="F501" s="1238" t="s">
        <v>1477</v>
      </c>
      <c r="G501" s="1185"/>
      <c r="H501" s="1185"/>
      <c r="I501" s="1237"/>
      <c r="J501" s="1237"/>
      <c r="K501" s="1237"/>
      <c r="L501" s="1237"/>
      <c r="M501" s="1237"/>
      <c r="N501" s="1237"/>
      <c r="O501" s="1237"/>
      <c r="P501" s="1237"/>
      <c r="Q501" s="1237"/>
      <c r="R501" s="1237"/>
      <c r="S501" s="1237"/>
      <c r="T501" s="1237"/>
      <c r="U501" s="1237"/>
      <c r="V501" s="1237"/>
      <c r="W501" s="1237"/>
      <c r="X501" s="1237"/>
      <c r="Y501" s="1237"/>
      <c r="Z501" s="1237"/>
      <c r="AA501" s="1237"/>
      <c r="AB501" s="1237"/>
      <c r="AC501" s="1237"/>
      <c r="AD501" s="1185"/>
      <c r="AE501" s="1185"/>
      <c r="AF501" s="1185"/>
      <c r="AG501" s="1185"/>
      <c r="AH501" s="1185"/>
      <c r="AI501" s="1185"/>
      <c r="AJ501" s="1237"/>
      <c r="AK501" s="1213"/>
      <c r="AL501" s="162"/>
      <c r="AM501" s="46"/>
      <c r="AN501" s="1135"/>
      <c r="AO501" s="46" t="s">
        <v>136</v>
      </c>
      <c r="AP501" s="46">
        <v>0</v>
      </c>
      <c r="AQ501" s="62"/>
    </row>
    <row r="502" spans="1:147" s="205" customFormat="1" ht="12.75" hidden="1" customHeight="1">
      <c r="A502" s="28"/>
      <c r="B502" s="153"/>
      <c r="C502" s="1233"/>
      <c r="D502" s="2110"/>
      <c r="E502" s="2110"/>
      <c r="F502" s="891" t="s">
        <v>1476</v>
      </c>
      <c r="G502" s="473"/>
      <c r="H502" s="473"/>
      <c r="I502" s="162"/>
      <c r="J502" s="162"/>
      <c r="K502" s="162"/>
      <c r="L502" s="162"/>
      <c r="M502" s="162"/>
      <c r="N502" s="162"/>
      <c r="O502" s="162"/>
      <c r="P502" s="162"/>
      <c r="Q502" s="162"/>
      <c r="R502" s="162"/>
      <c r="S502" s="162"/>
      <c r="T502" s="162"/>
      <c r="U502" s="162"/>
      <c r="V502" s="473"/>
      <c r="W502" s="473"/>
      <c r="X502" s="473"/>
      <c r="Y502" s="162"/>
      <c r="Z502" s="162"/>
      <c r="AA502" s="162"/>
      <c r="AB502" s="162"/>
      <c r="AC502" s="162"/>
      <c r="AD502" s="162"/>
      <c r="AE502" s="162"/>
      <c r="AF502" s="162"/>
      <c r="AG502" s="473"/>
      <c r="AH502" s="473"/>
      <c r="AI502" s="473"/>
      <c r="AJ502" s="473"/>
      <c r="AK502" s="1193"/>
      <c r="AL502" s="162"/>
      <c r="AM502" s="46"/>
      <c r="AN502" s="1135"/>
      <c r="AO502" s="46" t="s">
        <v>1489</v>
      </c>
      <c r="AP502" s="64">
        <v>5</v>
      </c>
      <c r="AQ502" s="63"/>
    </row>
    <row r="503" spans="1:147" s="16" customFormat="1" ht="12.75" hidden="1" customHeight="1">
      <c r="A503" s="195"/>
      <c r="B503" s="153"/>
      <c r="C503" s="1221"/>
      <c r="D503" s="162"/>
      <c r="E503" s="162"/>
      <c r="F503" s="894" t="s">
        <v>1077</v>
      </c>
      <c r="G503" s="162"/>
      <c r="H503" s="162"/>
      <c r="I503" s="162"/>
      <c r="J503" s="162"/>
      <c r="K503" s="162"/>
      <c r="L503" s="162"/>
      <c r="M503" s="162"/>
      <c r="N503" s="162"/>
      <c r="O503" s="162"/>
      <c r="P503" s="162"/>
      <c r="Q503" s="162"/>
      <c r="R503" s="162"/>
      <c r="S503" s="162"/>
      <c r="T503" s="162"/>
      <c r="U503" s="162"/>
      <c r="V503" s="2338" t="s">
        <v>136</v>
      </c>
      <c r="W503" s="2338"/>
      <c r="X503" s="2338"/>
      <c r="Y503" s="162"/>
      <c r="Z503" s="162"/>
      <c r="AA503" s="162"/>
      <c r="AB503" s="162"/>
      <c r="AC503" s="162"/>
      <c r="AD503" s="162"/>
      <c r="AE503" s="162"/>
      <c r="AF503" s="162"/>
      <c r="AG503" s="175">
        <f>IF(AND($C$489="Yes",$V$492="N/A",V494="N/A",$V$499="N/A",$V$505="N/A"),(VLOOKUP($V$503,$AW$468:$AX$471,2,FALSE)),0)</f>
        <v>0</v>
      </c>
      <c r="AH503" s="1159" t="s">
        <v>1078</v>
      </c>
      <c r="AI503" s="27"/>
      <c r="AJ503" s="162"/>
      <c r="AK503" s="1193"/>
      <c r="AL503" s="162"/>
      <c r="AM503" s="46"/>
      <c r="AN503" s="317"/>
      <c r="AO503" s="46" t="s">
        <v>1490</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1"/>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3"/>
      <c r="AL504" s="162"/>
      <c r="AM504" s="46"/>
      <c r="AN504" s="317"/>
      <c r="AO504" s="46" t="s">
        <v>1492</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2"/>
      <c r="D505" s="1203"/>
      <c r="E505" s="1203"/>
      <c r="F505" s="1231" t="s">
        <v>2203</v>
      </c>
      <c r="G505" s="1234"/>
      <c r="H505" s="1234"/>
      <c r="I505" s="1203"/>
      <c r="J505" s="1203"/>
      <c r="K505" s="1203"/>
      <c r="L505" s="1203"/>
      <c r="M505" s="1203"/>
      <c r="N505" s="1203"/>
      <c r="O505" s="1203"/>
      <c r="P505" s="1203"/>
      <c r="Q505" s="1203"/>
      <c r="R505" s="1203"/>
      <c r="S505" s="1203"/>
      <c r="T505" s="1203"/>
      <c r="U505" s="1203"/>
      <c r="V505" s="2338" t="s">
        <v>136</v>
      </c>
      <c r="W505" s="2338"/>
      <c r="X505" s="2338"/>
      <c r="Y505" s="1203"/>
      <c r="Z505" s="1203"/>
      <c r="AA505" s="1203"/>
      <c r="AB505" s="1203"/>
      <c r="AC505" s="1203"/>
      <c r="AD505" s="1203"/>
      <c r="AE505" s="1203"/>
      <c r="AF505" s="1203"/>
      <c r="AG505" s="1235">
        <f>IF(AND($C$489="Yes",$V$492="N/A",$V$494="N/A",$V$499="N/A",$V$503="N/A"),(VLOOKUP($V$505,$BA$468:$BB$470,2,FALSE)),0)</f>
        <v>0</v>
      </c>
      <c r="AH505" s="1227" t="s">
        <v>1078</v>
      </c>
      <c r="AI505" s="1203"/>
      <c r="AJ505" s="1203"/>
      <c r="AK505" s="1204"/>
      <c r="AL505" s="162"/>
      <c r="AM505" s="46"/>
      <c r="AN505" s="1148"/>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48"/>
      <c r="AO506" s="400"/>
      <c r="AP506" s="46"/>
      <c r="AQ506" s="46"/>
      <c r="AR506" s="46"/>
      <c r="AS506" s="46"/>
      <c r="AT506" s="46"/>
      <c r="AU506" s="2603" t="s">
        <v>723</v>
      </c>
      <c r="AV506" s="2604"/>
      <c r="AW506" s="2604"/>
      <c r="AX506" s="2604"/>
      <c r="AY506" s="2604"/>
      <c r="AZ506" s="2604"/>
      <c r="BA506" s="2604"/>
      <c r="BB506" s="205"/>
      <c r="BC506" s="205"/>
      <c r="BE506" s="46"/>
      <c r="BF506" s="46"/>
      <c r="BG506" s="46"/>
      <c r="BH506" s="46"/>
      <c r="BI506" s="46"/>
      <c r="BJ506" s="2529" t="s">
        <v>35</v>
      </c>
      <c r="BK506" s="2530"/>
      <c r="BL506" s="2530"/>
      <c r="BM506" s="2530"/>
      <c r="BN506" s="2530"/>
      <c r="BO506" s="2530"/>
      <c r="BP506" s="2530"/>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0" t="s">
        <v>1641</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48"/>
      <c r="AO507" s="400"/>
      <c r="AP507" s="46"/>
      <c r="AQ507" s="46"/>
      <c r="AR507" s="46"/>
      <c r="AS507" s="46"/>
      <c r="AT507" s="46"/>
      <c r="AU507" s="2603"/>
      <c r="AV507" s="2604"/>
      <c r="AW507" s="2604"/>
      <c r="AX507" s="2604"/>
      <c r="AY507" s="2604"/>
      <c r="AZ507" s="2604"/>
      <c r="BA507" s="2604"/>
      <c r="BB507" s="205"/>
      <c r="BC507" s="205"/>
      <c r="BE507" s="46"/>
      <c r="BF507" s="46"/>
      <c r="BG507" s="46"/>
      <c r="BH507" s="46"/>
      <c r="BI507" s="46"/>
      <c r="BJ507" s="2529"/>
      <c r="BK507" s="2530"/>
      <c r="BL507" s="2530"/>
      <c r="BM507" s="2530"/>
      <c r="BN507" s="2530"/>
      <c r="BO507" s="2530"/>
      <c r="BP507" s="2530"/>
      <c r="BQ507" s="205"/>
      <c r="BR507" s="46"/>
    </row>
    <row r="508" spans="1:147" s="16" customFormat="1" ht="12.75" hidden="1" customHeight="1">
      <c r="A508" s="195"/>
      <c r="B508" s="46"/>
      <c r="C508" s="2336" t="s">
        <v>136</v>
      </c>
      <c r="D508" s="2337"/>
      <c r="E508" s="1239" t="s">
        <v>212</v>
      </c>
      <c r="F508" s="2367" t="s">
        <v>1076</v>
      </c>
      <c r="G508" s="2367"/>
      <c r="H508" s="2367"/>
      <c r="I508" s="2367"/>
      <c r="J508" s="2367"/>
      <c r="K508" s="2367"/>
      <c r="L508" s="2367"/>
      <c r="M508" s="2367"/>
      <c r="N508" s="2367"/>
      <c r="O508" s="2367"/>
      <c r="P508" s="2367"/>
      <c r="Q508" s="2367"/>
      <c r="R508" s="2367"/>
      <c r="S508" s="2367"/>
      <c r="T508" s="2367"/>
      <c r="U508" s="2367"/>
      <c r="V508" s="2367"/>
      <c r="W508" s="2367"/>
      <c r="X508" s="2367"/>
      <c r="Y508" s="2367"/>
      <c r="Z508" s="2367"/>
      <c r="AA508" s="2367"/>
      <c r="AB508" s="2367"/>
      <c r="AC508" s="2367"/>
      <c r="AD508" s="2367"/>
      <c r="AE508" s="2367"/>
      <c r="AF508" s="1185"/>
      <c r="AG508" s="1240"/>
      <c r="AH508" s="1240"/>
      <c r="AI508" s="1240"/>
      <c r="AJ508" s="1240"/>
      <c r="AK508" s="1213"/>
      <c r="AL508" s="162"/>
      <c r="AM508" s="46"/>
      <c r="AN508" s="1133"/>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1"/>
      <c r="D509" s="162"/>
      <c r="E509" s="225"/>
      <c r="F509" s="2368"/>
      <c r="G509" s="2368"/>
      <c r="H509" s="2368"/>
      <c r="I509" s="2368"/>
      <c r="J509" s="2368"/>
      <c r="K509" s="2368"/>
      <c r="L509" s="2368"/>
      <c r="M509" s="2368"/>
      <c r="N509" s="2368"/>
      <c r="O509" s="2368"/>
      <c r="P509" s="2368"/>
      <c r="Q509" s="2368"/>
      <c r="R509" s="2368"/>
      <c r="S509" s="2368"/>
      <c r="T509" s="2368"/>
      <c r="U509" s="2368"/>
      <c r="V509" s="2368"/>
      <c r="W509" s="2368"/>
      <c r="X509" s="2368"/>
      <c r="Y509" s="2368"/>
      <c r="Z509" s="2368"/>
      <c r="AA509" s="2368"/>
      <c r="AB509" s="2368"/>
      <c r="AC509" s="2368"/>
      <c r="AD509" s="2368"/>
      <c r="AE509" s="2368"/>
      <c r="AF509" s="162"/>
      <c r="AG509" s="27"/>
      <c r="AH509" s="27"/>
      <c r="AI509" s="27"/>
      <c r="AJ509" s="27"/>
      <c r="AK509" s="1193"/>
      <c r="AL509" s="162"/>
      <c r="AM509" s="46"/>
      <c r="AN509" s="1133"/>
      <c r="AO509" s="132"/>
      <c r="AP509" s="2572" t="s">
        <v>1678</v>
      </c>
      <c r="AQ509" s="2573"/>
      <c r="AR509" s="2574"/>
      <c r="AS509" s="975">
        <v>80</v>
      </c>
      <c r="AT509" s="46">
        <v>0</v>
      </c>
      <c r="AU509" s="243">
        <v>10</v>
      </c>
      <c r="AV509" s="243">
        <v>25</v>
      </c>
      <c r="AW509" s="243">
        <v>37.5</v>
      </c>
      <c r="AX509" s="243">
        <v>35</v>
      </c>
      <c r="AY509" s="243">
        <v>37.5</v>
      </c>
      <c r="AZ509" s="243">
        <v>50</v>
      </c>
      <c r="BA509" s="243">
        <v>50</v>
      </c>
      <c r="BB509" s="65"/>
      <c r="BC509" s="65"/>
      <c r="BE509" s="2572" t="s">
        <v>1678</v>
      </c>
      <c r="BF509" s="2573"/>
      <c r="BG509" s="2574"/>
      <c r="BH509" s="975">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2"/>
      <c r="D510" s="1203"/>
      <c r="E510" s="1223"/>
      <c r="F510" s="2365" t="s">
        <v>136</v>
      </c>
      <c r="G510" s="2365"/>
      <c r="H510" s="2365"/>
      <c r="I510" s="2365"/>
      <c r="J510" s="2365"/>
      <c r="K510" s="2365"/>
      <c r="L510" s="2365"/>
      <c r="M510" s="2365"/>
      <c r="N510" s="2365"/>
      <c r="O510" s="2365"/>
      <c r="P510" s="2365"/>
      <c r="Q510" s="2365"/>
      <c r="R510" s="2365"/>
      <c r="S510" s="2365"/>
      <c r="T510" s="2365"/>
      <c r="U510" s="2365"/>
      <c r="V510" s="2365"/>
      <c r="W510" s="2365"/>
      <c r="X510" s="2365"/>
      <c r="Y510" s="2365"/>
      <c r="Z510" s="2365"/>
      <c r="AA510" s="1224"/>
      <c r="AB510" s="1225"/>
      <c r="AC510" s="1225"/>
      <c r="AD510" s="1203"/>
      <c r="AE510" s="1203"/>
      <c r="AF510" s="1203"/>
      <c r="AG510" s="1226">
        <f>IF($C$508="Yes",(VLOOKUP($F$510,$AO$478:$AP$486,2,FALSE)),0)</f>
        <v>0</v>
      </c>
      <c r="AH510" s="1227" t="s">
        <v>1078</v>
      </c>
      <c r="AI510" s="1226"/>
      <c r="AJ510" s="1225"/>
      <c r="AK510" s="1204"/>
      <c r="AL510" s="162"/>
      <c r="AM510" s="46"/>
      <c r="AN510" s="1133"/>
      <c r="AO510" s="132"/>
      <c r="AP510" s="2391"/>
      <c r="AQ510" s="2392"/>
      <c r="AR510" s="2393"/>
      <c r="AS510" s="975">
        <v>75</v>
      </c>
      <c r="AT510" s="46">
        <v>0</v>
      </c>
      <c r="AU510" s="243">
        <v>10</v>
      </c>
      <c r="AV510" s="243">
        <v>25</v>
      </c>
      <c r="AW510" s="243">
        <v>37.5</v>
      </c>
      <c r="AX510" s="243">
        <v>35</v>
      </c>
      <c r="AY510" s="243">
        <v>37.5</v>
      </c>
      <c r="AZ510" s="243">
        <v>50</v>
      </c>
      <c r="BA510" s="243">
        <v>50</v>
      </c>
      <c r="BB510" s="65"/>
      <c r="BC510" s="65"/>
      <c r="BE510" s="2391"/>
      <c r="BF510" s="2392"/>
      <c r="BG510" s="2393"/>
      <c r="BH510" s="975">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0"/>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3"/>
      <c r="AO511" s="132"/>
      <c r="AP511" s="2391"/>
      <c r="AQ511" s="2392"/>
      <c r="AR511" s="2393"/>
      <c r="AS511" s="975">
        <v>70</v>
      </c>
      <c r="AT511" s="46">
        <v>0</v>
      </c>
      <c r="AU511" s="243">
        <v>10</v>
      </c>
      <c r="AV511" s="243">
        <v>25</v>
      </c>
      <c r="AW511" s="243">
        <v>37.5</v>
      </c>
      <c r="AX511" s="243">
        <v>35</v>
      </c>
      <c r="AY511" s="243">
        <v>37.5</v>
      </c>
      <c r="AZ511" s="243">
        <v>50</v>
      </c>
      <c r="BA511" s="243">
        <v>50</v>
      </c>
      <c r="BB511" s="65"/>
      <c r="BC511" s="65"/>
      <c r="BE511" s="2391"/>
      <c r="BF511" s="2392"/>
      <c r="BG511" s="2393"/>
      <c r="BH511" s="975">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36" t="s">
        <v>136</v>
      </c>
      <c r="D512" s="2337"/>
      <c r="E512" s="1239" t="s">
        <v>336</v>
      </c>
      <c r="F512" s="2400" t="s">
        <v>1284</v>
      </c>
      <c r="G512" s="2400"/>
      <c r="H512" s="2400"/>
      <c r="I512" s="2400"/>
      <c r="J512" s="2400"/>
      <c r="K512" s="2400"/>
      <c r="L512" s="2400"/>
      <c r="M512" s="2400"/>
      <c r="N512" s="2400"/>
      <c r="O512" s="2400"/>
      <c r="P512" s="2400"/>
      <c r="Q512" s="2400"/>
      <c r="R512" s="2400"/>
      <c r="S512" s="2400"/>
      <c r="T512" s="2400"/>
      <c r="U512" s="2400"/>
      <c r="V512" s="2400"/>
      <c r="W512" s="2400"/>
      <c r="X512" s="2400"/>
      <c r="Y512" s="2400"/>
      <c r="Z512" s="2400"/>
      <c r="AA512" s="2400"/>
      <c r="AB512" s="2400"/>
      <c r="AC512" s="2400"/>
      <c r="AD512" s="2400"/>
      <c r="AE512" s="2400"/>
      <c r="AF512" s="1185"/>
      <c r="AG512" s="1229"/>
      <c r="AH512" s="1229"/>
      <c r="AI512" s="1229"/>
      <c r="AJ512" s="1229"/>
      <c r="AK512" s="1213"/>
      <c r="AL512" s="162"/>
      <c r="AM512" s="46"/>
      <c r="AN512" s="1133"/>
      <c r="AO512" s="132"/>
      <c r="AP512" s="2391"/>
      <c r="AQ512" s="2392"/>
      <c r="AR512" s="2393"/>
      <c r="AS512" s="975">
        <v>65</v>
      </c>
      <c r="AT512" s="46">
        <v>0</v>
      </c>
      <c r="AU512" s="243">
        <v>10</v>
      </c>
      <c r="AV512" s="243">
        <v>25</v>
      </c>
      <c r="AW512" s="243">
        <v>37.5</v>
      </c>
      <c r="AX512" s="243">
        <v>35</v>
      </c>
      <c r="AY512" s="243">
        <v>37.5</v>
      </c>
      <c r="AZ512" s="243">
        <v>50</v>
      </c>
      <c r="BA512" s="243">
        <v>50</v>
      </c>
      <c r="BB512" s="65"/>
      <c r="BC512" s="65"/>
      <c r="BE512" s="2391"/>
      <c r="BF512" s="2392"/>
      <c r="BG512" s="2393"/>
      <c r="BH512" s="975">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1"/>
      <c r="D513" s="162"/>
      <c r="E513" s="225"/>
      <c r="F513" s="2401"/>
      <c r="G513" s="2401"/>
      <c r="H513" s="2401"/>
      <c r="I513" s="2401"/>
      <c r="J513" s="2401"/>
      <c r="K513" s="2401"/>
      <c r="L513" s="2401"/>
      <c r="M513" s="2401"/>
      <c r="N513" s="2401"/>
      <c r="O513" s="2401"/>
      <c r="P513" s="2401"/>
      <c r="Q513" s="2401"/>
      <c r="R513" s="2401"/>
      <c r="S513" s="2401"/>
      <c r="T513" s="2401"/>
      <c r="U513" s="2401"/>
      <c r="V513" s="2401"/>
      <c r="W513" s="2401"/>
      <c r="X513" s="2401"/>
      <c r="Y513" s="2401"/>
      <c r="Z513" s="2401"/>
      <c r="AA513" s="2401"/>
      <c r="AB513" s="2401"/>
      <c r="AC513" s="2401"/>
      <c r="AD513" s="2401"/>
      <c r="AE513" s="2401"/>
      <c r="AF513" s="162"/>
      <c r="AG513" s="27"/>
      <c r="AH513" s="27"/>
      <c r="AI513" s="27"/>
      <c r="AJ513" s="27"/>
      <c r="AK513" s="1193"/>
      <c r="AL513" s="162"/>
      <c r="AM513" s="46"/>
      <c r="AN513" s="1133"/>
      <c r="AO513" s="132"/>
      <c r="AP513" s="2391"/>
      <c r="AQ513" s="2392"/>
      <c r="AR513" s="2393"/>
      <c r="AS513" s="975">
        <v>60</v>
      </c>
      <c r="AT513" s="46">
        <v>0</v>
      </c>
      <c r="AU513" s="243">
        <v>10</v>
      </c>
      <c r="AV513" s="243">
        <v>25</v>
      </c>
      <c r="AW513" s="243">
        <v>37.5</v>
      </c>
      <c r="AX513" s="243">
        <v>35</v>
      </c>
      <c r="AY513" s="243">
        <v>37.5</v>
      </c>
      <c r="AZ513" s="243">
        <v>50</v>
      </c>
      <c r="BA513" s="243">
        <v>50</v>
      </c>
      <c r="BB513" s="65"/>
      <c r="BC513" s="65"/>
      <c r="BE513" s="2391"/>
      <c r="BF513" s="2392"/>
      <c r="BG513" s="2393"/>
      <c r="BH513" s="975">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6"/>
      <c r="D514" s="162"/>
      <c r="E514" s="162"/>
      <c r="F514" s="894" t="s">
        <v>1082</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6"/>
      <c r="AD514" s="162"/>
      <c r="AE514" s="162"/>
      <c r="AF514" s="162"/>
      <c r="AG514" s="175"/>
      <c r="AH514" s="175"/>
      <c r="AI514" s="175"/>
      <c r="AJ514" s="175"/>
      <c r="AK514" s="1193"/>
      <c r="AL514" s="162"/>
      <c r="AM514" s="46"/>
      <c r="AN514" s="1133"/>
      <c r="AP514" s="2391"/>
      <c r="AQ514" s="2392"/>
      <c r="AR514" s="2393"/>
      <c r="AS514" s="975">
        <v>55</v>
      </c>
      <c r="AT514" s="46">
        <v>0</v>
      </c>
      <c r="AU514" s="243">
        <v>10</v>
      </c>
      <c r="AV514" s="243">
        <v>25</v>
      </c>
      <c r="AW514" s="243">
        <v>37.5</v>
      </c>
      <c r="AX514" s="243">
        <v>35</v>
      </c>
      <c r="AY514" s="243">
        <v>37.5</v>
      </c>
      <c r="AZ514" s="243">
        <v>50</v>
      </c>
      <c r="BA514" s="243">
        <v>50</v>
      </c>
      <c r="BE514" s="2391"/>
      <c r="BF514" s="2392"/>
      <c r="BG514" s="2393"/>
      <c r="BH514" s="975">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2"/>
      <c r="D515" s="1203"/>
      <c r="E515" s="1223"/>
      <c r="F515" s="2366" t="s">
        <v>136</v>
      </c>
      <c r="G515" s="2366"/>
      <c r="H515" s="2366"/>
      <c r="I515" s="1225"/>
      <c r="J515" s="1225"/>
      <c r="K515" s="1225"/>
      <c r="L515" s="1225"/>
      <c r="M515" s="1225"/>
      <c r="N515" s="1225"/>
      <c r="O515" s="1225"/>
      <c r="P515" s="1225"/>
      <c r="Q515" s="1225"/>
      <c r="R515" s="1225"/>
      <c r="S515" s="1225"/>
      <c r="T515" s="1225"/>
      <c r="U515" s="1225"/>
      <c r="V515" s="1225"/>
      <c r="W515" s="1225"/>
      <c r="X515" s="1225"/>
      <c r="Y515" s="1225"/>
      <c r="Z515" s="1225"/>
      <c r="AA515" s="1225"/>
      <c r="AB515" s="1225"/>
      <c r="AC515" s="1225"/>
      <c r="AD515" s="1203"/>
      <c r="AE515" s="1203"/>
      <c r="AF515" s="1203"/>
      <c r="AG515" s="1226">
        <f>IF($C$512="Yes",(VLOOKUP($F$515,$AO$488:$AP$490,2,FALSE)),0)</f>
        <v>0</v>
      </c>
      <c r="AH515" s="1227" t="s">
        <v>1078</v>
      </c>
      <c r="AI515" s="1225"/>
      <c r="AJ515" s="1225"/>
      <c r="AK515" s="1204"/>
      <c r="AL515" s="162"/>
      <c r="AM515" s="46"/>
      <c r="AN515" s="1133"/>
      <c r="AP515" s="2391"/>
      <c r="AQ515" s="2392"/>
      <c r="AR515" s="2393"/>
      <c r="AS515" s="242">
        <v>50</v>
      </c>
      <c r="AT515" s="46">
        <v>0</v>
      </c>
      <c r="AU515" s="243">
        <v>10</v>
      </c>
      <c r="AV515" s="243">
        <v>25</v>
      </c>
      <c r="AW515" s="243">
        <v>37.5</v>
      </c>
      <c r="AX515" s="243">
        <v>35</v>
      </c>
      <c r="AY515" s="243">
        <v>37.5</v>
      </c>
      <c r="AZ515" s="243">
        <v>50</v>
      </c>
      <c r="BA515" s="243">
        <v>50</v>
      </c>
      <c r="BE515" s="2391"/>
      <c r="BF515" s="2392"/>
      <c r="BG515" s="2393"/>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59"/>
      <c r="AI516" s="27"/>
      <c r="AJ516" s="27"/>
      <c r="AK516" s="162"/>
      <c r="AL516" s="162"/>
      <c r="AM516" s="46"/>
      <c r="AN516" s="1133"/>
      <c r="AP516" s="2391"/>
      <c r="AQ516" s="2392"/>
      <c r="AR516" s="2393"/>
      <c r="AS516" s="242">
        <v>45</v>
      </c>
      <c r="AT516" s="46">
        <v>0</v>
      </c>
      <c r="AU516" s="243">
        <v>10</v>
      </c>
      <c r="AV516" s="243">
        <v>22.5</v>
      </c>
      <c r="AW516" s="243">
        <v>33.799999999999997</v>
      </c>
      <c r="AX516" s="243">
        <v>35</v>
      </c>
      <c r="AY516" s="243">
        <v>37.5</v>
      </c>
      <c r="AZ516" s="243">
        <v>50</v>
      </c>
      <c r="BA516" s="243">
        <v>50</v>
      </c>
      <c r="BE516" s="2391"/>
      <c r="BF516" s="2392"/>
      <c r="BG516" s="2393"/>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36" t="s">
        <v>136</v>
      </c>
      <c r="D517" s="2337"/>
      <c r="E517" s="1239" t="s">
        <v>1394</v>
      </c>
      <c r="F517" s="1238" t="s">
        <v>1083</v>
      </c>
      <c r="G517" s="1229"/>
      <c r="H517" s="1229"/>
      <c r="I517" s="1229"/>
      <c r="J517" s="1229"/>
      <c r="K517" s="1229"/>
      <c r="L517" s="1229"/>
      <c r="M517" s="1229"/>
      <c r="N517" s="1229"/>
      <c r="O517" s="1229"/>
      <c r="P517" s="1229"/>
      <c r="Q517" s="1229"/>
      <c r="R517" s="1229"/>
      <c r="S517" s="1229"/>
      <c r="T517" s="1229"/>
      <c r="U517" s="1229"/>
      <c r="V517" s="1229"/>
      <c r="W517" s="1229"/>
      <c r="X517" s="1229"/>
      <c r="Y517" s="1229"/>
      <c r="Z517" s="1229"/>
      <c r="AA517" s="1229"/>
      <c r="AB517" s="1229"/>
      <c r="AC517" s="1242"/>
      <c r="AD517" s="1185"/>
      <c r="AE517" s="1185"/>
      <c r="AF517" s="1185"/>
      <c r="AG517" s="1243"/>
      <c r="AH517" s="1243"/>
      <c r="AI517" s="1243"/>
      <c r="AJ517" s="1243"/>
      <c r="AK517" s="1213"/>
      <c r="AL517" s="162"/>
      <c r="AM517" s="46"/>
      <c r="AN517" s="1133"/>
      <c r="AP517" s="2391"/>
      <c r="AQ517" s="2392"/>
      <c r="AR517" s="2393"/>
      <c r="AS517" s="242">
        <v>40</v>
      </c>
      <c r="AT517" s="46">
        <v>0</v>
      </c>
      <c r="AU517" s="243">
        <v>10</v>
      </c>
      <c r="AV517" s="243">
        <v>20</v>
      </c>
      <c r="AW517" s="243">
        <v>30</v>
      </c>
      <c r="AX517" s="243">
        <v>35</v>
      </c>
      <c r="AY517" s="243">
        <v>37.5</v>
      </c>
      <c r="AZ517" s="243">
        <v>50</v>
      </c>
      <c r="BA517" s="243">
        <v>50</v>
      </c>
      <c r="BE517" s="2391"/>
      <c r="BF517" s="2392"/>
      <c r="BG517" s="2393"/>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1"/>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3"/>
      <c r="AL518" s="162"/>
      <c r="AM518" s="46"/>
      <c r="AN518" s="1133"/>
      <c r="AP518" s="2391"/>
      <c r="AQ518" s="2392"/>
      <c r="AR518" s="2393"/>
      <c r="AS518" s="242">
        <v>35</v>
      </c>
      <c r="AT518" s="46">
        <v>0</v>
      </c>
      <c r="AU518" s="243">
        <v>8.8000000000000007</v>
      </c>
      <c r="AV518" s="243">
        <v>17.5</v>
      </c>
      <c r="AW518" s="243">
        <v>26.3</v>
      </c>
      <c r="AX518" s="243">
        <v>35</v>
      </c>
      <c r="AY518" s="243">
        <v>37.5</v>
      </c>
      <c r="AZ518" s="243">
        <v>50</v>
      </c>
      <c r="BA518" s="243">
        <v>50</v>
      </c>
      <c r="BE518" s="2391"/>
      <c r="BF518" s="2392"/>
      <c r="BG518" s="2393"/>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609"/>
      <c r="D519" s="2110"/>
      <c r="E519" s="297"/>
      <c r="F519" s="27" t="s">
        <v>1396</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6"/>
      <c r="AD519" s="162"/>
      <c r="AE519" s="162"/>
      <c r="AF519" s="162"/>
      <c r="AG519" s="175">
        <f>IF($C$517="Yes",(VLOOKUP($G$520,$AO$495:$AP$498,2,FALSE)),0)</f>
        <v>0</v>
      </c>
      <c r="AH519" s="1159" t="s">
        <v>1078</v>
      </c>
      <c r="AI519" s="27"/>
      <c r="AJ519" s="175"/>
      <c r="AK519" s="1193"/>
      <c r="AL519" s="162"/>
      <c r="AM519" s="46"/>
      <c r="AN519" s="1133"/>
      <c r="AP519" s="2391"/>
      <c r="AQ519" s="2392"/>
      <c r="AR519" s="2393"/>
      <c r="AS519" s="242">
        <v>30</v>
      </c>
      <c r="AT519" s="46">
        <v>0</v>
      </c>
      <c r="AU519" s="243">
        <v>7.5</v>
      </c>
      <c r="AV519" s="243">
        <v>15</v>
      </c>
      <c r="AW519" s="243">
        <v>22.5</v>
      </c>
      <c r="AX519" s="243">
        <v>30</v>
      </c>
      <c r="AY519" s="243">
        <v>37.5</v>
      </c>
      <c r="AZ519" s="243">
        <v>45</v>
      </c>
      <c r="BA519" s="243">
        <v>50</v>
      </c>
      <c r="BE519" s="2391"/>
      <c r="BF519" s="2392"/>
      <c r="BG519" s="2393"/>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1"/>
      <c r="D520" s="153"/>
      <c r="E520" s="225"/>
      <c r="F520" s="27"/>
      <c r="G520" s="2605" t="s">
        <v>136</v>
      </c>
      <c r="H520" s="2605"/>
      <c r="I520" s="2605"/>
      <c r="J520" s="2605"/>
      <c r="K520" s="2605"/>
      <c r="L520" s="2605"/>
      <c r="M520" s="2605"/>
      <c r="N520" s="2605"/>
      <c r="O520" s="2605"/>
      <c r="P520" s="2605"/>
      <c r="Q520" s="2605"/>
      <c r="R520" s="2605"/>
      <c r="S520" s="2605"/>
      <c r="T520" s="2605"/>
      <c r="U520" s="2605"/>
      <c r="V520" s="2605"/>
      <c r="W520" s="2605"/>
      <c r="X520" s="2605"/>
      <c r="Y520" s="2605"/>
      <c r="Z520" s="2605"/>
      <c r="AA520" s="2605"/>
      <c r="AB520" s="2605"/>
      <c r="AC520" s="2605"/>
      <c r="AD520" s="2605"/>
      <c r="AE520" s="2605"/>
      <c r="AF520" s="2605"/>
      <c r="AG520" s="162"/>
      <c r="AH520" s="162"/>
      <c r="AI520" s="162"/>
      <c r="AJ520" s="27"/>
      <c r="AK520" s="1193"/>
      <c r="AL520" s="162"/>
      <c r="AM520" s="46"/>
      <c r="AN520" s="1133"/>
      <c r="AP520" s="2391"/>
      <c r="AQ520" s="2392"/>
      <c r="AR520" s="2393"/>
      <c r="AS520" s="242">
        <v>25</v>
      </c>
      <c r="AT520" s="46">
        <v>0</v>
      </c>
      <c r="AU520" s="243">
        <v>6.3</v>
      </c>
      <c r="AV520" s="243">
        <v>12.5</v>
      </c>
      <c r="AW520" s="243">
        <v>18.8</v>
      </c>
      <c r="AX520" s="243">
        <v>25</v>
      </c>
      <c r="AY520" s="243">
        <v>31.3</v>
      </c>
      <c r="AZ520" s="243">
        <v>37.5</v>
      </c>
      <c r="BA520" s="243">
        <v>50</v>
      </c>
      <c r="BE520" s="2391"/>
      <c r="BF520" s="2392"/>
      <c r="BG520" s="2393"/>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4"/>
      <c r="D521" s="35"/>
      <c r="E521" s="35"/>
      <c r="F521" s="552"/>
      <c r="G521" s="1245"/>
      <c r="H521" s="1245"/>
      <c r="I521" s="1245"/>
      <c r="J521" s="1245"/>
      <c r="K521" s="1245"/>
      <c r="L521" s="1245"/>
      <c r="M521" s="1245"/>
      <c r="N521" s="1245"/>
      <c r="O521" s="1245"/>
      <c r="P521" s="1245"/>
      <c r="Q521" s="1245"/>
      <c r="R521" s="1245"/>
      <c r="S521" s="1245"/>
      <c r="T521" s="1245"/>
      <c r="U521" s="1245"/>
      <c r="V521" s="1245"/>
      <c r="W521" s="1245"/>
      <c r="X521" s="1245"/>
      <c r="Y521" s="1245"/>
      <c r="Z521" s="1245"/>
      <c r="AA521" s="1245"/>
      <c r="AB521" s="1245"/>
      <c r="AC521" s="1245"/>
      <c r="AD521" s="162"/>
      <c r="AE521" s="162"/>
      <c r="AF521" s="162"/>
      <c r="AG521" s="1245"/>
      <c r="AH521" s="1245"/>
      <c r="AI521" s="1245"/>
      <c r="AJ521" s="1245"/>
      <c r="AK521" s="1193"/>
      <c r="AL521" s="162"/>
      <c r="AM521" s="46"/>
      <c r="AN521" s="1133"/>
      <c r="AP521" s="2391"/>
      <c r="AQ521" s="2392"/>
      <c r="AR521" s="2393"/>
      <c r="AS521" s="242">
        <v>20</v>
      </c>
      <c r="AT521" s="46">
        <v>0</v>
      </c>
      <c r="AU521" s="243">
        <v>5</v>
      </c>
      <c r="AV521" s="243">
        <v>10</v>
      </c>
      <c r="AW521" s="243">
        <v>15</v>
      </c>
      <c r="AX521" s="243">
        <v>20</v>
      </c>
      <c r="AY521" s="243">
        <v>25</v>
      </c>
      <c r="AZ521" s="243">
        <v>30</v>
      </c>
      <c r="BA521" s="243">
        <v>40</v>
      </c>
      <c r="BE521" s="2391"/>
      <c r="BF521" s="2392"/>
      <c r="BG521" s="2393"/>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606" t="s">
        <v>136</v>
      </c>
      <c r="D522" s="2607"/>
      <c r="E522" s="35"/>
      <c r="F522" s="27" t="s">
        <v>1397</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6"/>
      <c r="AD522" s="162"/>
      <c r="AE522" s="162"/>
      <c r="AF522" s="162"/>
      <c r="AG522" s="175">
        <f>IF(AND($C$522="Yes",$C$517="Yes"),2,0)</f>
        <v>0</v>
      </c>
      <c r="AH522" s="1159" t="s">
        <v>1078</v>
      </c>
      <c r="AI522" s="27"/>
      <c r="AJ522" s="1157"/>
      <c r="AK522" s="1193"/>
      <c r="AL522" s="162"/>
      <c r="AM522" s="46"/>
      <c r="AN522" s="1133"/>
      <c r="AP522" s="2391"/>
      <c r="AQ522" s="2392"/>
      <c r="AR522" s="2393"/>
      <c r="AS522" s="242">
        <v>15</v>
      </c>
      <c r="AT522" s="46">
        <v>0</v>
      </c>
      <c r="AU522" s="243">
        <v>3.8</v>
      </c>
      <c r="AV522" s="243">
        <v>7.5</v>
      </c>
      <c r="AW522" s="243">
        <v>11.3</v>
      </c>
      <c r="AX522" s="243">
        <v>15</v>
      </c>
      <c r="AY522" s="243">
        <v>18.8</v>
      </c>
      <c r="AZ522" s="243">
        <v>22.5</v>
      </c>
      <c r="BA522" s="243">
        <v>30</v>
      </c>
      <c r="BE522" s="2391"/>
      <c r="BF522" s="2392"/>
      <c r="BG522" s="2393"/>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3"/>
      <c r="D523" s="1160"/>
      <c r="E523" s="1160"/>
      <c r="F523" s="27"/>
      <c r="G523" s="27" t="s">
        <v>1393</v>
      </c>
      <c r="H523" s="27"/>
      <c r="I523" s="27"/>
      <c r="J523" s="27"/>
      <c r="K523" s="27"/>
      <c r="L523" s="27"/>
      <c r="M523" s="27"/>
      <c r="N523" s="27"/>
      <c r="O523" s="27"/>
      <c r="P523" s="27"/>
      <c r="Q523" s="27"/>
      <c r="R523" s="27"/>
      <c r="S523" s="27"/>
      <c r="T523" s="27"/>
      <c r="U523" s="27"/>
      <c r="V523" s="27"/>
      <c r="W523" s="27"/>
      <c r="X523" s="27"/>
      <c r="Y523" s="27"/>
      <c r="Z523" s="27"/>
      <c r="AA523" s="27"/>
      <c r="AB523" s="27"/>
      <c r="AC523" s="1156"/>
      <c r="AD523" s="162"/>
      <c r="AE523" s="162"/>
      <c r="AF523" s="162"/>
      <c r="AG523" s="1157"/>
      <c r="AH523" s="1157"/>
      <c r="AI523" s="1157"/>
      <c r="AJ523" s="1157"/>
      <c r="AK523" s="1193"/>
      <c r="AL523" s="162"/>
      <c r="AM523" s="46"/>
      <c r="AN523" s="1138"/>
      <c r="AP523" s="2394"/>
      <c r="AQ523" s="2395"/>
      <c r="AR523" s="2396"/>
      <c r="AS523" s="242">
        <v>10</v>
      </c>
      <c r="AT523" s="46">
        <v>0</v>
      </c>
      <c r="AU523" s="243">
        <v>2.5</v>
      </c>
      <c r="AV523" s="243">
        <v>5</v>
      </c>
      <c r="AW523" s="243">
        <v>7.5</v>
      </c>
      <c r="AX523" s="243">
        <v>10</v>
      </c>
      <c r="AY523" s="243">
        <v>12.5</v>
      </c>
      <c r="AZ523" s="243">
        <v>15</v>
      </c>
      <c r="BA523" s="243">
        <v>20</v>
      </c>
      <c r="BE523" s="2394"/>
      <c r="BF523" s="2395"/>
      <c r="BG523" s="2396"/>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3"/>
      <c r="D524" s="1160"/>
      <c r="E524" s="1160"/>
      <c r="F524" s="27"/>
      <c r="G524" s="27" t="s">
        <v>1392</v>
      </c>
      <c r="H524" s="27"/>
      <c r="I524" s="27"/>
      <c r="J524" s="27"/>
      <c r="K524" s="27"/>
      <c r="L524" s="27"/>
      <c r="M524" s="27"/>
      <c r="N524" s="27"/>
      <c r="O524" s="27"/>
      <c r="P524" s="27"/>
      <c r="Q524" s="27"/>
      <c r="R524" s="27"/>
      <c r="S524" s="27"/>
      <c r="T524" s="27"/>
      <c r="U524" s="27"/>
      <c r="V524" s="27"/>
      <c r="W524" s="27"/>
      <c r="X524" s="27"/>
      <c r="Y524" s="27"/>
      <c r="Z524" s="27"/>
      <c r="AA524" s="27"/>
      <c r="AB524" s="27"/>
      <c r="AC524" s="1156"/>
      <c r="AD524" s="153"/>
      <c r="AE524" s="153"/>
      <c r="AF524" s="153"/>
      <c r="AG524" s="1157"/>
      <c r="AH524" s="1157"/>
      <c r="AI524" s="1157"/>
      <c r="AJ524" s="1157"/>
      <c r="AK524" s="1250"/>
      <c r="AL524" s="153"/>
      <c r="AM524" s="153"/>
      <c r="AN524" s="1134"/>
      <c r="AP524" s="136"/>
      <c r="AQ524" s="136"/>
      <c r="AR524" s="136"/>
      <c r="CW524" s="46"/>
    </row>
    <row r="525" spans="1:122" s="46" customFormat="1" ht="12.75" hidden="1" customHeight="1">
      <c r="A525" s="57"/>
      <c r="B525" s="65"/>
      <c r="C525" s="1246"/>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6"/>
      <c r="AH525" s="1156"/>
      <c r="AI525" s="1156"/>
      <c r="AJ525" s="1156"/>
      <c r="AK525" s="1251"/>
      <c r="AL525" s="125"/>
      <c r="AM525" s="65"/>
      <c r="AN525" s="1134"/>
      <c r="AO525" s="8"/>
      <c r="AP525" s="8"/>
      <c r="AQ525" s="8"/>
      <c r="AR525" s="8"/>
    </row>
    <row r="526" spans="1:122" s="46" customFormat="1" ht="12.75" hidden="1" customHeight="1">
      <c r="A526" s="57"/>
      <c r="C526" s="2606" t="s">
        <v>136</v>
      </c>
      <c r="D526" s="2607"/>
      <c r="E526" s="162"/>
      <c r="F526" s="791" t="s">
        <v>964</v>
      </c>
      <c r="G526" s="2373" t="s">
        <v>1087</v>
      </c>
      <c r="H526" s="2373"/>
      <c r="I526" s="2373"/>
      <c r="J526" s="2373"/>
      <c r="K526" s="2373"/>
      <c r="L526" s="2373"/>
      <c r="M526" s="2373"/>
      <c r="N526" s="2373"/>
      <c r="O526" s="2373"/>
      <c r="P526" s="2373"/>
      <c r="Q526" s="2373"/>
      <c r="R526" s="2373"/>
      <c r="S526" s="2373"/>
      <c r="T526" s="2373"/>
      <c r="U526" s="2373"/>
      <c r="V526" s="2373"/>
      <c r="W526" s="2373"/>
      <c r="X526" s="2373"/>
      <c r="Y526" s="2373"/>
      <c r="Z526" s="2373"/>
      <c r="AA526" s="2373"/>
      <c r="AB526" s="2373"/>
      <c r="AC526" s="2373"/>
      <c r="AD526" s="2373"/>
      <c r="AE526" s="2373"/>
      <c r="AF526" s="2373"/>
      <c r="AG526" s="175">
        <f>IF(AND($C$526="Yes",$C$517="Yes"),2,0)</f>
        <v>0</v>
      </c>
      <c r="AH526" s="1159" t="s">
        <v>1078</v>
      </c>
      <c r="AI526" s="27"/>
      <c r="AJ526" s="1157"/>
      <c r="AK526" s="1193"/>
      <c r="AL526" s="162"/>
      <c r="AN526" s="1134"/>
      <c r="AP526" s="253"/>
      <c r="AQ526" s="254"/>
      <c r="AR526" s="254"/>
      <c r="AS526" s="254"/>
      <c r="AT526" s="254"/>
      <c r="AU526" s="254"/>
      <c r="AV526" s="254"/>
      <c r="AW526" s="254"/>
      <c r="AX526" s="254"/>
      <c r="AY526" s="254"/>
      <c r="AZ526" s="255"/>
      <c r="BA526" s="254"/>
      <c r="BB526" s="254"/>
      <c r="BC526" s="138" t="s">
        <v>376</v>
      </c>
      <c r="BD526" s="2600">
        <f>BJ530</f>
        <v>59</v>
      </c>
      <c r="BE526" s="2600"/>
      <c r="BF526" s="255" t="s">
        <v>377</v>
      </c>
      <c r="BG526" s="254"/>
      <c r="BH526" s="254"/>
      <c r="BI526" s="254"/>
      <c r="BJ526" s="254"/>
      <c r="BK526" s="256"/>
      <c r="BM526" s="16"/>
      <c r="BN526" s="241" t="s">
        <v>787</v>
      </c>
      <c r="BO526" s="16"/>
      <c r="BP526" s="241"/>
      <c r="BQ526" s="241"/>
      <c r="BR526" s="241"/>
      <c r="BS526" s="241"/>
      <c r="BT526" s="241"/>
      <c r="BU526" s="241"/>
      <c r="BV526" s="16"/>
      <c r="BW526" s="16"/>
      <c r="BX526" s="16"/>
      <c r="BY526" s="16"/>
      <c r="BZ526" s="16"/>
      <c r="CA526" s="16"/>
      <c r="CB526" s="16"/>
      <c r="CC526" s="16"/>
      <c r="CD526" s="16"/>
      <c r="CE526" s="16"/>
      <c r="CF526" s="147" t="s">
        <v>1251</v>
      </c>
      <c r="CG526" s="16"/>
      <c r="CH526" s="16"/>
      <c r="CI526" s="16"/>
      <c r="CJ526" s="16"/>
    </row>
    <row r="527" spans="1:122" s="46" customFormat="1" ht="12.75" hidden="1" customHeight="1">
      <c r="A527" s="28"/>
      <c r="C527" s="1248"/>
      <c r="D527" s="1241"/>
      <c r="E527" s="1223"/>
      <c r="F527" s="1249"/>
      <c r="G527" s="2608"/>
      <c r="H527" s="2608"/>
      <c r="I527" s="2608"/>
      <c r="J527" s="2608"/>
      <c r="K527" s="2608"/>
      <c r="L527" s="2608"/>
      <c r="M527" s="2608"/>
      <c r="N527" s="2608"/>
      <c r="O527" s="2608"/>
      <c r="P527" s="2608"/>
      <c r="Q527" s="2608"/>
      <c r="R527" s="2608"/>
      <c r="S527" s="2608"/>
      <c r="T527" s="2608"/>
      <c r="U527" s="2608"/>
      <c r="V527" s="2608"/>
      <c r="W527" s="2608"/>
      <c r="X527" s="2608"/>
      <c r="Y527" s="2608"/>
      <c r="Z527" s="2608"/>
      <c r="AA527" s="2608"/>
      <c r="AB527" s="2608"/>
      <c r="AC527" s="2608"/>
      <c r="AD527" s="2608"/>
      <c r="AE527" s="2608"/>
      <c r="AF527" s="2608"/>
      <c r="AG527" s="1225"/>
      <c r="AH527" s="1225"/>
      <c r="AI527" s="1225"/>
      <c r="AJ527" s="1225"/>
      <c r="AK527" s="1204"/>
      <c r="AL527" s="162"/>
      <c r="AN527" s="1134"/>
      <c r="AP527" s="253"/>
      <c r="AQ527" s="254"/>
      <c r="AR527" s="254"/>
      <c r="AS527" s="254"/>
      <c r="AT527" s="254"/>
      <c r="AU527" s="254"/>
      <c r="AV527" s="254"/>
      <c r="AW527" s="254"/>
      <c r="AX527" s="254"/>
      <c r="AY527" s="254"/>
      <c r="AZ527" s="255"/>
      <c r="BA527" s="254"/>
      <c r="BB527" s="254"/>
      <c r="BC527" s="99" t="s">
        <v>378</v>
      </c>
      <c r="BD527" s="2600">
        <f>SUM(E583:J591)</f>
        <v>59</v>
      </c>
      <c r="BE527" s="2600"/>
      <c r="BF527" s="255" t="s">
        <v>377</v>
      </c>
      <c r="BG527" s="254"/>
      <c r="BH527" s="254"/>
      <c r="BI527" s="254"/>
      <c r="BJ527" s="254"/>
      <c r="BK527" s="256"/>
      <c r="BM527" s="668">
        <v>4</v>
      </c>
      <c r="BN527" s="667"/>
      <c r="BO527" s="668">
        <v>4</v>
      </c>
      <c r="BP527" s="667"/>
      <c r="BQ527" s="669">
        <v>3</v>
      </c>
      <c r="BR527" s="671"/>
      <c r="BS527" s="669">
        <v>3</v>
      </c>
      <c r="BT527" s="671"/>
      <c r="BU527" s="668">
        <v>2</v>
      </c>
      <c r="BV527" s="667"/>
      <c r="BW527" s="668">
        <v>2</v>
      </c>
      <c r="BX527" s="667"/>
      <c r="BY527" s="669">
        <v>1</v>
      </c>
      <c r="BZ527" s="671"/>
      <c r="CA527" s="669">
        <v>1</v>
      </c>
      <c r="CB527" s="671"/>
      <c r="CC527" s="668" t="s">
        <v>681</v>
      </c>
      <c r="CD527" s="667"/>
      <c r="CE527" s="668" t="s">
        <v>681</v>
      </c>
      <c r="CF527" s="667"/>
      <c r="CG527" s="16"/>
      <c r="CH527" s="16"/>
      <c r="CI527" s="16"/>
      <c r="CJ527" s="16"/>
    </row>
    <row r="528" spans="1:122" s="137" customFormat="1" ht="12.75" hidden="1" customHeight="1">
      <c r="A528" s="28"/>
      <c r="B528" s="46"/>
      <c r="C528" s="161"/>
      <c r="D528" s="153"/>
      <c r="E528" s="225"/>
      <c r="F528" s="163"/>
      <c r="G528" s="1158"/>
      <c r="H528" s="1158"/>
      <c r="I528" s="1158"/>
      <c r="J528" s="1158"/>
      <c r="K528" s="1158"/>
      <c r="L528" s="1158"/>
      <c r="M528" s="1158"/>
      <c r="N528" s="1158"/>
      <c r="O528" s="1158"/>
      <c r="P528" s="1158"/>
      <c r="Q528" s="1158"/>
      <c r="R528" s="1158"/>
      <c r="S528" s="1158"/>
      <c r="T528" s="1158"/>
      <c r="U528" s="1158"/>
      <c r="V528" s="1158"/>
      <c r="W528" s="1158"/>
      <c r="X528" s="1158"/>
      <c r="Y528" s="1158"/>
      <c r="Z528" s="1158"/>
      <c r="AA528" s="1158"/>
      <c r="AB528" s="1158"/>
      <c r="AC528" s="1158"/>
      <c r="AD528" s="1158"/>
      <c r="AE528" s="1158"/>
      <c r="AF528" s="1158"/>
      <c r="AG528" s="27"/>
      <c r="AH528" s="27"/>
      <c r="AI528" s="27"/>
      <c r="AJ528" s="27"/>
      <c r="AK528" s="162"/>
      <c r="AL528" s="162"/>
      <c r="AM528" s="46"/>
      <c r="AN528" s="1136"/>
      <c r="AP528" s="682"/>
      <c r="AQ528" s="683"/>
      <c r="AR528" s="683"/>
      <c r="AS528" s="683"/>
      <c r="AT528" s="683"/>
      <c r="AU528" s="683"/>
      <c r="AV528" s="683"/>
      <c r="AW528" s="683"/>
      <c r="AX528" s="683"/>
      <c r="AY528" s="683"/>
      <c r="AZ528" s="683"/>
      <c r="BA528" s="683"/>
      <c r="BB528" s="683"/>
      <c r="BC528" s="683"/>
      <c r="BD528" s="683"/>
      <c r="BE528" s="683"/>
      <c r="BF528" s="683"/>
      <c r="BG528" s="683"/>
      <c r="BH528" s="683"/>
      <c r="BI528" s="99" t="s">
        <v>593</v>
      </c>
      <c r="BJ528" s="2592">
        <v>0</v>
      </c>
      <c r="BK528" s="2593"/>
      <c r="BM528" s="668">
        <f>IF(T608&gt;0,1,0)</f>
        <v>0</v>
      </c>
      <c r="BN528" s="667"/>
      <c r="BO528" s="668">
        <f>IF(Y608&gt;=0.1,1,0)</f>
        <v>0</v>
      </c>
      <c r="BP528" s="667"/>
      <c r="BQ528" s="669"/>
      <c r="BR528" s="671"/>
      <c r="BS528" s="669"/>
      <c r="BT528" s="671"/>
      <c r="BU528" s="668"/>
      <c r="BV528" s="667"/>
      <c r="BW528" s="668"/>
      <c r="BX528" s="667"/>
      <c r="BY528" s="669"/>
      <c r="BZ528" s="671"/>
      <c r="CA528" s="669"/>
      <c r="CB528" s="671"/>
      <c r="CC528" s="668"/>
      <c r="CD528" s="667"/>
      <c r="CE528" s="668"/>
      <c r="CF528" s="667"/>
      <c r="CG528" s="16"/>
      <c r="CH528" s="16"/>
      <c r="CI528" s="16"/>
      <c r="CJ528" s="16"/>
    </row>
    <row r="529" spans="1:101" s="46" customFormat="1" ht="12.75" hidden="1" customHeight="1">
      <c r="A529" s="28"/>
      <c r="C529" s="1253" t="s">
        <v>2076</v>
      </c>
      <c r="D529" s="1254"/>
      <c r="E529" s="1255"/>
      <c r="F529" s="1256"/>
      <c r="G529" s="1257"/>
      <c r="H529" s="1257"/>
      <c r="I529" s="1257"/>
      <c r="J529" s="1257"/>
      <c r="K529" s="1257"/>
      <c r="L529" s="1257"/>
      <c r="M529" s="1257"/>
      <c r="N529" s="1257"/>
      <c r="O529" s="1257"/>
      <c r="P529" s="1257"/>
      <c r="Q529" s="1257"/>
      <c r="R529" s="1257"/>
      <c r="S529" s="1257"/>
      <c r="T529" s="1257"/>
      <c r="U529" s="1257"/>
      <c r="V529" s="1257"/>
      <c r="W529" s="1257"/>
      <c r="X529" s="1257"/>
      <c r="Y529" s="1257"/>
      <c r="Z529" s="1257"/>
      <c r="AA529" s="1257"/>
      <c r="AB529" s="1257"/>
      <c r="AC529" s="1257"/>
      <c r="AD529" s="1257"/>
      <c r="AE529" s="1257"/>
      <c r="AF529" s="1257"/>
      <c r="AG529" s="1229"/>
      <c r="AH529" s="1229"/>
      <c r="AI529" s="1229"/>
      <c r="AJ529" s="1229"/>
      <c r="AK529" s="1213"/>
      <c r="AL529" s="162"/>
      <c r="AN529" s="439"/>
      <c r="AP529" s="682"/>
      <c r="AQ529" s="683"/>
      <c r="AR529" s="683"/>
      <c r="AS529" s="683"/>
      <c r="AT529" s="683"/>
      <c r="AU529" s="683"/>
      <c r="AV529" s="683"/>
      <c r="AW529" s="683"/>
      <c r="AX529" s="683"/>
      <c r="AY529" s="683"/>
      <c r="AZ529" s="683"/>
      <c r="BA529" s="683"/>
      <c r="BB529" s="683"/>
      <c r="BC529" s="683"/>
      <c r="BD529" s="683"/>
      <c r="BE529" s="683"/>
      <c r="BF529" s="683"/>
      <c r="BG529" s="683"/>
      <c r="BH529" s="683"/>
      <c r="BI529" s="684" t="s">
        <v>11</v>
      </c>
      <c r="BJ529" s="2592">
        <f>Application!AG431</f>
        <v>0</v>
      </c>
      <c r="BK529" s="2593"/>
      <c r="BM529" s="668"/>
      <c r="BN529" s="667"/>
      <c r="BO529" s="668"/>
      <c r="BP529" s="667"/>
      <c r="BQ529" s="672">
        <f>IF(T609&gt;0,1,0)</f>
        <v>1</v>
      </c>
      <c r="BR529" s="673"/>
      <c r="BS529" s="672">
        <f>IF(Y609&gt;=0.1,1,0)</f>
        <v>1</v>
      </c>
      <c r="BT529" s="673"/>
      <c r="BU529" s="668"/>
      <c r="BV529" s="667"/>
      <c r="BW529" s="668"/>
      <c r="BX529" s="667"/>
      <c r="BY529" s="669"/>
      <c r="BZ529" s="671"/>
      <c r="CA529" s="669"/>
      <c r="CB529" s="671"/>
      <c r="CC529" s="668"/>
      <c r="CD529" s="667"/>
      <c r="CE529" s="668"/>
      <c r="CF529" s="667"/>
      <c r="CG529" s="16"/>
      <c r="CH529" s="16"/>
      <c r="CI529" s="16"/>
      <c r="CJ529" s="16"/>
    </row>
    <row r="530" spans="1:101" s="46" customFormat="1" ht="12.75" hidden="1" customHeight="1">
      <c r="A530" s="28"/>
      <c r="C530" s="2390" t="s">
        <v>136</v>
      </c>
      <c r="D530" s="1694"/>
      <c r="E530" s="790" t="s">
        <v>1395</v>
      </c>
      <c r="F530" s="891" t="s">
        <v>1491</v>
      </c>
      <c r="G530" s="1158"/>
      <c r="H530" s="1158"/>
      <c r="I530" s="1158"/>
      <c r="J530" s="1158"/>
      <c r="K530" s="1158"/>
      <c r="L530" s="1158"/>
      <c r="M530" s="1158"/>
      <c r="N530" s="1158"/>
      <c r="O530" s="1158"/>
      <c r="P530" s="1158"/>
      <c r="Q530" s="1158"/>
      <c r="R530" s="1158"/>
      <c r="S530" s="1158"/>
      <c r="T530" s="1158"/>
      <c r="U530" s="1158"/>
      <c r="V530" s="1158"/>
      <c r="W530" s="1158"/>
      <c r="X530" s="1158"/>
      <c r="Y530" s="1158"/>
      <c r="Z530" s="1158"/>
      <c r="AA530" s="1158"/>
      <c r="AB530" s="1158"/>
      <c r="AC530" s="1158"/>
      <c r="AD530" s="1158"/>
      <c r="AE530" s="1158"/>
      <c r="AF530" s="1158"/>
      <c r="AG530" s="175">
        <f>IF(C$530="Yes",(VLOOKUP(F$531,$AO$501:$AP$504,2,FALSE)),0)</f>
        <v>0</v>
      </c>
      <c r="AH530" s="1159" t="s">
        <v>1078</v>
      </c>
      <c r="AI530" s="27"/>
      <c r="AJ530" s="27"/>
      <c r="AK530" s="1193"/>
      <c r="AL530" s="162"/>
      <c r="AN530" s="439"/>
      <c r="AP530" s="681"/>
      <c r="AQ530" s="685"/>
      <c r="AR530" s="685"/>
      <c r="AS530" s="685"/>
      <c r="AT530" s="685"/>
      <c r="AU530" s="685"/>
      <c r="AV530" s="685"/>
      <c r="AW530" s="685"/>
      <c r="AX530" s="685"/>
      <c r="AY530" s="685"/>
      <c r="AZ530" s="685"/>
      <c r="BA530" s="685"/>
      <c r="BB530" s="685"/>
      <c r="BC530" s="685"/>
      <c r="BD530" s="685"/>
      <c r="BE530" s="685"/>
      <c r="BF530" s="685"/>
      <c r="BG530" s="685"/>
      <c r="BH530" s="685"/>
      <c r="BI530" s="687" t="s">
        <v>375</v>
      </c>
      <c r="BJ530" s="2592">
        <f>Application!AG433</f>
        <v>59</v>
      </c>
      <c r="BK530" s="2593"/>
      <c r="BM530" s="2450"/>
      <c r="BN530" s="2451"/>
      <c r="BO530" s="2450"/>
      <c r="BP530" s="2451"/>
      <c r="BQ530" s="2465"/>
      <c r="BR530" s="2467"/>
      <c r="BS530" s="2465"/>
      <c r="BT530" s="2467"/>
      <c r="BU530" s="2450">
        <f>IF(T610&gt;0,1,0)</f>
        <v>1</v>
      </c>
      <c r="BV530" s="2451"/>
      <c r="BW530" s="2450">
        <f>IF(Y610&gt;=0.1,1,0)</f>
        <v>1</v>
      </c>
      <c r="BX530" s="2451"/>
      <c r="BY530" s="2465"/>
      <c r="BZ530" s="2467"/>
      <c r="CA530" s="2465"/>
      <c r="CB530" s="2467"/>
      <c r="CC530" s="2450"/>
      <c r="CD530" s="2451"/>
      <c r="CE530" s="2450"/>
      <c r="CF530" s="2451"/>
      <c r="CG530" s="16"/>
      <c r="CH530" s="16"/>
      <c r="CI530" s="16"/>
      <c r="CJ530" s="16"/>
    </row>
    <row r="531" spans="1:101" s="46" customFormat="1" ht="12.75" hidden="1" customHeight="1">
      <c r="A531" s="28"/>
      <c r="C531" s="1247"/>
      <c r="D531" s="153"/>
      <c r="E531" s="225"/>
      <c r="F531" s="2002" t="s">
        <v>136</v>
      </c>
      <c r="G531" s="2002"/>
      <c r="H531" s="2002"/>
      <c r="I531" s="2002"/>
      <c r="J531" s="2002"/>
      <c r="K531" s="2002"/>
      <c r="L531" s="2002"/>
      <c r="M531" s="2002"/>
      <c r="N531" s="2002"/>
      <c r="O531" s="2002"/>
      <c r="P531" s="2002"/>
      <c r="Q531" s="2002"/>
      <c r="R531" s="2002"/>
      <c r="S531" s="2002"/>
      <c r="T531" s="2002"/>
      <c r="U531" s="2002"/>
      <c r="V531" s="2002"/>
      <c r="W531" s="2002"/>
      <c r="X531" s="2002"/>
      <c r="Y531" s="2002"/>
      <c r="Z531" s="2002"/>
      <c r="AA531" s="2002"/>
      <c r="AB531" s="2002"/>
      <c r="AC531" s="2002"/>
      <c r="AD531" s="2002"/>
      <c r="AE531" s="2002"/>
      <c r="AF531" s="2002"/>
      <c r="AG531" s="27"/>
      <c r="AH531" s="27"/>
      <c r="AI531" s="27"/>
      <c r="AJ531" s="27"/>
      <c r="AK531" s="1193"/>
      <c r="AL531" s="162"/>
      <c r="AN531" s="439"/>
      <c r="BM531" s="2450"/>
      <c r="BN531" s="2451"/>
      <c r="BO531" s="2450"/>
      <c r="BP531" s="2451"/>
      <c r="BQ531" s="2465"/>
      <c r="BR531" s="2467"/>
      <c r="BS531" s="2465"/>
      <c r="BT531" s="2467"/>
      <c r="BU531" s="2450"/>
      <c r="BV531" s="2451"/>
      <c r="BW531" s="2450"/>
      <c r="BX531" s="2451"/>
      <c r="BY531" s="2501">
        <f>IF(T611&gt;0,1,0)</f>
        <v>1</v>
      </c>
      <c r="BZ531" s="2503"/>
      <c r="CA531" s="2501">
        <f>IF(Y611&gt;=0.1,1,0)</f>
        <v>1</v>
      </c>
      <c r="CB531" s="2503"/>
      <c r="CC531" s="2450"/>
      <c r="CD531" s="2451"/>
      <c r="CE531" s="2450"/>
      <c r="CF531" s="2451"/>
      <c r="CG531" s="16"/>
      <c r="CH531" s="16"/>
      <c r="CI531" s="16"/>
      <c r="CJ531" s="16"/>
      <c r="CW531" s="16"/>
    </row>
    <row r="532" spans="1:101" s="46" customFormat="1" ht="12.75" hidden="1" customHeight="1">
      <c r="A532" s="28"/>
      <c r="C532" s="1248"/>
      <c r="D532" s="1203"/>
      <c r="E532" s="1223"/>
      <c r="F532" s="2397"/>
      <c r="G532" s="2397"/>
      <c r="H532" s="2397"/>
      <c r="I532" s="2397"/>
      <c r="J532" s="2397"/>
      <c r="K532" s="2397"/>
      <c r="L532" s="2397"/>
      <c r="M532" s="2397"/>
      <c r="N532" s="2397"/>
      <c r="O532" s="2397"/>
      <c r="P532" s="2397"/>
      <c r="Q532" s="2397"/>
      <c r="R532" s="2397"/>
      <c r="S532" s="2397"/>
      <c r="T532" s="2397"/>
      <c r="U532" s="2397"/>
      <c r="V532" s="2397"/>
      <c r="W532" s="2397"/>
      <c r="X532" s="2397"/>
      <c r="Y532" s="2397"/>
      <c r="Z532" s="2397"/>
      <c r="AA532" s="2397"/>
      <c r="AB532" s="2397"/>
      <c r="AC532" s="2397"/>
      <c r="AD532" s="2397"/>
      <c r="AE532" s="2397"/>
      <c r="AF532" s="2397"/>
      <c r="AG532" s="1225"/>
      <c r="AH532" s="1225"/>
      <c r="AI532" s="1225"/>
      <c r="AJ532" s="1225"/>
      <c r="AK532" s="1204"/>
      <c r="AL532" s="162"/>
      <c r="AN532" s="439"/>
      <c r="BM532" s="2450"/>
      <c r="BN532" s="2451"/>
      <c r="BO532" s="2450"/>
      <c r="BP532" s="2451"/>
      <c r="BQ532" s="2465"/>
      <c r="BR532" s="2467"/>
      <c r="BS532" s="2465"/>
      <c r="BT532" s="2467"/>
      <c r="BU532" s="2450"/>
      <c r="BV532" s="2451"/>
      <c r="BW532" s="2450"/>
      <c r="BX532" s="2451"/>
      <c r="BY532" s="2465"/>
      <c r="BZ532" s="2467"/>
      <c r="CA532" s="2465"/>
      <c r="CB532" s="2467"/>
      <c r="CC532" s="2450">
        <f>IF(T612&gt;0,1,0)</f>
        <v>0</v>
      </c>
      <c r="CD532" s="2451"/>
      <c r="CE532" s="2450">
        <f>IF(Y612&gt;=0.1,1,0)</f>
        <v>0</v>
      </c>
      <c r="CF532" s="2451"/>
      <c r="CG532" s="16"/>
      <c r="CH532" s="16"/>
      <c r="CI532" s="16"/>
      <c r="CJ532" s="16"/>
    </row>
    <row r="533" spans="1:101" s="46" customFormat="1" ht="12.75" hidden="1" customHeight="1">
      <c r="A533" s="57"/>
      <c r="C533" s="27"/>
      <c r="E533" s="27"/>
      <c r="F533" s="891"/>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50">
        <f>SUM(BM528:BN532)</f>
        <v>0</v>
      </c>
      <c r="BN533" s="2451"/>
      <c r="BO533" s="2450">
        <f>SUM(BO528:BP532)</f>
        <v>0</v>
      </c>
      <c r="BP533" s="2451"/>
      <c r="BQ533" s="2450">
        <f>SUM(BQ528:BR532)</f>
        <v>1</v>
      </c>
      <c r="BR533" s="2451"/>
      <c r="BS533" s="2450">
        <f>SUM(BS528:BT532)</f>
        <v>1</v>
      </c>
      <c r="BT533" s="2451"/>
      <c r="BU533" s="2450">
        <f>SUM(BU528:BV532)</f>
        <v>1</v>
      </c>
      <c r="BV533" s="2451"/>
      <c r="BW533" s="2450">
        <f>SUM(BW528:BX532)</f>
        <v>1</v>
      </c>
      <c r="BX533" s="2451"/>
      <c r="BY533" s="2450">
        <f>SUM(BY528:BZ532)</f>
        <v>1</v>
      </c>
      <c r="BZ533" s="2451"/>
      <c r="CA533" s="2450">
        <f>SUM(CA528:CB532)</f>
        <v>1</v>
      </c>
      <c r="CB533" s="2451"/>
      <c r="CC533" s="2450">
        <f>SUM(CC528:CD532)</f>
        <v>0</v>
      </c>
      <c r="CD533" s="2451"/>
      <c r="CE533" s="2450">
        <f>SUM(CE528:CF532)</f>
        <v>0</v>
      </c>
      <c r="CF533" s="2451"/>
      <c r="CG533" s="16"/>
      <c r="CH533" s="16"/>
      <c r="CI533" s="16"/>
      <c r="CJ533" s="16"/>
    </row>
    <row r="534" spans="1:101" s="46" customFormat="1" ht="12.75" hidden="1" customHeight="1">
      <c r="A534" s="57"/>
      <c r="B534" s="45" t="s">
        <v>1482</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97" t="s">
        <v>504</v>
      </c>
      <c r="AQ534" s="2598"/>
      <c r="AR534" s="2598"/>
      <c r="AS534" s="2598"/>
      <c r="AT534" s="2599"/>
      <c r="AU534" s="2597" t="s">
        <v>505</v>
      </c>
      <c r="AV534" s="2598"/>
      <c r="AW534" s="2598"/>
      <c r="AX534" s="2598"/>
      <c r="AY534" s="2599"/>
      <c r="BM534" s="2465">
        <f>SUM(BM533:BP533)</f>
        <v>0</v>
      </c>
      <c r="BN534" s="2466"/>
      <c r="BO534" s="2466"/>
      <c r="BP534" s="2467"/>
      <c r="BQ534" s="2465">
        <f>SUM(BQ533:BT533)</f>
        <v>2</v>
      </c>
      <c r="BR534" s="2466"/>
      <c r="BS534" s="2466"/>
      <c r="BT534" s="2467"/>
      <c r="BU534" s="2465">
        <f>SUM(BU533:BX533)</f>
        <v>2</v>
      </c>
      <c r="BV534" s="2466"/>
      <c r="BW534" s="2466"/>
      <c r="BX534" s="2467"/>
      <c r="BY534" s="2465">
        <f>SUM(BY533:CB533)</f>
        <v>2</v>
      </c>
      <c r="BZ534" s="2466"/>
      <c r="CA534" s="2466"/>
      <c r="CB534" s="2467"/>
      <c r="CC534" s="2465">
        <f>SUM(CC533:CF533)</f>
        <v>0</v>
      </c>
      <c r="CD534" s="2466"/>
      <c r="CE534" s="2466"/>
      <c r="CF534" s="2467"/>
      <c r="CG534" s="16"/>
      <c r="CH534" s="16"/>
      <c r="CI534" s="16"/>
      <c r="CJ534" s="16"/>
    </row>
    <row r="535" spans="1:101" s="46" customFormat="1" ht="12.75" hidden="1" customHeight="1">
      <c r="A535" s="57"/>
      <c r="B535" s="45" t="s">
        <v>1483</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94">
        <f>RANK(T608,$T$608:$X$612,0)+COUNTIF($T$608:$X$612,T608)-1</f>
        <v>5</v>
      </c>
      <c r="AQ535" s="2595"/>
      <c r="AR535" s="2595"/>
      <c r="AS535" s="2595"/>
      <c r="AT535" s="2596"/>
      <c r="AU535" s="2594">
        <f>RANK(Y608,$Y$608:$AC$612,0)+COUNTIF($Y$608:$AC$612,Y608)-1</f>
        <v>5</v>
      </c>
      <c r="AV535" s="2595"/>
      <c r="AW535" s="2595"/>
      <c r="AX535" s="2595"/>
      <c r="AY535" s="2596"/>
      <c r="BM535" s="2465"/>
      <c r="BN535" s="2466"/>
      <c r="BO535" s="2466"/>
      <c r="BP535" s="2467"/>
      <c r="BQ535" s="2465">
        <f>IF(AND(BQ534=2,BM534=1),1,0)</f>
        <v>0</v>
      </c>
      <c r="BR535" s="2466"/>
      <c r="BS535" s="2466"/>
      <c r="BT535" s="2467"/>
      <c r="BU535" s="2465">
        <f>IF(AND(BU534=2,BQ534=1),1,0)</f>
        <v>0</v>
      </c>
      <c r="BV535" s="2466"/>
      <c r="BW535" s="2466"/>
      <c r="BX535" s="2467"/>
      <c r="BY535" s="2465">
        <f>IF(AND(BY534=2,BU534=1),1,0)</f>
        <v>0</v>
      </c>
      <c r="BZ535" s="2466"/>
      <c r="CA535" s="2466"/>
      <c r="CB535" s="2467"/>
      <c r="CC535" s="2465">
        <f>IF(AND(CC534=2,BU534=1),1,0)</f>
        <v>0</v>
      </c>
      <c r="CD535" s="2466"/>
      <c r="CE535" s="2466"/>
      <c r="CF535" s="2467"/>
      <c r="CG535" s="16"/>
      <c r="CH535" s="16"/>
      <c r="CI535" s="16"/>
      <c r="CJ535" s="16"/>
    </row>
    <row r="536" spans="1:101" s="46" customFormat="1" ht="12.75" hidden="1" customHeight="1">
      <c r="A536" s="57"/>
      <c r="B536" s="46" t="s">
        <v>1484</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94">
        <f>RANK(T609,$T$608:$X$612,0)+COUNTIF($T$608:$X$612,T609)-1</f>
        <v>3</v>
      </c>
      <c r="AQ536" s="2595"/>
      <c r="AR536" s="2595"/>
      <c r="AS536" s="2595"/>
      <c r="AT536" s="2596"/>
      <c r="AU536" s="2594">
        <f>RANK(Y609,$Y$608:$AC$612,0)+COUNTIF($Y$608:$AC$612,Y609)-1</f>
        <v>3</v>
      </c>
      <c r="AV536" s="2595"/>
      <c r="AW536" s="2595"/>
      <c r="AX536" s="2595"/>
      <c r="AY536" s="2596"/>
      <c r="BM536" s="2465"/>
      <c r="BN536" s="2466"/>
      <c r="BO536" s="2466"/>
      <c r="BP536" s="2467"/>
      <c r="BQ536" s="2465"/>
      <c r="BR536" s="2466"/>
      <c r="BS536" s="2466"/>
      <c r="BT536" s="2467"/>
      <c r="BU536" s="2465">
        <f>IF(AND(BU534=2,BM534=1),1,0)</f>
        <v>0</v>
      </c>
      <c r="BV536" s="2466"/>
      <c r="BW536" s="2466"/>
      <c r="BX536" s="2467"/>
      <c r="BY536" s="2465">
        <f>IF(AND(BY534=2,BQ534=1),1,0)</f>
        <v>0</v>
      </c>
      <c r="BZ536" s="2466"/>
      <c r="CA536" s="2466"/>
      <c r="CB536" s="2467"/>
      <c r="CC536" s="2465">
        <f>IF(AND(CC535=2,BY535=1),1,0)</f>
        <v>0</v>
      </c>
      <c r="CD536" s="2466"/>
      <c r="CE536" s="2466"/>
      <c r="CF536" s="2467"/>
      <c r="CG536" s="16"/>
      <c r="CH536" s="16"/>
      <c r="CI536" s="16"/>
      <c r="CJ536" s="16"/>
    </row>
    <row r="537" spans="1:101" s="46" customFormat="1" ht="12.75" hidden="1" customHeight="1">
      <c r="A537" s="57"/>
      <c r="B537" s="46" t="s">
        <v>1675</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94">
        <f>RANK(T610,$T$608:$X$612,0)+COUNTIF($T$608:$X$612,T610)-1</f>
        <v>2</v>
      </c>
      <c r="AQ537" s="2595"/>
      <c r="AR537" s="2595"/>
      <c r="AS537" s="2595"/>
      <c r="AT537" s="2596"/>
      <c r="AU537" s="2594">
        <f>RANK(Y610,$Y$608:$AC$612,0)+COUNTIF($Y$608:$AC$612,Y610)-1</f>
        <v>2</v>
      </c>
      <c r="AV537" s="2595"/>
      <c r="AW537" s="2595"/>
      <c r="AX537" s="2595"/>
      <c r="AY537" s="2596"/>
      <c r="BM537" s="2465"/>
      <c r="BN537" s="2466"/>
      <c r="BO537" s="2466"/>
      <c r="BP537" s="2467"/>
      <c r="BQ537" s="2465"/>
      <c r="BR537" s="2466"/>
      <c r="BS537" s="2466"/>
      <c r="BT537" s="2467"/>
      <c r="BU537" s="2465"/>
      <c r="BV537" s="2466"/>
      <c r="BW537" s="2466"/>
      <c r="BX537" s="2467"/>
      <c r="BY537" s="2465">
        <f>IF(AND(BY534=2,BM534=1),1,0)</f>
        <v>0</v>
      </c>
      <c r="BZ537" s="2466"/>
      <c r="CA537" s="2466"/>
      <c r="CB537" s="2467"/>
      <c r="CC537" s="2465">
        <f>IF(AND(CC534=2,BQ534=1),1,0)</f>
        <v>0</v>
      </c>
      <c r="CD537" s="2466"/>
      <c r="CE537" s="2466"/>
      <c r="CF537" s="2467"/>
      <c r="CG537" s="16"/>
      <c r="CH537" s="16"/>
      <c r="CI537" s="16"/>
      <c r="CJ537" s="16"/>
    </row>
    <row r="538" spans="1:101" s="46" customFormat="1" ht="12.75" hidden="1" customHeight="1">
      <c r="A538" s="57"/>
      <c r="B538" s="46" t="s">
        <v>1485</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94">
        <f>RANK(T611,$T$608:$X$612,0)+COUNTIF($T$608:$X$612,T611)-1</f>
        <v>1</v>
      </c>
      <c r="AQ538" s="2595"/>
      <c r="AR538" s="2595"/>
      <c r="AS538" s="2595"/>
      <c r="AT538" s="2596"/>
      <c r="AU538" s="2594">
        <f>RANK(Y611,$Y$608:$AC$612,0)+COUNTIF($Y$608:$AC$612,Y611)-1</f>
        <v>1</v>
      </c>
      <c r="AV538" s="2595"/>
      <c r="AW538" s="2595"/>
      <c r="AX538" s="2595"/>
      <c r="AY538" s="2596"/>
      <c r="BM538" s="2465"/>
      <c r="BN538" s="2466"/>
      <c r="BO538" s="2466"/>
      <c r="BP538" s="2467"/>
      <c r="BQ538" s="2465"/>
      <c r="BR538" s="2466"/>
      <c r="BS538" s="2466"/>
      <c r="BT538" s="2467"/>
      <c r="BU538" s="2465"/>
      <c r="BV538" s="2466"/>
      <c r="BW538" s="2466"/>
      <c r="BX538" s="2467"/>
      <c r="BY538" s="2465"/>
      <c r="BZ538" s="2466"/>
      <c r="CA538" s="2466"/>
      <c r="CB538" s="2467"/>
      <c r="CC538" s="2465">
        <f>IF(AND(CC534=2,BM534=1),1,0)</f>
        <v>0</v>
      </c>
      <c r="CD538" s="2466"/>
      <c r="CE538" s="2466"/>
      <c r="CF538" s="2467"/>
      <c r="CG538" s="16"/>
      <c r="CH538" s="16"/>
      <c r="CI538" s="16"/>
      <c r="CJ538" s="16"/>
    </row>
    <row r="539" spans="1:101" s="46" customFormat="1" ht="12.75" hidden="1" customHeight="1">
      <c r="A539" s="57"/>
      <c r="B539" s="46" t="s">
        <v>1676</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94">
        <f>RANK(T612,$T$608:$X$612,0)+COUNTIF($T$608:$X$612,T612)-1</f>
        <v>5</v>
      </c>
      <c r="AQ539" s="2595"/>
      <c r="AR539" s="2595"/>
      <c r="AS539" s="2595"/>
      <c r="AT539" s="2596"/>
      <c r="AU539" s="2594">
        <f>RANK(Y612,$Y$608:$AC$612,0)+COUNTIF($Y$608:$AC$612,Y612)-1</f>
        <v>5</v>
      </c>
      <c r="AV539" s="2595"/>
      <c r="AW539" s="2595"/>
      <c r="AX539" s="2595"/>
      <c r="AY539" s="2596"/>
      <c r="BM539" s="2465">
        <f>SUM(BM535:BP538)</f>
        <v>0</v>
      </c>
      <c r="BN539" s="2466"/>
      <c r="BO539" s="2466"/>
      <c r="BP539" s="2467"/>
      <c r="BQ539" s="2465">
        <f>SUM(BQ535:BT538)</f>
        <v>0</v>
      </c>
      <c r="BR539" s="2466"/>
      <c r="BS539" s="2466"/>
      <c r="BT539" s="2467"/>
      <c r="BU539" s="2465">
        <f>SUM(BU535:BX538)</f>
        <v>0</v>
      </c>
      <c r="BV539" s="2466"/>
      <c r="BW539" s="2466"/>
      <c r="BX539" s="2467"/>
      <c r="BY539" s="2465">
        <f>SUM(BY535:CB538)</f>
        <v>0</v>
      </c>
      <c r="BZ539" s="2466"/>
      <c r="CA539" s="2466"/>
      <c r="CB539" s="2467"/>
      <c r="CC539" s="2465">
        <f>SUM(CC535:CF538)</f>
        <v>0</v>
      </c>
      <c r="CD539" s="2466"/>
      <c r="CE539" s="2466"/>
      <c r="CF539" s="2467"/>
      <c r="CG539" s="2465">
        <f>SUM(BM539:CF539)</f>
        <v>0</v>
      </c>
      <c r="CH539" s="2466"/>
      <c r="CI539" s="2466"/>
      <c r="CJ539" s="2467"/>
    </row>
    <row r="540" spans="1:101" s="46" customFormat="1" ht="12.75" hidden="1" customHeight="1">
      <c r="A540" s="57"/>
      <c r="B540" s="46" t="s">
        <v>1677</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7" t="s">
        <v>196</v>
      </c>
      <c r="AK542" s="2360">
        <f>SUM(AG486:AG531)</f>
        <v>0</v>
      </c>
      <c r="AL542" s="2361"/>
      <c r="AM542" s="2362"/>
      <c r="AN542" s="439"/>
      <c r="AP542" s="227" t="s">
        <v>680</v>
      </c>
      <c r="AQ542" s="228"/>
      <c r="AR542" s="228"/>
      <c r="AS542" s="228"/>
      <c r="AT542" s="228"/>
      <c r="AU542" s="228"/>
      <c r="AV542" s="228"/>
      <c r="AW542" s="228"/>
      <c r="AX542" s="228"/>
      <c r="AY542" s="228"/>
      <c r="AZ542" s="229"/>
      <c r="CH542" s="142" t="s">
        <v>1251</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678</v>
      </c>
      <c r="AQ543" s="231"/>
      <c r="AR543" s="231"/>
      <c r="AS543" s="231"/>
      <c r="AT543" s="231"/>
      <c r="AU543" s="231"/>
      <c r="AV543" s="231"/>
      <c r="AW543" s="231"/>
      <c r="AX543" s="231"/>
      <c r="AY543" s="2450">
        <f>SUM(O608:S612)</f>
        <v>59</v>
      </c>
      <c r="AZ543" s="2451"/>
      <c r="CG543" s="35"/>
      <c r="CH543" s="2500" t="s">
        <v>848</v>
      </c>
      <c r="CI543" s="1964"/>
      <c r="CJ543" s="1964"/>
      <c r="CK543" s="1965"/>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672</v>
      </c>
      <c r="AQ544" s="233"/>
      <c r="AR544" s="233"/>
      <c r="AS544" s="2450" t="str">
        <f>IF(AY543=BK570,"passed","failed")</f>
        <v>passed</v>
      </c>
      <c r="AT544" s="2456"/>
      <c r="AU544" s="2451"/>
      <c r="AV544" s="233"/>
      <c r="AW544" s="233"/>
      <c r="AX544" s="233"/>
      <c r="AY544" s="233"/>
      <c r="AZ544" s="234"/>
      <c r="CG544" s="35"/>
      <c r="CH544" s="1966"/>
      <c r="CI544" s="1967"/>
      <c r="CJ544" s="1967"/>
      <c r="CK544" s="1968"/>
    </row>
    <row r="545" spans="1:89" s="46" customFormat="1" ht="12.75" customHeight="1">
      <c r="A545" s="152" t="s">
        <v>2227</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415" t="s">
        <v>409</v>
      </c>
      <c r="AF545" s="2415"/>
      <c r="AG545" s="2415"/>
      <c r="AH545" s="2415"/>
      <c r="AI545" s="2415"/>
      <c r="AJ545" s="2415"/>
      <c r="AK545" s="2415"/>
      <c r="AL545" s="1299"/>
      <c r="AM545" s="65"/>
      <c r="AN545" s="439"/>
      <c r="BE545" s="16"/>
      <c r="BF545" s="35"/>
      <c r="BG545" s="16"/>
      <c r="BH545" s="16"/>
      <c r="BI545" s="16"/>
      <c r="BJ545" s="16"/>
      <c r="BK545" s="16"/>
      <c r="BL545" s="16"/>
      <c r="BM545" s="16"/>
      <c r="BN545" s="16"/>
      <c r="BO545" s="16"/>
      <c r="BP545" s="16"/>
      <c r="BQ545" s="16"/>
      <c r="BR545" s="147" t="s">
        <v>1251</v>
      </c>
      <c r="BS545" s="16"/>
      <c r="BT545" s="16"/>
      <c r="BU545" s="16"/>
      <c r="BV545" s="16"/>
      <c r="BW545" s="16"/>
      <c r="BX545" s="16"/>
      <c r="BY545" s="16"/>
      <c r="BZ545" s="16"/>
      <c r="CA545" s="16"/>
      <c r="CB545" s="16"/>
      <c r="CC545" s="16"/>
      <c r="CG545" s="35"/>
      <c r="CH545" s="1966"/>
      <c r="CI545" s="1967"/>
      <c r="CJ545" s="1967"/>
      <c r="CK545" s="1968"/>
    </row>
    <row r="546" spans="1:89" s="46" customFormat="1" ht="12.75" customHeight="1">
      <c r="B546" s="207" t="s">
        <v>2228</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63" t="s">
        <v>199</v>
      </c>
      <c r="AH546" s="2363"/>
      <c r="AI546" s="2363"/>
      <c r="AJ546" s="2363"/>
      <c r="AK546" s="26"/>
      <c r="AL546" s="1299"/>
      <c r="AM546" s="65"/>
      <c r="AN546" s="439"/>
      <c r="BE546" s="2465" t="s">
        <v>249</v>
      </c>
      <c r="BF546" s="2466"/>
      <c r="BG546" s="2466"/>
      <c r="BH546" s="2467"/>
      <c r="BI546" s="2465" t="s">
        <v>783</v>
      </c>
      <c r="BJ546" s="2466"/>
      <c r="BK546" s="2466"/>
      <c r="BL546" s="2467"/>
      <c r="BM546" s="2465" t="s">
        <v>784</v>
      </c>
      <c r="BN546" s="2466"/>
      <c r="BO546" s="2466"/>
      <c r="BP546" s="2467"/>
      <c r="BQ546" s="2465" t="s">
        <v>785</v>
      </c>
      <c r="BR546" s="2466"/>
      <c r="BS546" s="2466"/>
      <c r="BT546" s="2467"/>
      <c r="BU546" s="2465" t="s">
        <v>786</v>
      </c>
      <c r="BV546" s="2466"/>
      <c r="BW546" s="2466"/>
      <c r="BX546" s="2467"/>
      <c r="BY546" s="2465" t="s">
        <v>250</v>
      </c>
      <c r="BZ546" s="2466"/>
      <c r="CA546" s="2466"/>
      <c r="CB546" s="2467"/>
      <c r="CC546" s="16"/>
      <c r="CG546" s="16"/>
      <c r="CH546" s="1966"/>
      <c r="CI546" s="1967"/>
      <c r="CJ546" s="1967"/>
      <c r="CK546" s="1968"/>
    </row>
    <row r="547" spans="1:89" s="46" customFormat="1" ht="12.75" customHeight="1">
      <c r="A547" s="152"/>
      <c r="B547" s="2575" t="s">
        <v>1937</v>
      </c>
      <c r="C547" s="2575"/>
      <c r="D547" s="2575"/>
      <c r="E547" s="2575"/>
      <c r="F547" s="2575"/>
      <c r="G547" s="2575"/>
      <c r="H547" s="2575"/>
      <c r="I547" s="2575"/>
      <c r="J547" s="2575"/>
      <c r="K547" s="2575"/>
      <c r="L547" s="2575"/>
      <c r="M547" s="2575"/>
      <c r="N547" s="2575"/>
      <c r="O547" s="2575"/>
      <c r="P547" s="2575"/>
      <c r="Q547" s="2575"/>
      <c r="R547" s="2575"/>
      <c r="S547" s="2575"/>
      <c r="T547" s="2575"/>
      <c r="U547" s="2575"/>
      <c r="V547" s="2575"/>
      <c r="W547" s="2575"/>
      <c r="X547" s="2575"/>
      <c r="Y547" s="2575"/>
      <c r="Z547" s="2575"/>
      <c r="AA547" s="2575"/>
      <c r="AB547" s="2575"/>
      <c r="AC547" s="2575"/>
      <c r="AD547" s="2575"/>
      <c r="AE547" s="2575"/>
      <c r="AF547" s="2575"/>
      <c r="AG547" s="2575"/>
      <c r="AK547" s="65"/>
      <c r="AL547" s="65"/>
      <c r="AM547" s="153"/>
      <c r="AN547" s="439"/>
      <c r="AP547" s="689" t="s">
        <v>679</v>
      </c>
      <c r="AQ547" s="690"/>
      <c r="AR547" s="690"/>
      <c r="AS547" s="690"/>
      <c r="AT547" s="690"/>
      <c r="AU547" s="690"/>
      <c r="AV547" s="691"/>
      <c r="AW547" s="690"/>
      <c r="AX547" s="690"/>
      <c r="AY547" s="691"/>
      <c r="BE547" s="2450">
        <f>IF(CH548=1,0,1)</f>
        <v>0</v>
      </c>
      <c r="BF547" s="2456"/>
      <c r="BG547" s="2456"/>
      <c r="BH547" s="2451"/>
      <c r="BI547" s="2450"/>
      <c r="BJ547" s="2456"/>
      <c r="BK547" s="2456"/>
      <c r="BL547" s="2451"/>
      <c r="BM547" s="2450"/>
      <c r="BN547" s="2456"/>
      <c r="BO547" s="2456"/>
      <c r="BP547" s="2451"/>
      <c r="BQ547" s="2450"/>
      <c r="BR547" s="2456"/>
      <c r="BS547" s="2456"/>
      <c r="BT547" s="2451"/>
      <c r="BU547" s="2501"/>
      <c r="BV547" s="2502"/>
      <c r="BW547" s="2502"/>
      <c r="BX547" s="2503"/>
      <c r="BY547" s="2501"/>
      <c r="BZ547" s="2502"/>
      <c r="CA547" s="2502"/>
      <c r="CB547" s="2503"/>
      <c r="CC547" s="16"/>
      <c r="CG547" s="16"/>
      <c r="CH547" s="1969"/>
      <c r="CI547" s="1970"/>
      <c r="CJ547" s="1970"/>
      <c r="CK547" s="1971"/>
    </row>
    <row r="548" spans="1:89" s="46" customFormat="1" ht="12.75" customHeight="1">
      <c r="A548" s="29"/>
      <c r="B548" s="2575"/>
      <c r="C548" s="2575"/>
      <c r="D548" s="2575"/>
      <c r="E548" s="2575"/>
      <c r="F548" s="2575"/>
      <c r="G548" s="2575"/>
      <c r="H548" s="2575"/>
      <c r="I548" s="2575"/>
      <c r="J548" s="2575"/>
      <c r="K548" s="2575"/>
      <c r="L548" s="2575"/>
      <c r="M548" s="2575"/>
      <c r="N548" s="2575"/>
      <c r="O548" s="2575"/>
      <c r="P548" s="2575"/>
      <c r="Q548" s="2575"/>
      <c r="R548" s="2575"/>
      <c r="S548" s="2575"/>
      <c r="T548" s="2575"/>
      <c r="U548" s="2575"/>
      <c r="V548" s="2575"/>
      <c r="W548" s="2575"/>
      <c r="X548" s="2575"/>
      <c r="Y548" s="2575"/>
      <c r="Z548" s="2575"/>
      <c r="AA548" s="2575"/>
      <c r="AB548" s="2575"/>
      <c r="AC548" s="2575"/>
      <c r="AD548" s="2575"/>
      <c r="AE548" s="2575"/>
      <c r="AF548" s="2575"/>
      <c r="AG548" s="2575"/>
      <c r="AK548" s="246"/>
      <c r="AL548" s="246"/>
      <c r="AM548" s="246"/>
      <c r="AN548" s="439"/>
      <c r="AP548" s="692" t="s">
        <v>677</v>
      </c>
      <c r="AQ548" s="693"/>
      <c r="AR548" s="693"/>
      <c r="AS548" s="693"/>
      <c r="AT548" s="693"/>
      <c r="AU548" s="2490">
        <f>ROUNDUP(BK570*0.1,0)</f>
        <v>6</v>
      </c>
      <c r="AV548" s="2492"/>
      <c r="AW548" s="693"/>
      <c r="AX548" s="693">
        <f>AU548-AP550</f>
        <v>-11</v>
      </c>
      <c r="AY548" s="694"/>
      <c r="BE548" s="2450"/>
      <c r="BF548" s="2456"/>
      <c r="BG548" s="2456"/>
      <c r="BH548" s="2451"/>
      <c r="BI548" s="2450">
        <f>IF(AND(CH549=1,BE547=0),0,1)</f>
        <v>0</v>
      </c>
      <c r="BJ548" s="2456"/>
      <c r="BK548" s="2456"/>
      <c r="BL548" s="2451"/>
      <c r="BM548" s="2450"/>
      <c r="BN548" s="2456"/>
      <c r="BO548" s="2456"/>
      <c r="BP548" s="2451"/>
      <c r="BQ548" s="2450"/>
      <c r="BR548" s="2456"/>
      <c r="BS548" s="2456"/>
      <c r="BT548" s="2451"/>
      <c r="BU548" s="2501"/>
      <c r="BV548" s="2502"/>
      <c r="BW548" s="2502"/>
      <c r="BX548" s="2503"/>
      <c r="BY548" s="2501"/>
      <c r="BZ548" s="2502"/>
      <c r="CA548" s="2502"/>
      <c r="CB548" s="2503"/>
      <c r="CC548" s="16"/>
      <c r="CG548" s="16"/>
      <c r="CH548" s="2465">
        <f>IF(OR(Y608=0,Y608&gt;=0.1),1,0)</f>
        <v>1</v>
      </c>
      <c r="CI548" s="2466"/>
      <c r="CJ548" s="2466"/>
      <c r="CK548" s="2467"/>
    </row>
    <row r="549" spans="1:89" s="46" customFormat="1" ht="12.75" customHeight="1">
      <c r="A549" s="28"/>
      <c r="B549" s="2575"/>
      <c r="C549" s="2575"/>
      <c r="D549" s="2575"/>
      <c r="E549" s="2575"/>
      <c r="F549" s="2575"/>
      <c r="G549" s="2575"/>
      <c r="H549" s="2575"/>
      <c r="I549" s="2575"/>
      <c r="J549" s="2575"/>
      <c r="K549" s="2575"/>
      <c r="L549" s="2575"/>
      <c r="M549" s="2575"/>
      <c r="N549" s="2575"/>
      <c r="O549" s="2575"/>
      <c r="P549" s="2575"/>
      <c r="Q549" s="2575"/>
      <c r="R549" s="2575"/>
      <c r="S549" s="2575"/>
      <c r="T549" s="2575"/>
      <c r="U549" s="2575"/>
      <c r="V549" s="2575"/>
      <c r="W549" s="2575"/>
      <c r="X549" s="2575"/>
      <c r="Y549" s="2575"/>
      <c r="Z549" s="2575"/>
      <c r="AA549" s="2575"/>
      <c r="AB549" s="2575"/>
      <c r="AC549" s="2575"/>
      <c r="AD549" s="2575"/>
      <c r="AE549" s="2575"/>
      <c r="AF549" s="2575"/>
      <c r="AG549" s="2575"/>
      <c r="AH549" s="245"/>
      <c r="AI549" s="245"/>
      <c r="AJ549" s="245"/>
      <c r="AK549" s="246"/>
      <c r="AL549" s="246"/>
      <c r="AM549" s="246"/>
      <c r="AN549" s="439"/>
      <c r="AP549" s="692"/>
      <c r="AQ549" s="693"/>
      <c r="AR549" s="693"/>
      <c r="AS549" s="693"/>
      <c r="AT549" s="693"/>
      <c r="AU549" s="693"/>
      <c r="AV549" s="694"/>
      <c r="AW549" s="693"/>
      <c r="AX549" s="693"/>
      <c r="AY549" s="694"/>
      <c r="BE549" s="2450"/>
      <c r="BF549" s="2456"/>
      <c r="BG549" s="2456"/>
      <c r="BH549" s="2451"/>
      <c r="BI549" s="2450"/>
      <c r="BJ549" s="2456"/>
      <c r="BK549" s="2456"/>
      <c r="BL549" s="2451"/>
      <c r="BM549" s="2450">
        <f>IF(AND(AND(CH550=1,BI548=0,BE547=0)),0,1)</f>
        <v>0</v>
      </c>
      <c r="BN549" s="2456"/>
      <c r="BO549" s="2456"/>
      <c r="BP549" s="2451"/>
      <c r="BQ549" s="2450"/>
      <c r="BR549" s="2456"/>
      <c r="BS549" s="2456"/>
      <c r="BT549" s="2451"/>
      <c r="BU549" s="2501"/>
      <c r="BV549" s="2502"/>
      <c r="BW549" s="2502"/>
      <c r="BX549" s="2503"/>
      <c r="BY549" s="2501"/>
      <c r="BZ549" s="2502"/>
      <c r="CA549" s="2502"/>
      <c r="CB549" s="2503"/>
      <c r="CC549" s="16"/>
      <c r="CG549" s="16"/>
      <c r="CH549" s="2465">
        <f>IF(OR(Y609=0,Y609&gt;=0.1),1,0)</f>
        <v>1</v>
      </c>
      <c r="CI549" s="2466"/>
      <c r="CJ549" s="2466"/>
      <c r="CK549" s="2467"/>
    </row>
    <row r="550" spans="1:89" s="46" customFormat="1" ht="12.75" customHeight="1">
      <c r="A550" s="28"/>
      <c r="B550" s="2575"/>
      <c r="C550" s="2575"/>
      <c r="D550" s="2575"/>
      <c r="E550" s="2575"/>
      <c r="F550" s="2575"/>
      <c r="G550" s="2575"/>
      <c r="H550" s="2575"/>
      <c r="I550" s="2575"/>
      <c r="J550" s="2575"/>
      <c r="K550" s="2575"/>
      <c r="L550" s="2575"/>
      <c r="M550" s="2575"/>
      <c r="N550" s="2575"/>
      <c r="O550" s="2575"/>
      <c r="P550" s="2575"/>
      <c r="Q550" s="2575"/>
      <c r="R550" s="2575"/>
      <c r="S550" s="2575"/>
      <c r="T550" s="2575"/>
      <c r="U550" s="2575"/>
      <c r="V550" s="2575"/>
      <c r="W550" s="2575"/>
      <c r="X550" s="2575"/>
      <c r="Y550" s="2575"/>
      <c r="Z550" s="2575"/>
      <c r="AA550" s="2575"/>
      <c r="AB550" s="2575"/>
      <c r="AC550" s="2575"/>
      <c r="AD550" s="2575"/>
      <c r="AE550" s="2575"/>
      <c r="AF550" s="2575"/>
      <c r="AG550" s="2575"/>
      <c r="AH550" s="245"/>
      <c r="AI550" s="245"/>
      <c r="AJ550" s="245"/>
      <c r="AK550" s="246"/>
      <c r="AL550" s="246"/>
      <c r="AM550" s="246"/>
      <c r="AN550" s="439"/>
      <c r="AP550" s="2577">
        <f>SUM(T608:X612)</f>
        <v>17</v>
      </c>
      <c r="AQ550" s="2578"/>
      <c r="AR550" s="2578"/>
      <c r="AS550" s="2578"/>
      <c r="AT550" s="2579"/>
      <c r="AU550" s="693"/>
      <c r="AV550" s="694"/>
      <c r="AW550" s="693"/>
      <c r="AX550" s="693"/>
      <c r="AY550" s="694"/>
      <c r="BE550" s="2450"/>
      <c r="BF550" s="2456"/>
      <c r="BG550" s="2456"/>
      <c r="BH550" s="2451"/>
      <c r="BI550" s="2450"/>
      <c r="BJ550" s="2456"/>
      <c r="BK550" s="2456"/>
      <c r="BL550" s="2451"/>
      <c r="BM550" s="2450"/>
      <c r="BN550" s="2456"/>
      <c r="BO550" s="2456"/>
      <c r="BP550" s="2451"/>
      <c r="BQ550" s="2450">
        <f>IF(AND(AND(AND(CH551=1,BM549=0,BI548=0,BE547=0))),0,1)</f>
        <v>0</v>
      </c>
      <c r="BR550" s="2456"/>
      <c r="BS550" s="2456"/>
      <c r="BT550" s="2451"/>
      <c r="BU550" s="2501"/>
      <c r="BV550" s="2502"/>
      <c r="BW550" s="2502"/>
      <c r="BX550" s="2503"/>
      <c r="BY550" s="2501"/>
      <c r="BZ550" s="2502"/>
      <c r="CA550" s="2502"/>
      <c r="CB550" s="2503"/>
      <c r="CC550" s="16"/>
      <c r="CG550" s="16"/>
      <c r="CH550" s="2465">
        <f>IF(OR(Y610=0,Y610&gt;=0.1),1,0)</f>
        <v>1</v>
      </c>
      <c r="CI550" s="2466"/>
      <c r="CJ550" s="2466"/>
      <c r="CK550" s="2467"/>
    </row>
    <row r="551" spans="1:89" s="46" customFormat="1" ht="12.75" customHeight="1">
      <c r="A551" s="28"/>
      <c r="B551" s="2575"/>
      <c r="C551" s="2575"/>
      <c r="D551" s="2575"/>
      <c r="E551" s="2575"/>
      <c r="F551" s="2575"/>
      <c r="G551" s="2575"/>
      <c r="H551" s="2575"/>
      <c r="I551" s="2575"/>
      <c r="J551" s="2575"/>
      <c r="K551" s="2575"/>
      <c r="L551" s="2575"/>
      <c r="M551" s="2575"/>
      <c r="N551" s="2575"/>
      <c r="O551" s="2575"/>
      <c r="P551" s="2575"/>
      <c r="Q551" s="2575"/>
      <c r="R551" s="2575"/>
      <c r="S551" s="2575"/>
      <c r="T551" s="2575"/>
      <c r="U551" s="2575"/>
      <c r="V551" s="2575"/>
      <c r="W551" s="2575"/>
      <c r="X551" s="2575"/>
      <c r="Y551" s="2575"/>
      <c r="Z551" s="2575"/>
      <c r="AA551" s="2575"/>
      <c r="AB551" s="2575"/>
      <c r="AC551" s="2575"/>
      <c r="AD551" s="2575"/>
      <c r="AE551" s="2575"/>
      <c r="AF551" s="2575"/>
      <c r="AG551" s="2575"/>
      <c r="AH551" s="245"/>
      <c r="AI551" s="245"/>
      <c r="AJ551" s="245"/>
      <c r="AK551" s="246"/>
      <c r="AL551" s="246"/>
      <c r="AM551" s="246"/>
      <c r="AN551" s="439"/>
      <c r="AP551" s="695"/>
      <c r="AQ551" s="696"/>
      <c r="AR551" s="696"/>
      <c r="AS551" s="696"/>
      <c r="AT551" s="697" t="s">
        <v>672</v>
      </c>
      <c r="AU551" s="2490" t="str">
        <f>IF(AP550&gt;=AU548,"passed","failed")</f>
        <v>passed</v>
      </c>
      <c r="AV551" s="2491"/>
      <c r="AW551" s="2492"/>
      <c r="AX551" s="698"/>
      <c r="AY551" s="699"/>
      <c r="BE551" s="2450"/>
      <c r="BF551" s="2456"/>
      <c r="BG551" s="2456"/>
      <c r="BH551" s="2451"/>
      <c r="BI551" s="2450"/>
      <c r="BJ551" s="2456"/>
      <c r="BK551" s="2456"/>
      <c r="BL551" s="2451"/>
      <c r="BM551" s="2450"/>
      <c r="BN551" s="2456"/>
      <c r="BO551" s="2456"/>
      <c r="BP551" s="2451"/>
      <c r="BQ551" s="2450"/>
      <c r="BR551" s="2456"/>
      <c r="BS551" s="2456"/>
      <c r="BT551" s="2451"/>
      <c r="BU551" s="2450">
        <f>IF(AND(AND(AND(AND(CH552=1,BQ550=0,BM549=0,BI548=0,BE547=0)))),0,1)</f>
        <v>0</v>
      </c>
      <c r="BV551" s="2456"/>
      <c r="BW551" s="2456"/>
      <c r="BX551" s="2451"/>
      <c r="BY551" s="2501"/>
      <c r="BZ551" s="2502"/>
      <c r="CA551" s="2502"/>
      <c r="CB551" s="2503"/>
      <c r="CC551" s="16"/>
      <c r="CD551" s="16"/>
      <c r="CE551" s="16"/>
      <c r="CF551" s="16"/>
      <c r="CG551" s="16"/>
      <c r="CH551" s="2465">
        <f>IF(OR(Y611=0,Y611&gt;=0.1),1,0)</f>
        <v>1</v>
      </c>
      <c r="CI551" s="2466"/>
      <c r="CJ551" s="2466"/>
      <c r="CK551" s="2467"/>
    </row>
    <row r="552" spans="1:89" s="46" customFormat="1" ht="13.7" customHeight="1">
      <c r="A552" s="28"/>
      <c r="B552" s="2575"/>
      <c r="C552" s="2575"/>
      <c r="D552" s="2575"/>
      <c r="E552" s="2575"/>
      <c r="F552" s="2575"/>
      <c r="G552" s="2575"/>
      <c r="H552" s="2575"/>
      <c r="I552" s="2575"/>
      <c r="J552" s="2575"/>
      <c r="K552" s="2575"/>
      <c r="L552" s="2575"/>
      <c r="M552" s="2575"/>
      <c r="N552" s="2575"/>
      <c r="O552" s="2575"/>
      <c r="P552" s="2575"/>
      <c r="Q552" s="2575"/>
      <c r="R552" s="2575"/>
      <c r="S552" s="2575"/>
      <c r="T552" s="2575"/>
      <c r="U552" s="2575"/>
      <c r="V552" s="2575"/>
      <c r="W552" s="2575"/>
      <c r="X552" s="2575"/>
      <c r="Y552" s="2575"/>
      <c r="Z552" s="2575"/>
      <c r="AA552" s="2575"/>
      <c r="AB552" s="2575"/>
      <c r="AC552" s="2575"/>
      <c r="AD552" s="2575"/>
      <c r="AE552" s="2575"/>
      <c r="AF552" s="2575"/>
      <c r="AG552" s="2575"/>
      <c r="AH552" s="245"/>
      <c r="AI552" s="245"/>
      <c r="AJ552" s="245"/>
      <c r="AK552" s="246"/>
      <c r="AL552" s="246"/>
      <c r="AM552" s="246"/>
      <c r="AN552" s="1138"/>
      <c r="BE552" s="2450">
        <f>SUM(BE547:BH551)</f>
        <v>0</v>
      </c>
      <c r="BF552" s="2456"/>
      <c r="BG552" s="2456"/>
      <c r="BH552" s="2451"/>
      <c r="BI552" s="2450">
        <f>SUM(BI547:BL551)</f>
        <v>0</v>
      </c>
      <c r="BJ552" s="2456"/>
      <c r="BK552" s="2456"/>
      <c r="BL552" s="2451"/>
      <c r="BM552" s="2450">
        <f>SUM(BM547:BP551)</f>
        <v>0</v>
      </c>
      <c r="BN552" s="2456"/>
      <c r="BO552" s="2456"/>
      <c r="BP552" s="2451"/>
      <c r="BQ552" s="2450">
        <f>SUM(BQ547:BT551)</f>
        <v>0</v>
      </c>
      <c r="BR552" s="2456"/>
      <c r="BS552" s="2456"/>
      <c r="BT552" s="2451"/>
      <c r="BU552" s="2450">
        <f>SUM(BU547:BX551)</f>
        <v>0</v>
      </c>
      <c r="BV552" s="2456"/>
      <c r="BW552" s="2456"/>
      <c r="BX552" s="2451"/>
      <c r="BY552" s="2450">
        <f>SUM(BY547:CB551)</f>
        <v>0</v>
      </c>
      <c r="BZ552" s="2456"/>
      <c r="CA552" s="2456"/>
      <c r="CB552" s="2451"/>
      <c r="CC552" s="2465">
        <f>IF(AND(CH548=1,T608&gt;0),0,SUM(BE552:CB552))</f>
        <v>0</v>
      </c>
      <c r="CD552" s="2466"/>
      <c r="CE552" s="2466"/>
      <c r="CF552" s="2467"/>
      <c r="CG552" s="16"/>
      <c r="CH552" s="2465">
        <f>IF(OR(Y612=0,Y612&gt;=0.1),1,0)</f>
        <v>1</v>
      </c>
      <c r="CI552" s="2466"/>
      <c r="CJ552" s="2466"/>
      <c r="CK552" s="2467"/>
    </row>
    <row r="553" spans="1:89" s="137" customFormat="1" ht="12.6" customHeight="1">
      <c r="A553" s="28"/>
      <c r="B553" s="2468" t="s">
        <v>1679</v>
      </c>
      <c r="C553" s="2468"/>
      <c r="D553" s="2468"/>
      <c r="E553" s="2468"/>
      <c r="F553" s="2468"/>
      <c r="G553" s="2468"/>
      <c r="H553" s="2468"/>
      <c r="I553" s="2468"/>
      <c r="J553" s="2468"/>
      <c r="K553" s="2468"/>
      <c r="L553" s="2468"/>
      <c r="M553" s="2468"/>
      <c r="N553" s="2468"/>
      <c r="O553" s="2468"/>
      <c r="P553" s="2468"/>
      <c r="Q553" s="2468"/>
      <c r="R553" s="2468"/>
      <c r="S553" s="2468"/>
      <c r="T553" s="2468"/>
      <c r="U553" s="2468"/>
      <c r="V553" s="2468"/>
      <c r="W553" s="2468"/>
      <c r="X553" s="2468"/>
      <c r="Y553" s="2468"/>
      <c r="Z553" s="2468"/>
      <c r="AA553" s="2468"/>
      <c r="AB553" s="2468"/>
      <c r="AC553" s="2468"/>
      <c r="AD553" s="2468"/>
      <c r="AE553" s="2468"/>
      <c r="AF553" s="2468"/>
      <c r="AG553" s="2468"/>
      <c r="AH553" s="245"/>
      <c r="AI553" s="245"/>
      <c r="AJ553" s="245"/>
      <c r="AK553" s="246"/>
      <c r="AL553" s="246"/>
      <c r="AM553" s="246"/>
      <c r="AN553" s="439"/>
    </row>
    <row r="554" spans="1:89" s="46" customFormat="1" ht="21" customHeight="1">
      <c r="A554" s="28"/>
      <c r="B554" s="2468"/>
      <c r="C554" s="2468"/>
      <c r="D554" s="2468"/>
      <c r="E554" s="2468"/>
      <c r="F554" s="2468"/>
      <c r="G554" s="2468"/>
      <c r="H554" s="2468"/>
      <c r="I554" s="2468"/>
      <c r="J554" s="2468"/>
      <c r="K554" s="2468"/>
      <c r="L554" s="2468"/>
      <c r="M554" s="2468"/>
      <c r="N554" s="2468"/>
      <c r="O554" s="2468"/>
      <c r="P554" s="2468"/>
      <c r="Q554" s="2468"/>
      <c r="R554" s="2468"/>
      <c r="S554" s="2468"/>
      <c r="T554" s="2468"/>
      <c r="U554" s="2468"/>
      <c r="V554" s="2468"/>
      <c r="W554" s="2468"/>
      <c r="X554" s="2468"/>
      <c r="Y554" s="2468"/>
      <c r="Z554" s="2468"/>
      <c r="AA554" s="2468"/>
      <c r="AB554" s="2468"/>
      <c r="AC554" s="2468"/>
      <c r="AD554" s="2468"/>
      <c r="AE554" s="2468"/>
      <c r="AF554" s="2468"/>
      <c r="AG554" s="2468"/>
      <c r="AH554" s="245"/>
      <c r="AI554" s="245"/>
      <c r="AJ554" s="245"/>
      <c r="AK554" s="246"/>
      <c r="AL554" s="246"/>
      <c r="AM554" s="246"/>
      <c r="AN554" s="439"/>
      <c r="AP554" s="227" t="s">
        <v>674</v>
      </c>
      <c r="AQ554" s="228"/>
      <c r="AR554" s="228"/>
      <c r="AS554" s="228"/>
      <c r="AT554" s="228"/>
      <c r="AU554" s="228"/>
      <c r="AV554" s="228"/>
      <c r="AW554" s="228"/>
      <c r="AX554" s="228"/>
      <c r="AY554" s="229"/>
    </row>
    <row r="555" spans="1:89" s="46" customFormat="1" ht="12.75" customHeight="1">
      <c r="A555" s="28"/>
      <c r="B555" s="2468" t="s">
        <v>1992</v>
      </c>
      <c r="C555" s="2468"/>
      <c r="D555" s="2468"/>
      <c r="E555" s="2468"/>
      <c r="F555" s="2468"/>
      <c r="G555" s="2468"/>
      <c r="H555" s="2468"/>
      <c r="I555" s="2468"/>
      <c r="J555" s="2468"/>
      <c r="K555" s="2468"/>
      <c r="L555" s="2468"/>
      <c r="M555" s="2468"/>
      <c r="N555" s="2468"/>
      <c r="O555" s="2468"/>
      <c r="P555" s="2468"/>
      <c r="Q555" s="2468"/>
      <c r="R555" s="2468"/>
      <c r="S555" s="2468"/>
      <c r="T555" s="2468"/>
      <c r="U555" s="2468"/>
      <c r="V555" s="2468"/>
      <c r="W555" s="2468"/>
      <c r="X555" s="2468"/>
      <c r="Y555" s="2468"/>
      <c r="Z555" s="2468"/>
      <c r="AA555" s="2468"/>
      <c r="AB555" s="2468"/>
      <c r="AC555" s="2468"/>
      <c r="AD555" s="2468"/>
      <c r="AE555" s="2468"/>
      <c r="AF555" s="2468"/>
      <c r="AG555" s="1152"/>
      <c r="AH555" s="245"/>
      <c r="AI555" s="245"/>
      <c r="AJ555" s="245"/>
      <c r="AK555" s="246"/>
      <c r="AL555" s="246"/>
      <c r="AM555" s="246"/>
      <c r="AN555" s="439"/>
      <c r="AP555" s="230" t="s">
        <v>782</v>
      </c>
      <c r="AQ555" s="231"/>
      <c r="AR555" s="231"/>
      <c r="AS555" s="231"/>
      <c r="AT555" s="231"/>
      <c r="AU555" s="231"/>
      <c r="AV555" s="231"/>
      <c r="AW555" s="231"/>
      <c r="AX555" s="238"/>
      <c r="AY555" s="238"/>
    </row>
    <row r="556" spans="1:89" s="46" customFormat="1" ht="12.75" customHeight="1">
      <c r="A556" s="28"/>
      <c r="B556" s="2468"/>
      <c r="C556" s="2468"/>
      <c r="D556" s="2468"/>
      <c r="E556" s="2468"/>
      <c r="F556" s="2468"/>
      <c r="G556" s="2468"/>
      <c r="H556" s="2468"/>
      <c r="I556" s="2468"/>
      <c r="J556" s="2468"/>
      <c r="K556" s="2468"/>
      <c r="L556" s="2468"/>
      <c r="M556" s="2468"/>
      <c r="N556" s="2468"/>
      <c r="O556" s="2468"/>
      <c r="P556" s="2468"/>
      <c r="Q556" s="2468"/>
      <c r="R556" s="2468"/>
      <c r="S556" s="2468"/>
      <c r="T556" s="2468"/>
      <c r="U556" s="2468"/>
      <c r="V556" s="2468"/>
      <c r="W556" s="2468"/>
      <c r="X556" s="2468"/>
      <c r="Y556" s="2468"/>
      <c r="Z556" s="2468"/>
      <c r="AA556" s="2468"/>
      <c r="AB556" s="2468"/>
      <c r="AC556" s="2468"/>
      <c r="AD556" s="2468"/>
      <c r="AE556" s="2468"/>
      <c r="AF556" s="2468"/>
      <c r="AG556" s="245"/>
      <c r="AH556" s="245"/>
      <c r="AI556" s="245"/>
      <c r="AJ556" s="245"/>
      <c r="AK556" s="246"/>
      <c r="AL556" s="246"/>
      <c r="AM556" s="246"/>
      <c r="AN556" s="439"/>
      <c r="AP556" s="232"/>
      <c r="AQ556" s="233"/>
      <c r="AR556" s="233"/>
      <c r="AS556" s="233"/>
      <c r="AT556" s="239" t="s">
        <v>672</v>
      </c>
      <c r="AU556" s="233"/>
      <c r="AV556" s="2450" t="str">
        <f>IF(BJ592&gt;0,"failed","passed")</f>
        <v>failed</v>
      </c>
      <c r="AW556" s="2456"/>
      <c r="AX556" s="2456"/>
      <c r="AY556" s="2451"/>
    </row>
    <row r="557" spans="1:89" s="46" customFormat="1" ht="12.6" customHeight="1">
      <c r="A557" s="28"/>
      <c r="B557" s="1153" t="s">
        <v>1683</v>
      </c>
      <c r="C557" s="1154"/>
      <c r="D557" s="1154"/>
      <c r="E557" s="1154"/>
      <c r="F557" s="1154"/>
      <c r="G557" s="1154"/>
      <c r="H557" s="1154"/>
      <c r="I557" s="1154"/>
      <c r="J557" s="1154"/>
      <c r="K557" s="1154"/>
      <c r="L557" s="1154"/>
      <c r="M557" s="1154"/>
      <c r="N557" s="1154"/>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1990</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76" t="s">
        <v>1680</v>
      </c>
      <c r="R559" s="2576"/>
      <c r="S559" s="2576"/>
      <c r="T559" s="2576"/>
      <c r="U559" s="2576"/>
      <c r="V559" s="2576"/>
      <c r="W559" s="2576"/>
      <c r="X559" s="2576"/>
      <c r="Y559" s="2576"/>
      <c r="Z559" s="2576"/>
      <c r="AA559" s="2576"/>
      <c r="AB559" s="2576"/>
      <c r="AC559" s="2576"/>
      <c r="AD559" s="2576"/>
      <c r="AE559" s="2576"/>
      <c r="AF559" s="2576"/>
      <c r="AG559" s="245"/>
      <c r="AH559" s="245"/>
      <c r="AI559" s="245"/>
      <c r="AJ559" s="44"/>
      <c r="AK559" s="153"/>
      <c r="AL559" s="153"/>
      <c r="AM559" s="153"/>
      <c r="AN559" s="439"/>
      <c r="AP559" s="85" t="s">
        <v>1039</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76"/>
      <c r="R560" s="2576"/>
      <c r="S560" s="2576"/>
      <c r="T560" s="2576"/>
      <c r="U560" s="2576"/>
      <c r="V560" s="2576"/>
      <c r="W560" s="2576"/>
      <c r="X560" s="2576"/>
      <c r="Y560" s="2576"/>
      <c r="Z560" s="2576"/>
      <c r="AA560" s="2576"/>
      <c r="AB560" s="2576"/>
      <c r="AC560" s="2576"/>
      <c r="AD560" s="2576"/>
      <c r="AE560" s="2576"/>
      <c r="AF560" s="2576"/>
      <c r="AN560" s="439"/>
      <c r="AP560" s="93" t="s">
        <v>779</v>
      </c>
      <c r="AQ560" s="94"/>
      <c r="AR560" s="94"/>
      <c r="AS560" s="94"/>
      <c r="AT560" s="94"/>
      <c r="AU560" s="94"/>
      <c r="AV560" s="94"/>
      <c r="AW560" s="94"/>
      <c r="AX560" s="94"/>
      <c r="AY560" s="94"/>
      <c r="AZ560" s="94"/>
      <c r="BA560" s="94"/>
      <c r="BB560" s="94"/>
      <c r="BC560" s="90"/>
      <c r="BD560" s="669" t="str">
        <f>IF(CN579=0,"passed","failed")</f>
        <v>passed</v>
      </c>
      <c r="BE560" s="670"/>
      <c r="BF560" s="670"/>
      <c r="BG560" s="671"/>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78" t="s">
        <v>1991</v>
      </c>
      <c r="R561" s="2379"/>
      <c r="S561" s="2588" t="s">
        <v>227</v>
      </c>
      <c r="T561" s="2588"/>
      <c r="U561" s="2378">
        <v>0.5</v>
      </c>
      <c r="V561" s="2379"/>
      <c r="W561" s="2378">
        <v>0.45</v>
      </c>
      <c r="X561" s="2379"/>
      <c r="Y561" s="2378">
        <v>0.4</v>
      </c>
      <c r="Z561" s="2379"/>
      <c r="AA561" s="2378">
        <v>0.35</v>
      </c>
      <c r="AB561" s="2379"/>
      <c r="AC561" s="2488">
        <v>0.3</v>
      </c>
      <c r="AD561" s="2489"/>
      <c r="AE561" s="2378">
        <v>0.2</v>
      </c>
      <c r="AF561" s="2379"/>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39"/>
      <c r="P562" s="2340"/>
      <c r="Q562" s="2377"/>
      <c r="R562" s="2364"/>
      <c r="S562" s="2469"/>
      <c r="T562" s="2469"/>
      <c r="U562" s="2364"/>
      <c r="V562" s="2364"/>
      <c r="W562" s="2364"/>
      <c r="X562" s="2364"/>
      <c r="Y562" s="2364"/>
      <c r="Z562" s="2364"/>
      <c r="AA562" s="2457"/>
      <c r="AB562" s="2457"/>
      <c r="AC562" s="2364"/>
      <c r="AD562" s="2364"/>
      <c r="AE562" s="2486"/>
      <c r="AF562" s="2487"/>
      <c r="AN562" s="439"/>
      <c r="AP562" s="226" t="s">
        <v>780</v>
      </c>
      <c r="AQ562" s="91"/>
      <c r="AR562" s="91"/>
      <c r="AS562" s="91"/>
      <c r="AT562" s="2465" t="str">
        <f>IF(OR(AV556="passed",BD560="passed"),"passed","failed")</f>
        <v>passed</v>
      </c>
      <c r="AU562" s="2466"/>
      <c r="AV562" s="2466"/>
      <c r="AW562" s="2466"/>
      <c r="AX562" s="2467"/>
    </row>
    <row r="563" spans="1:96" s="46" customFormat="1" ht="12.75" customHeight="1">
      <c r="A563" s="28"/>
      <c r="B563" s="106"/>
      <c r="C563" s="28"/>
      <c r="I563" s="345"/>
      <c r="J563" s="245"/>
      <c r="K563" s="162"/>
      <c r="L563" s="162"/>
      <c r="M563" s="162"/>
      <c r="N563" s="71"/>
      <c r="O563" s="2339"/>
      <c r="P563" s="2340"/>
      <c r="Q563" s="2352"/>
      <c r="R563" s="2353"/>
      <c r="S563" s="2353"/>
      <c r="T563" s="2353"/>
      <c r="U563" s="2353"/>
      <c r="V563" s="2353"/>
      <c r="W563" s="2353"/>
      <c r="X563" s="2353"/>
      <c r="Y563" s="2351"/>
      <c r="Z563" s="2351"/>
      <c r="AA563" s="2353"/>
      <c r="AB563" s="2353"/>
      <c r="AC563" s="2351"/>
      <c r="AD563" s="2351"/>
      <c r="AE563" s="2354"/>
      <c r="AF563" s="2355"/>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39"/>
      <c r="P564" s="2340"/>
      <c r="Q564" s="2352"/>
      <c r="R564" s="2353"/>
      <c r="S564" s="2353"/>
      <c r="T564" s="2353"/>
      <c r="U564" s="2353"/>
      <c r="V564" s="2353"/>
      <c r="W564" s="2353"/>
      <c r="X564" s="2353"/>
      <c r="Y564" s="2353"/>
      <c r="Z564" s="2353"/>
      <c r="AA564" s="2351"/>
      <c r="AB564" s="2351"/>
      <c r="AC564" s="2353"/>
      <c r="AD564" s="2353"/>
      <c r="AE564" s="2496"/>
      <c r="AF564" s="2497"/>
      <c r="AN564" s="439"/>
      <c r="AP564" s="235" t="s">
        <v>673</v>
      </c>
      <c r="AQ564" s="236"/>
      <c r="AR564" s="236"/>
      <c r="AS564" s="236"/>
      <c r="AT564" s="236"/>
      <c r="AU564" s="236"/>
      <c r="AV564" s="237"/>
      <c r="AW564" s="2493" t="str">
        <f>IF(AND(AND(AND(AND(AS544="passed",AU551="passed",BD560="passed",SUM(T608:X612)&gt;1)))),"YES","NO")</f>
        <v>YES</v>
      </c>
      <c r="AX564" s="2494"/>
      <c r="AY564" s="2495"/>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39"/>
      <c r="P565" s="2340"/>
      <c r="Q565" s="2352"/>
      <c r="R565" s="2353"/>
      <c r="S565" s="2353"/>
      <c r="T565" s="2353"/>
      <c r="U565" s="2353"/>
      <c r="V565" s="2353"/>
      <c r="W565" s="2353"/>
      <c r="X565" s="2353"/>
      <c r="Y565" s="2351"/>
      <c r="Z565" s="2351"/>
      <c r="AA565" s="2353"/>
      <c r="AB565" s="2353"/>
      <c r="AC565" s="2351"/>
      <c r="AD565" s="2351"/>
      <c r="AE565" s="2354"/>
      <c r="AF565" s="2355"/>
      <c r="AN565" s="439"/>
    </row>
    <row r="566" spans="1:96" s="46" customFormat="1" ht="12.75" customHeight="1">
      <c r="A566" s="28"/>
      <c r="B566" s="106"/>
      <c r="C566" s="28"/>
      <c r="I566" s="345"/>
      <c r="J566" s="245"/>
      <c r="K566" s="162"/>
      <c r="L566" s="162"/>
      <c r="M566" s="162"/>
      <c r="N566" s="71"/>
      <c r="O566" s="2339"/>
      <c r="P566" s="2340"/>
      <c r="Q566" s="2352"/>
      <c r="R566" s="2353"/>
      <c r="S566" s="2353"/>
      <c r="T566" s="2353"/>
      <c r="U566" s="2353"/>
      <c r="V566" s="2353"/>
      <c r="W566" s="2351"/>
      <c r="X566" s="2351"/>
      <c r="Y566" s="2353"/>
      <c r="Z566" s="2353"/>
      <c r="AA566" s="2351"/>
      <c r="AB566" s="2351"/>
      <c r="AC566" s="2353"/>
      <c r="AD566" s="2353"/>
      <c r="AE566" s="2496"/>
      <c r="AF566" s="2497"/>
      <c r="AN566" s="439"/>
    </row>
    <row r="567" spans="1:96" s="46" customFormat="1" ht="12.75" customHeight="1">
      <c r="A567" s="28"/>
      <c r="B567" s="106"/>
      <c r="C567" s="28"/>
      <c r="I567" s="345"/>
      <c r="J567" s="245"/>
      <c r="K567" s="162"/>
      <c r="L567" s="162"/>
      <c r="M567" s="162"/>
      <c r="N567" s="71"/>
      <c r="O567" s="2339"/>
      <c r="P567" s="2340"/>
      <c r="Q567" s="2352"/>
      <c r="R567" s="2353"/>
      <c r="S567" s="2353"/>
      <c r="T567" s="2353"/>
      <c r="U567" s="2353"/>
      <c r="V567" s="2353"/>
      <c r="W567" s="2353"/>
      <c r="X567" s="2353"/>
      <c r="Y567" s="2351"/>
      <c r="Z567" s="2351"/>
      <c r="AA567" s="2353"/>
      <c r="AB567" s="2353"/>
      <c r="AC567" s="2351"/>
      <c r="AD567" s="2351"/>
      <c r="AE567" s="2354"/>
      <c r="AF567" s="2355"/>
      <c r="AN567" s="439"/>
      <c r="AU567" s="65"/>
      <c r="AV567" s="65"/>
      <c r="AW567" s="90"/>
      <c r="AX567" s="91"/>
      <c r="AY567" s="91"/>
      <c r="AZ567" s="100" t="s">
        <v>1248</v>
      </c>
      <c r="BA567" s="2504" t="s">
        <v>781</v>
      </c>
      <c r="BB567" s="2505"/>
      <c r="BC567" s="2505"/>
      <c r="BD567" s="2505"/>
      <c r="BE567" s="2506"/>
      <c r="BF567" s="2461">
        <f>SUM(O608:S612)</f>
        <v>59</v>
      </c>
      <c r="BG567" s="2462"/>
      <c r="BH567" s="2462"/>
      <c r="BI567" s="2462"/>
      <c r="BJ567" s="2463"/>
      <c r="BK567" s="2342">
        <f>SUM(T608:X612)</f>
        <v>17</v>
      </c>
      <c r="BL567" s="2343"/>
      <c r="BM567" s="2343"/>
      <c r="BN567" s="2343"/>
      <c r="BO567" s="2344"/>
    </row>
    <row r="568" spans="1:96" s="46" customFormat="1" ht="12.75" customHeight="1">
      <c r="A568" s="28"/>
      <c r="B568" s="57"/>
      <c r="C568" s="28"/>
      <c r="I568" s="2391" t="s">
        <v>1678</v>
      </c>
      <c r="J568" s="2392"/>
      <c r="K568" s="2392"/>
      <c r="L568" s="2392"/>
      <c r="M568" s="2392"/>
      <c r="N568" s="2393"/>
      <c r="O568" s="2339">
        <v>0.5</v>
      </c>
      <c r="P568" s="2340"/>
      <c r="Q568" s="2370"/>
      <c r="R568" s="2371"/>
      <c r="S568" s="2353"/>
      <c r="T568" s="2353"/>
      <c r="U568" s="2590" t="s">
        <v>1682</v>
      </c>
      <c r="V568" s="2590"/>
      <c r="W568" s="2369">
        <v>37.5</v>
      </c>
      <c r="X568" s="2369"/>
      <c r="Y568" s="2371"/>
      <c r="Z568" s="2371"/>
      <c r="AA568" s="2369"/>
      <c r="AB568" s="2369"/>
      <c r="AC568" s="2371"/>
      <c r="AD568" s="2371"/>
      <c r="AE568" s="2498"/>
      <c r="AF568" s="2499"/>
      <c r="AN568" s="439"/>
      <c r="CL568" s="16"/>
      <c r="CM568" s="16"/>
    </row>
    <row r="569" spans="1:96" s="46" customFormat="1" ht="12.75" customHeight="1">
      <c r="A569" s="28"/>
      <c r="B569" s="195"/>
      <c r="C569" s="101"/>
      <c r="D569" s="28"/>
      <c r="E569" s="28"/>
      <c r="I569" s="2391"/>
      <c r="J569" s="2392"/>
      <c r="K569" s="2392"/>
      <c r="L569" s="2392"/>
      <c r="M569" s="2392"/>
      <c r="N569" s="2393"/>
      <c r="O569" s="2339">
        <v>0.45</v>
      </c>
      <c r="P569" s="2340"/>
      <c r="Q569" s="2352"/>
      <c r="R569" s="2353"/>
      <c r="S569" s="2353"/>
      <c r="T569" s="2353"/>
      <c r="U569" s="2359" t="s">
        <v>145</v>
      </c>
      <c r="V569" s="2359"/>
      <c r="W569" s="2351">
        <v>33.799999999999997</v>
      </c>
      <c r="X569" s="2351"/>
      <c r="Y569" s="2351"/>
      <c r="Z569" s="2351"/>
      <c r="AA569" s="2353"/>
      <c r="AB569" s="2353"/>
      <c r="AC569" s="2351"/>
      <c r="AD569" s="2351"/>
      <c r="AE569" s="2354"/>
      <c r="AF569" s="2355"/>
      <c r="AN569" s="439"/>
      <c r="CL569" s="16"/>
      <c r="CM569" s="16"/>
    </row>
    <row r="570" spans="1:96" s="46" customFormat="1" ht="12.75" customHeight="1">
      <c r="A570" s="28"/>
      <c r="B570" s="8"/>
      <c r="C570" s="8"/>
      <c r="D570" s="8"/>
      <c r="E570" s="8"/>
      <c r="I570" s="2391"/>
      <c r="J570" s="2392"/>
      <c r="K570" s="2392"/>
      <c r="L570" s="2392"/>
      <c r="M570" s="2392"/>
      <c r="N570" s="2393"/>
      <c r="O570" s="2339">
        <v>0.4</v>
      </c>
      <c r="P570" s="2340"/>
      <c r="Q570" s="2352"/>
      <c r="R570" s="2353"/>
      <c r="S570" s="2359" t="s">
        <v>1681</v>
      </c>
      <c r="T570" s="2359"/>
      <c r="U570" s="2351">
        <v>20</v>
      </c>
      <c r="V570" s="2351"/>
      <c r="W570" s="2351">
        <v>30</v>
      </c>
      <c r="X570" s="2351"/>
      <c r="Y570" s="2351"/>
      <c r="Z570" s="2351"/>
      <c r="AA570" s="2351"/>
      <c r="AB570" s="2351"/>
      <c r="AC570" s="2351"/>
      <c r="AD570" s="2351"/>
      <c r="AE570" s="2354"/>
      <c r="AF570" s="2355"/>
      <c r="AN570" s="439"/>
      <c r="AP570" s="2507" t="s">
        <v>228</v>
      </c>
      <c r="AQ570" s="2508"/>
      <c r="AR570" s="2508"/>
      <c r="AS570" s="2508"/>
      <c r="AT570" s="2508"/>
      <c r="AU570" s="2508"/>
      <c r="AV570" s="2508"/>
      <c r="AW570" s="2508"/>
      <c r="AX570" s="2508"/>
      <c r="AY570" s="2508"/>
      <c r="AZ570" s="2508"/>
      <c r="BA570" s="2508"/>
      <c r="BB570" s="2508"/>
      <c r="BC570" s="2508"/>
      <c r="BD570" s="2508"/>
      <c r="BE570" s="2508"/>
      <c r="BF570" s="2508"/>
      <c r="BG570" s="2508"/>
      <c r="BH570" s="2508"/>
      <c r="BI570" s="2508"/>
      <c r="BJ570" s="2509"/>
      <c r="BK570" s="2480">
        <f>BF567</f>
        <v>59</v>
      </c>
      <c r="BL570" s="2481"/>
      <c r="BM570" s="2481"/>
      <c r="BN570" s="2481"/>
      <c r="BO570" s="2482"/>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91"/>
      <c r="J571" s="2392"/>
      <c r="K571" s="2392"/>
      <c r="L571" s="2392"/>
      <c r="M571" s="2392"/>
      <c r="N571" s="2393"/>
      <c r="O571" s="2339">
        <v>0.35</v>
      </c>
      <c r="P571" s="2340"/>
      <c r="Q571" s="2352"/>
      <c r="R571" s="2353"/>
      <c r="S571" s="2359" t="s">
        <v>1993</v>
      </c>
      <c r="T571" s="2359"/>
      <c r="U571" s="2351">
        <v>17.5</v>
      </c>
      <c r="V571" s="2351"/>
      <c r="W571" s="2351">
        <v>26.3</v>
      </c>
      <c r="X571" s="2351"/>
      <c r="Y571" s="2351">
        <v>35</v>
      </c>
      <c r="Z571" s="2351"/>
      <c r="AA571" s="2351"/>
      <c r="AB571" s="2351"/>
      <c r="AC571" s="2351">
        <v>50</v>
      </c>
      <c r="AD571" s="2351"/>
      <c r="AE571" s="2354"/>
      <c r="AF571" s="2355"/>
      <c r="AN571" s="439"/>
      <c r="AP571" s="2510"/>
      <c r="AQ571" s="2511"/>
      <c r="AR571" s="2511"/>
      <c r="AS571" s="2511"/>
      <c r="AT571" s="2511"/>
      <c r="AU571" s="2511"/>
      <c r="AV571" s="2511"/>
      <c r="AW571" s="2511"/>
      <c r="AX571" s="2511"/>
      <c r="AY571" s="2511"/>
      <c r="AZ571" s="2511"/>
      <c r="BA571" s="2511"/>
      <c r="BB571" s="2511"/>
      <c r="BC571" s="2511"/>
      <c r="BD571" s="2511"/>
      <c r="BE571" s="2511"/>
      <c r="BF571" s="2511"/>
      <c r="BG571" s="2511"/>
      <c r="BH571" s="2511"/>
      <c r="BI571" s="2511"/>
      <c r="BJ571" s="2512"/>
      <c r="BK571" s="2483"/>
      <c r="BL571" s="2484"/>
      <c r="BM571" s="2484"/>
      <c r="BN571" s="2484"/>
      <c r="BO571" s="2485"/>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91"/>
      <c r="J572" s="2392"/>
      <c r="K572" s="2392"/>
      <c r="L572" s="2392"/>
      <c r="M572" s="2392"/>
      <c r="N572" s="2393"/>
      <c r="O572" s="2339">
        <v>0.3</v>
      </c>
      <c r="P572" s="2340"/>
      <c r="Q572" s="2352"/>
      <c r="R572" s="2353"/>
      <c r="S572" s="2359" t="s">
        <v>1994</v>
      </c>
      <c r="T572" s="2359"/>
      <c r="U572" s="2351">
        <v>15</v>
      </c>
      <c r="V572" s="2351"/>
      <c r="W572" s="2351">
        <v>22.5</v>
      </c>
      <c r="X572" s="2351"/>
      <c r="Y572" s="2351">
        <v>30</v>
      </c>
      <c r="Z572" s="2351"/>
      <c r="AA572" s="2351">
        <v>37.5</v>
      </c>
      <c r="AB572" s="2351"/>
      <c r="AC572" s="2351">
        <v>45</v>
      </c>
      <c r="AD572" s="2351"/>
      <c r="AE572" s="2354"/>
      <c r="AF572" s="2355"/>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85">
        <v>5</v>
      </c>
      <c r="BK572" s="2464"/>
      <c r="BL572" s="2464"/>
      <c r="BM572" s="2464"/>
      <c r="BN572" s="1886"/>
      <c r="BO572" s="1885">
        <v>4</v>
      </c>
      <c r="BP572" s="2464"/>
      <c r="BQ572" s="2464"/>
      <c r="BR572" s="2464"/>
      <c r="BS572" s="1886"/>
      <c r="BT572" s="1885">
        <v>3</v>
      </c>
      <c r="BU572" s="2464"/>
      <c r="BV572" s="2464"/>
      <c r="BW572" s="2464"/>
      <c r="BX572" s="1886"/>
      <c r="BY572" s="1885">
        <v>2</v>
      </c>
      <c r="BZ572" s="2464"/>
      <c r="CA572" s="2464"/>
      <c r="CB572" s="2464"/>
      <c r="CC572" s="1886"/>
      <c r="CD572" s="1885">
        <v>1</v>
      </c>
      <c r="CE572" s="2464"/>
      <c r="CF572" s="2464"/>
      <c r="CG572" s="2464"/>
      <c r="CH572" s="1886"/>
      <c r="CI572" s="1885">
        <v>0</v>
      </c>
      <c r="CJ572" s="2464"/>
      <c r="CK572" s="2464"/>
      <c r="CL572" s="2464"/>
      <c r="CM572" s="1886"/>
      <c r="CN572" s="65"/>
      <c r="CO572" s="65"/>
      <c r="CP572" s="65"/>
      <c r="CQ572" s="65"/>
      <c r="CR572" s="65"/>
    </row>
    <row r="573" spans="1:96" s="46" customFormat="1" ht="12.75" customHeight="1">
      <c r="A573" s="28"/>
      <c r="B573" s="8"/>
      <c r="C573" s="8"/>
      <c r="D573" s="8"/>
      <c r="E573" s="8"/>
      <c r="I573" s="2391"/>
      <c r="J573" s="2392"/>
      <c r="K573" s="2392"/>
      <c r="L573" s="2392"/>
      <c r="M573" s="2392"/>
      <c r="N573" s="2393"/>
      <c r="O573" s="2339">
        <v>0.25</v>
      </c>
      <c r="P573" s="2340"/>
      <c r="Q573" s="2352"/>
      <c r="R573" s="2353"/>
      <c r="S573" s="2359" t="s">
        <v>1995</v>
      </c>
      <c r="T573" s="2359"/>
      <c r="U573" s="2351">
        <v>12.5</v>
      </c>
      <c r="V573" s="2351"/>
      <c r="W573" s="2351">
        <v>18.8</v>
      </c>
      <c r="X573" s="2351"/>
      <c r="Y573" s="2351">
        <v>25</v>
      </c>
      <c r="Z573" s="2351"/>
      <c r="AA573" s="2351">
        <v>31.3</v>
      </c>
      <c r="AB573" s="2351"/>
      <c r="AC573" s="2351">
        <v>37.5</v>
      </c>
      <c r="AD573" s="2351"/>
      <c r="AE573" s="2354">
        <v>50</v>
      </c>
      <c r="AF573" s="2355"/>
      <c r="AN573" s="439"/>
      <c r="AP573" s="2458" t="str">
        <f t="shared" ref="AP573:AP579" si="0">J607</f>
        <v>5 BR</v>
      </c>
      <c r="AQ573" s="2459"/>
      <c r="AR573" s="2459"/>
      <c r="AS573" s="2459"/>
      <c r="AT573" s="2460"/>
      <c r="AU573" s="2453">
        <f t="shared" ref="AU573:AU578" si="1">O607</f>
        <v>0</v>
      </c>
      <c r="AV573" s="2454"/>
      <c r="AW573" s="2454"/>
      <c r="AX573" s="2454"/>
      <c r="AY573" s="2455"/>
      <c r="AZ573" s="2453">
        <f t="shared" ref="AZ573:AZ578" si="2">T607</f>
        <v>0</v>
      </c>
      <c r="BA573" s="2454"/>
      <c r="BB573" s="2454"/>
      <c r="BC573" s="2454"/>
      <c r="BD573" s="2455"/>
      <c r="BE573" s="1892">
        <f t="shared" ref="BE573:BE578" si="3">Y607</f>
        <v>0</v>
      </c>
      <c r="BF573" s="1893"/>
      <c r="BG573" s="1893"/>
      <c r="BH573" s="1893"/>
      <c r="BI573" s="1894"/>
      <c r="BJ573" s="1885">
        <f>IF(OR(AP583=0,BE573&gt;=0.1),0,1)</f>
        <v>0</v>
      </c>
      <c r="BK573" s="2464"/>
      <c r="BL573" s="2464"/>
      <c r="BM573" s="2464"/>
      <c r="BN573" s="1886"/>
      <c r="BO573" s="1885"/>
      <c r="BP573" s="2464"/>
      <c r="BQ573" s="2464"/>
      <c r="BR573" s="2464"/>
      <c r="BS573" s="1886"/>
      <c r="BT573" s="1885"/>
      <c r="BU573" s="2464"/>
      <c r="BV573" s="2464"/>
      <c r="BW573" s="2464"/>
      <c r="BX573" s="1886"/>
      <c r="BY573" s="1885"/>
      <c r="BZ573" s="2464"/>
      <c r="CA573" s="2464"/>
      <c r="CB573" s="2464"/>
      <c r="CC573" s="1886"/>
      <c r="CD573" s="1885"/>
      <c r="CE573" s="2464"/>
      <c r="CF573" s="2464"/>
      <c r="CG573" s="2464"/>
      <c r="CH573" s="1886"/>
      <c r="CI573" s="1885"/>
      <c r="CJ573" s="2464"/>
      <c r="CK573" s="2464"/>
      <c r="CL573" s="2464"/>
      <c r="CM573" s="1886"/>
      <c r="CN573" s="65"/>
      <c r="CO573" s="65"/>
      <c r="CP573" s="65"/>
      <c r="CQ573" s="65"/>
      <c r="CR573" s="65"/>
    </row>
    <row r="574" spans="1:96" s="46" customFormat="1" ht="12.75" customHeight="1">
      <c r="A574" s="195"/>
      <c r="B574" s="8"/>
      <c r="C574" s="8"/>
      <c r="D574" s="8"/>
      <c r="E574" s="8"/>
      <c r="I574" s="2391"/>
      <c r="J574" s="2392"/>
      <c r="K574" s="2392"/>
      <c r="L574" s="2392"/>
      <c r="M574" s="2392"/>
      <c r="N574" s="2393"/>
      <c r="O574" s="2339">
        <v>0.2</v>
      </c>
      <c r="P574" s="2340"/>
      <c r="Q574" s="2352"/>
      <c r="R574" s="2353"/>
      <c r="S574" s="2376" t="s">
        <v>1998</v>
      </c>
      <c r="T574" s="2376"/>
      <c r="U574" s="2351">
        <v>10</v>
      </c>
      <c r="V574" s="2351"/>
      <c r="W574" s="2351">
        <v>15</v>
      </c>
      <c r="X574" s="2351"/>
      <c r="Y574" s="2351">
        <v>20</v>
      </c>
      <c r="Z574" s="2351"/>
      <c r="AA574" s="2351">
        <v>25</v>
      </c>
      <c r="AB574" s="2351"/>
      <c r="AC574" s="2351">
        <v>30</v>
      </c>
      <c r="AD574" s="2351"/>
      <c r="AE574" s="2354">
        <v>40</v>
      </c>
      <c r="AF574" s="2355"/>
      <c r="AN574" s="439"/>
      <c r="AP574" s="2458" t="str">
        <f t="shared" si="0"/>
        <v>4 BR</v>
      </c>
      <c r="AQ574" s="2459"/>
      <c r="AR574" s="2459"/>
      <c r="AS574" s="2459"/>
      <c r="AT574" s="2460"/>
      <c r="AU574" s="2453">
        <f t="shared" si="1"/>
        <v>0</v>
      </c>
      <c r="AV574" s="2454"/>
      <c r="AW574" s="2454"/>
      <c r="AX574" s="2454"/>
      <c r="AY574" s="2455"/>
      <c r="AZ574" s="2453">
        <f t="shared" si="2"/>
        <v>0</v>
      </c>
      <c r="BA574" s="2454"/>
      <c r="BB574" s="2454"/>
      <c r="BC574" s="2454"/>
      <c r="BD574" s="2455"/>
      <c r="BE574" s="1892">
        <f t="shared" si="3"/>
        <v>0</v>
      </c>
      <c r="BF574" s="1893"/>
      <c r="BG574" s="1893"/>
      <c r="BH574" s="1893"/>
      <c r="BI574" s="1894"/>
      <c r="BJ574" s="1885"/>
      <c r="BK574" s="2464"/>
      <c r="BL574" s="2464"/>
      <c r="BM574" s="2464"/>
      <c r="BN574" s="1886"/>
      <c r="BO574" s="1885">
        <f>IF(AND(AND(AZ573=0,BJ573=0,AP584=1)),1,0)</f>
        <v>0</v>
      </c>
      <c r="BP574" s="2464"/>
      <c r="BQ574" s="2464"/>
      <c r="BR574" s="2464"/>
      <c r="BS574" s="1886"/>
      <c r="BT574" s="1885"/>
      <c r="BU574" s="2464"/>
      <c r="BV574" s="2464"/>
      <c r="BW574" s="2464"/>
      <c r="BX574" s="1886"/>
      <c r="BY574" s="1885"/>
      <c r="BZ574" s="2464"/>
      <c r="CA574" s="2464"/>
      <c r="CB574" s="2464"/>
      <c r="CC574" s="1886"/>
      <c r="CD574" s="1885"/>
      <c r="CE574" s="2464"/>
      <c r="CF574" s="2464"/>
      <c r="CG574" s="2464"/>
      <c r="CH574" s="1886"/>
      <c r="CI574" s="1885"/>
      <c r="CJ574" s="2464"/>
      <c r="CK574" s="2464"/>
      <c r="CL574" s="2464"/>
      <c r="CM574" s="1886"/>
      <c r="CN574" s="65"/>
      <c r="CO574" s="65"/>
      <c r="CP574" s="65"/>
      <c r="CQ574" s="65"/>
      <c r="CR574" s="65"/>
    </row>
    <row r="575" spans="1:96" s="46" customFormat="1" ht="12.75" customHeight="1">
      <c r="A575" s="195"/>
      <c r="B575" s="8"/>
      <c r="C575" s="8"/>
      <c r="D575" s="8"/>
      <c r="E575" s="8"/>
      <c r="I575" s="2391"/>
      <c r="J575" s="2392"/>
      <c r="K575" s="2392"/>
      <c r="L575" s="2392"/>
      <c r="M575" s="2392"/>
      <c r="N575" s="2393"/>
      <c r="O575" s="2339">
        <v>0.15</v>
      </c>
      <c r="P575" s="2340"/>
      <c r="Q575" s="2352"/>
      <c r="R575" s="2353"/>
      <c r="S575" s="2359" t="s">
        <v>1996</v>
      </c>
      <c r="T575" s="2359"/>
      <c r="U575" s="2351">
        <v>7.5</v>
      </c>
      <c r="V575" s="2351"/>
      <c r="W575" s="2351">
        <v>11.3</v>
      </c>
      <c r="X575" s="2351"/>
      <c r="Y575" s="2351">
        <v>15</v>
      </c>
      <c r="Z575" s="2351"/>
      <c r="AA575" s="2351">
        <v>18.8</v>
      </c>
      <c r="AB575" s="2351"/>
      <c r="AC575" s="2351">
        <v>22.5</v>
      </c>
      <c r="AD575" s="2351"/>
      <c r="AE575" s="2354">
        <v>30</v>
      </c>
      <c r="AF575" s="2355"/>
      <c r="AK575" s="153"/>
      <c r="AL575" s="153"/>
      <c r="AM575" s="153"/>
      <c r="AN575" s="439"/>
      <c r="AP575" s="2458" t="str">
        <f t="shared" si="0"/>
        <v>3 BR</v>
      </c>
      <c r="AQ575" s="2459"/>
      <c r="AR575" s="2459"/>
      <c r="AS575" s="2459"/>
      <c r="AT575" s="2460"/>
      <c r="AU575" s="2453">
        <f t="shared" si="1"/>
        <v>19</v>
      </c>
      <c r="AV575" s="2454"/>
      <c r="AW575" s="2454"/>
      <c r="AX575" s="2454"/>
      <c r="AY575" s="2455"/>
      <c r="AZ575" s="2453">
        <f t="shared" si="2"/>
        <v>2</v>
      </c>
      <c r="BA575" s="2454"/>
      <c r="BB575" s="2454"/>
      <c r="BC575" s="2454"/>
      <c r="BD575" s="2455"/>
      <c r="BE575" s="1892">
        <f t="shared" si="3"/>
        <v>0.10526315789473684</v>
      </c>
      <c r="BF575" s="1893"/>
      <c r="BG575" s="1893"/>
      <c r="BH575" s="1893"/>
      <c r="BI575" s="1894"/>
      <c r="BJ575" s="1885"/>
      <c r="BK575" s="2464"/>
      <c r="BL575" s="2464"/>
      <c r="BM575" s="2464"/>
      <c r="BN575" s="1886"/>
      <c r="BO575" s="1885"/>
      <c r="BP575" s="2464"/>
      <c r="BQ575" s="2464"/>
      <c r="BR575" s="2464"/>
      <c r="BS575" s="1886"/>
      <c r="BT575" s="1885">
        <f>IF(AND(AND(AZ573+AZ574=0,BJ573+BO574=0,AP585=1)),1,0)</f>
        <v>0</v>
      </c>
      <c r="BU575" s="2464"/>
      <c r="BV575" s="2464"/>
      <c r="BW575" s="2464"/>
      <c r="BX575" s="1886"/>
      <c r="BY575" s="1885"/>
      <c r="BZ575" s="2464"/>
      <c r="CA575" s="2464"/>
      <c r="CB575" s="2464"/>
      <c r="CC575" s="1886"/>
      <c r="CD575" s="1885"/>
      <c r="CE575" s="2464"/>
      <c r="CF575" s="2464"/>
      <c r="CG575" s="2464"/>
      <c r="CH575" s="1886"/>
      <c r="CI575" s="1885"/>
      <c r="CJ575" s="2464"/>
      <c r="CK575" s="2464"/>
      <c r="CL575" s="2464"/>
      <c r="CM575" s="1886"/>
      <c r="CN575" s="65"/>
      <c r="CO575" s="65"/>
      <c r="CP575" s="65"/>
      <c r="CQ575" s="65"/>
      <c r="CR575" s="65"/>
    </row>
    <row r="576" spans="1:96" s="46" customFormat="1" ht="12.75" customHeight="1" thickBot="1">
      <c r="B576" s="8"/>
      <c r="C576" s="8"/>
      <c r="D576" s="8"/>
      <c r="E576" s="8"/>
      <c r="I576" s="2394"/>
      <c r="J576" s="2395"/>
      <c r="K576" s="2395"/>
      <c r="L576" s="2395"/>
      <c r="M576" s="2395"/>
      <c r="N576" s="2396"/>
      <c r="O576" s="2339">
        <v>0.1</v>
      </c>
      <c r="P576" s="2340"/>
      <c r="Q576" s="2374"/>
      <c r="R576" s="2375"/>
      <c r="S576" s="2359" t="s">
        <v>1997</v>
      </c>
      <c r="T576" s="2359"/>
      <c r="U576" s="2452">
        <v>5</v>
      </c>
      <c r="V576" s="2452"/>
      <c r="W576" s="2452">
        <v>7.5</v>
      </c>
      <c r="X576" s="2452"/>
      <c r="Y576" s="2452">
        <v>10</v>
      </c>
      <c r="Z576" s="2452"/>
      <c r="AA576" s="2452">
        <v>12.5</v>
      </c>
      <c r="AB576" s="2452"/>
      <c r="AC576" s="2452">
        <v>15</v>
      </c>
      <c r="AD576" s="2452"/>
      <c r="AE576" s="2611">
        <v>20</v>
      </c>
      <c r="AF576" s="2612"/>
      <c r="AK576" s="252"/>
      <c r="AL576" s="252"/>
      <c r="AM576" s="8"/>
      <c r="AN576" s="439"/>
      <c r="AP576" s="2458" t="str">
        <f t="shared" si="0"/>
        <v>2 BR</v>
      </c>
      <c r="AQ576" s="2459"/>
      <c r="AR576" s="2459"/>
      <c r="AS576" s="2459"/>
      <c r="AT576" s="2460"/>
      <c r="AU576" s="2453">
        <f t="shared" si="1"/>
        <v>32</v>
      </c>
      <c r="AV576" s="2454"/>
      <c r="AW576" s="2454"/>
      <c r="AX576" s="2454"/>
      <c r="AY576" s="2455"/>
      <c r="AZ576" s="2453">
        <f t="shared" si="2"/>
        <v>7</v>
      </c>
      <c r="BA576" s="2454"/>
      <c r="BB576" s="2454"/>
      <c r="BC576" s="2454"/>
      <c r="BD576" s="2455"/>
      <c r="BE576" s="1892">
        <f t="shared" si="3"/>
        <v>0.21875</v>
      </c>
      <c r="BF576" s="1893"/>
      <c r="BG576" s="1893"/>
      <c r="BH576" s="1893"/>
      <c r="BI576" s="1894"/>
      <c r="BJ576" s="1885"/>
      <c r="BK576" s="2464"/>
      <c r="BL576" s="2464"/>
      <c r="BM576" s="2464"/>
      <c r="BN576" s="1886"/>
      <c r="BO576" s="1885"/>
      <c r="BP576" s="2464"/>
      <c r="BQ576" s="2464"/>
      <c r="BR576" s="2464"/>
      <c r="BS576" s="1886"/>
      <c r="BT576" s="1885"/>
      <c r="BU576" s="2464"/>
      <c r="BV576" s="2464"/>
      <c r="BW576" s="2464"/>
      <c r="BX576" s="1886"/>
      <c r="BY576" s="1885">
        <f>IF(AND(AND(AZ573+AZ574+AZ575=0,BO574+BT575+BJ573=0,AP586=1)),1,0)</f>
        <v>0</v>
      </c>
      <c r="BZ576" s="2464"/>
      <c r="CA576" s="2464"/>
      <c r="CB576" s="2464"/>
      <c r="CC576" s="1886"/>
      <c r="CD576" s="1885"/>
      <c r="CE576" s="2464"/>
      <c r="CF576" s="2464"/>
      <c r="CG576" s="2464"/>
      <c r="CH576" s="1886"/>
      <c r="CI576" s="1885"/>
      <c r="CJ576" s="2464"/>
      <c r="CK576" s="2464"/>
      <c r="CL576" s="2464"/>
      <c r="CM576" s="1886"/>
      <c r="CN576" s="65"/>
      <c r="CO576" s="65"/>
      <c r="CP576" s="65"/>
      <c r="CQ576" s="65"/>
      <c r="CR576" s="65"/>
    </row>
    <row r="577" spans="2:96" s="46" customFormat="1" ht="12.75" customHeight="1">
      <c r="B577" s="8"/>
      <c r="C577" s="8"/>
      <c r="D577" s="8"/>
      <c r="E577" s="1833" t="s">
        <v>1043</v>
      </c>
      <c r="F577" s="2185"/>
      <c r="G577" s="2185"/>
      <c r="H577" s="2185"/>
      <c r="I577" s="2185"/>
      <c r="J577" s="2185"/>
      <c r="K577" s="2185"/>
      <c r="L577" s="2185"/>
      <c r="M577" s="2185"/>
      <c r="N577" s="2185"/>
      <c r="O577" s="2185"/>
      <c r="P577" s="2185"/>
      <c r="Q577" s="2185"/>
      <c r="R577" s="2185"/>
      <c r="S577" s="2185"/>
      <c r="T577" s="2185"/>
      <c r="U577" s="2185"/>
      <c r="V577" s="2185"/>
      <c r="W577" s="2185"/>
      <c r="X577" s="2185"/>
      <c r="Y577" s="2185"/>
      <c r="Z577" s="2185"/>
      <c r="AA577" s="2185"/>
      <c r="AB577" s="2185"/>
      <c r="AC577" s="2185"/>
      <c r="AD577" s="2185"/>
      <c r="AE577" s="2185"/>
      <c r="AF577" s="2185"/>
      <c r="AG577" s="2185"/>
      <c r="AH577" s="2186"/>
      <c r="AK577" s="252"/>
      <c r="AL577" s="252"/>
      <c r="AM577" s="8"/>
      <c r="AN577" s="439"/>
      <c r="AP577" s="2458" t="str">
        <f t="shared" si="0"/>
        <v>1 BR</v>
      </c>
      <c r="AQ577" s="2459"/>
      <c r="AR577" s="2459"/>
      <c r="AS577" s="2459"/>
      <c r="AT577" s="2460"/>
      <c r="AU577" s="2453">
        <f t="shared" si="1"/>
        <v>8</v>
      </c>
      <c r="AV577" s="2454"/>
      <c r="AW577" s="2454"/>
      <c r="AX577" s="2454"/>
      <c r="AY577" s="2455"/>
      <c r="AZ577" s="2453">
        <f t="shared" si="2"/>
        <v>8</v>
      </c>
      <c r="BA577" s="2454"/>
      <c r="BB577" s="2454"/>
      <c r="BC577" s="2454"/>
      <c r="BD577" s="2455"/>
      <c r="BE577" s="1892">
        <f t="shared" si="3"/>
        <v>1</v>
      </c>
      <c r="BF577" s="1893"/>
      <c r="BG577" s="1893"/>
      <c r="BH577" s="1893"/>
      <c r="BI577" s="1894"/>
      <c r="BJ577" s="1885"/>
      <c r="BK577" s="2464"/>
      <c r="BL577" s="2464"/>
      <c r="BM577" s="2464"/>
      <c r="BN577" s="1886"/>
      <c r="BO577" s="1885"/>
      <c r="BP577" s="2464"/>
      <c r="BQ577" s="2464"/>
      <c r="BR577" s="2464"/>
      <c r="BS577" s="1886"/>
      <c r="BT577" s="1885"/>
      <c r="BU577" s="2464"/>
      <c r="BV577" s="2464"/>
      <c r="BW577" s="2464"/>
      <c r="BX577" s="1886"/>
      <c r="BY577" s="1885"/>
      <c r="BZ577" s="2464"/>
      <c r="CA577" s="2464"/>
      <c r="CB577" s="2464"/>
      <c r="CC577" s="1886"/>
      <c r="CD577" s="1885">
        <f>IF(AND(AND(BE574+BE575+BE576+BE573=0,BT575+BY576+BO574+BJ573=0,AP587=1)),1,0)</f>
        <v>0</v>
      </c>
      <c r="CE577" s="2464"/>
      <c r="CF577" s="2464"/>
      <c r="CG577" s="2464"/>
      <c r="CH577" s="1886"/>
      <c r="CI577" s="1885"/>
      <c r="CJ577" s="2464"/>
      <c r="CK577" s="2464"/>
      <c r="CL577" s="2464"/>
      <c r="CM577" s="1886"/>
      <c r="CN577" s="65"/>
      <c r="CO577" s="65"/>
      <c r="CP577" s="65"/>
      <c r="CQ577" s="65"/>
      <c r="CR577" s="65"/>
    </row>
    <row r="578" spans="2:96" s="46" customFormat="1" ht="12.75" customHeight="1">
      <c r="E578" s="2580"/>
      <c r="F578" s="2189"/>
      <c r="G578" s="2189"/>
      <c r="H578" s="2189"/>
      <c r="I578" s="2189"/>
      <c r="J578" s="2189"/>
      <c r="K578" s="2189"/>
      <c r="L578" s="2189"/>
      <c r="M578" s="2189"/>
      <c r="N578" s="2189"/>
      <c r="O578" s="2189"/>
      <c r="P578" s="2189"/>
      <c r="Q578" s="2189"/>
      <c r="R578" s="2189"/>
      <c r="S578" s="2189"/>
      <c r="T578" s="2189"/>
      <c r="U578" s="2189"/>
      <c r="V578" s="2189"/>
      <c r="W578" s="2189"/>
      <c r="X578" s="2189"/>
      <c r="Y578" s="2189"/>
      <c r="Z578" s="2189"/>
      <c r="AA578" s="2189"/>
      <c r="AB578" s="2189"/>
      <c r="AC578" s="2189"/>
      <c r="AD578" s="2189"/>
      <c r="AE578" s="2189"/>
      <c r="AF578" s="2189"/>
      <c r="AG578" s="2189"/>
      <c r="AH578" s="2581"/>
      <c r="AN578" s="439"/>
      <c r="AP578" s="2458" t="str">
        <f t="shared" si="0"/>
        <v>SRO</v>
      </c>
      <c r="AQ578" s="2459"/>
      <c r="AR578" s="2459"/>
      <c r="AS578" s="2459"/>
      <c r="AT578" s="2460"/>
      <c r="AU578" s="2453">
        <f t="shared" si="1"/>
        <v>0</v>
      </c>
      <c r="AV578" s="2454"/>
      <c r="AW578" s="2454"/>
      <c r="AX578" s="2454"/>
      <c r="AY578" s="2455"/>
      <c r="AZ578" s="2453">
        <f t="shared" si="2"/>
        <v>0</v>
      </c>
      <c r="BA578" s="2454"/>
      <c r="BB578" s="2454"/>
      <c r="BC578" s="2454"/>
      <c r="BD578" s="2455"/>
      <c r="BE578" s="1892">
        <f t="shared" si="3"/>
        <v>0</v>
      </c>
      <c r="BF578" s="1893"/>
      <c r="BG578" s="1893"/>
      <c r="BH578" s="1893"/>
      <c r="BI578" s="1894"/>
      <c r="BJ578" s="1885"/>
      <c r="BK578" s="2464"/>
      <c r="BL578" s="2464"/>
      <c r="BM578" s="2464"/>
      <c r="BN578" s="1886"/>
      <c r="BO578" s="1885"/>
      <c r="BP578" s="2464"/>
      <c r="BQ578" s="2464"/>
      <c r="BR578" s="2464"/>
      <c r="BS578" s="1886"/>
      <c r="BT578" s="1885"/>
      <c r="BU578" s="2464"/>
      <c r="BV578" s="2464"/>
      <c r="BW578" s="2464"/>
      <c r="BX578" s="1886"/>
      <c r="BY578" s="1885"/>
      <c r="BZ578" s="2464"/>
      <c r="CA578" s="2464"/>
      <c r="CB578" s="2464"/>
      <c r="CC578" s="1886"/>
      <c r="CD578" s="1885"/>
      <c r="CE578" s="2464"/>
      <c r="CF578" s="2464"/>
      <c r="CG578" s="2464"/>
      <c r="CH578" s="1886"/>
      <c r="CI578" s="1885">
        <f>IF(AND(AND(AZ575+AZ576+AZ577+AZ574+AZ573=0,BY576+CD577+BT575+BO574+BJ573=0,AP588=1)),1,0)</f>
        <v>0</v>
      </c>
      <c r="CJ578" s="2464"/>
      <c r="CK578" s="2464"/>
      <c r="CL578" s="2464"/>
      <c r="CM578" s="1886"/>
      <c r="CN578" s="65"/>
      <c r="CO578" s="65"/>
      <c r="CP578" s="65"/>
      <c r="CQ578" s="65"/>
      <c r="CR578" s="65"/>
    </row>
    <row r="579" spans="2:96" s="46" customFormat="1" ht="12.75" customHeight="1">
      <c r="E579" s="2613" t="s">
        <v>1688</v>
      </c>
      <c r="F579" s="2614"/>
      <c r="G579" s="2614"/>
      <c r="H579" s="2614"/>
      <c r="I579" s="2614"/>
      <c r="J579" s="2615"/>
      <c r="K579" s="2613" t="s">
        <v>1989</v>
      </c>
      <c r="L579" s="2614"/>
      <c r="M579" s="2614"/>
      <c r="N579" s="2614"/>
      <c r="O579" s="2614"/>
      <c r="P579" s="2615"/>
      <c r="Q579" s="2572" t="s">
        <v>1684</v>
      </c>
      <c r="R579" s="2573"/>
      <c r="S579" s="2573"/>
      <c r="T579" s="2573"/>
      <c r="U579" s="2573"/>
      <c r="V579" s="2574"/>
      <c r="W579" s="2572" t="str">
        <f>I568</f>
        <v>Percent of Low-Income Units (exclusive of manager’s units)</v>
      </c>
      <c r="X579" s="2573"/>
      <c r="Y579" s="2573"/>
      <c r="Z579" s="2573"/>
      <c r="AA579" s="2573"/>
      <c r="AB579" s="2574"/>
      <c r="AC579" s="2572" t="s">
        <v>1687</v>
      </c>
      <c r="AD579" s="2573"/>
      <c r="AE579" s="2573"/>
      <c r="AF579" s="2573"/>
      <c r="AG579" s="2573"/>
      <c r="AH579" s="2574"/>
      <c r="AN579" s="439"/>
      <c r="AP579" s="2458" t="str">
        <f t="shared" si="0"/>
        <v>Total:</v>
      </c>
      <c r="AQ579" s="2459"/>
      <c r="AR579" s="2459"/>
      <c r="AS579" s="2459"/>
      <c r="AT579" s="2460"/>
      <c r="AU579" s="2458"/>
      <c r="AV579" s="2459"/>
      <c r="AW579" s="2459"/>
      <c r="AX579" s="2459"/>
      <c r="AY579" s="2460"/>
      <c r="AZ579" s="2458"/>
      <c r="BA579" s="2459"/>
      <c r="BB579" s="2459"/>
      <c r="BC579" s="2459"/>
      <c r="BD579" s="2460"/>
      <c r="BE579" s="2458"/>
      <c r="BF579" s="2459"/>
      <c r="BG579" s="2459"/>
      <c r="BH579" s="2459"/>
      <c r="BI579" s="2460"/>
      <c r="BJ579" s="1885">
        <f>SUM(BJ573:BN578)</f>
        <v>0</v>
      </c>
      <c r="BK579" s="2464"/>
      <c r="BL579" s="2464"/>
      <c r="BM579" s="2464"/>
      <c r="BN579" s="1886"/>
      <c r="BO579" s="1885">
        <f>SUM(BO573:BS578)</f>
        <v>0</v>
      </c>
      <c r="BP579" s="2464"/>
      <c r="BQ579" s="2464"/>
      <c r="BR579" s="2464"/>
      <c r="BS579" s="1886"/>
      <c r="BT579" s="1885">
        <f>SUM(BT573:BX578)</f>
        <v>0</v>
      </c>
      <c r="BU579" s="2464"/>
      <c r="BV579" s="2464"/>
      <c r="BW579" s="2464"/>
      <c r="BX579" s="1886"/>
      <c r="BY579" s="1885">
        <f>SUM(BY573:CC578)</f>
        <v>0</v>
      </c>
      <c r="BZ579" s="2464"/>
      <c r="CA579" s="2464"/>
      <c r="CB579" s="2464"/>
      <c r="CC579" s="1886"/>
      <c r="CD579" s="1885">
        <f>SUM(CD573:CH578)</f>
        <v>0</v>
      </c>
      <c r="CE579" s="2464"/>
      <c r="CF579" s="2464"/>
      <c r="CG579" s="2464"/>
      <c r="CH579" s="1886"/>
      <c r="CI579" s="1885">
        <f>SUM(CI573:CM578)</f>
        <v>0</v>
      </c>
      <c r="CJ579" s="2464"/>
      <c r="CK579" s="2464"/>
      <c r="CL579" s="2464"/>
      <c r="CM579" s="1886"/>
      <c r="CN579" s="1885">
        <f>SUM(BJ579:CM579)</f>
        <v>0</v>
      </c>
      <c r="CO579" s="2464"/>
      <c r="CP579" s="2464"/>
      <c r="CQ579" s="2464"/>
      <c r="CR579" s="1886"/>
    </row>
    <row r="580" spans="2:96" s="46" customFormat="1" ht="12.75" customHeight="1">
      <c r="E580" s="2616"/>
      <c r="F580" s="2617"/>
      <c r="G580" s="2617"/>
      <c r="H580" s="2617"/>
      <c r="I580" s="2617"/>
      <c r="J580" s="2618"/>
      <c r="K580" s="2616"/>
      <c r="L580" s="2617"/>
      <c r="M580" s="2617"/>
      <c r="N580" s="2617"/>
      <c r="O580" s="2617"/>
      <c r="P580" s="2618"/>
      <c r="Q580" s="2391"/>
      <c r="R580" s="2392"/>
      <c r="S580" s="2392"/>
      <c r="T580" s="2392"/>
      <c r="U580" s="2392"/>
      <c r="V580" s="2393"/>
      <c r="W580" s="2391"/>
      <c r="X580" s="2392"/>
      <c r="Y580" s="2392"/>
      <c r="Z580" s="2392"/>
      <c r="AA580" s="2392"/>
      <c r="AB580" s="2393"/>
      <c r="AC580" s="2391"/>
      <c r="AD580" s="2392"/>
      <c r="AE580" s="2392"/>
      <c r="AF580" s="2392"/>
      <c r="AG580" s="2392"/>
      <c r="AH580" s="2393"/>
      <c r="AN580" s="439"/>
    </row>
    <row r="581" spans="2:96" s="46" customFormat="1" ht="12.75" customHeight="1">
      <c r="E581" s="2616"/>
      <c r="F581" s="2617"/>
      <c r="G581" s="2617"/>
      <c r="H581" s="2617"/>
      <c r="I581" s="2617"/>
      <c r="J581" s="2618"/>
      <c r="K581" s="2616"/>
      <c r="L581" s="2617"/>
      <c r="M581" s="2617"/>
      <c r="N581" s="2617"/>
      <c r="O581" s="2617"/>
      <c r="P581" s="2618"/>
      <c r="Q581" s="2391"/>
      <c r="R581" s="2392"/>
      <c r="S581" s="2392"/>
      <c r="T581" s="2392"/>
      <c r="U581" s="2392"/>
      <c r="V581" s="2393"/>
      <c r="W581" s="2391"/>
      <c r="X581" s="2392"/>
      <c r="Y581" s="2392"/>
      <c r="Z581" s="2392"/>
      <c r="AA581" s="2392"/>
      <c r="AB581" s="2393"/>
      <c r="AC581" s="2391"/>
      <c r="AD581" s="2392"/>
      <c r="AE581" s="2392"/>
      <c r="AF581" s="2392"/>
      <c r="AG581" s="2392"/>
      <c r="AH581" s="2393"/>
      <c r="AN581" s="439"/>
    </row>
    <row r="582" spans="2:96" s="46" customFormat="1" ht="12.75" customHeight="1">
      <c r="E582" s="2616"/>
      <c r="F582" s="2617"/>
      <c r="G582" s="2617"/>
      <c r="H582" s="2617"/>
      <c r="I582" s="2617"/>
      <c r="J582" s="2618"/>
      <c r="K582" s="2616"/>
      <c r="L582" s="2617"/>
      <c r="M582" s="2617"/>
      <c r="N582" s="2617"/>
      <c r="O582" s="2617"/>
      <c r="P582" s="2618"/>
      <c r="Q582" s="2391"/>
      <c r="R582" s="2392"/>
      <c r="S582" s="2392"/>
      <c r="T582" s="2392"/>
      <c r="U582" s="2392"/>
      <c r="V582" s="2393"/>
      <c r="W582" s="2391"/>
      <c r="X582" s="2392"/>
      <c r="Y582" s="2392"/>
      <c r="Z582" s="2392"/>
      <c r="AA582" s="2392"/>
      <c r="AB582" s="2393"/>
      <c r="AC582" s="2391"/>
      <c r="AD582" s="2392"/>
      <c r="AE582" s="2392"/>
      <c r="AF582" s="2392"/>
      <c r="AG582" s="2392"/>
      <c r="AH582" s="2393"/>
      <c r="AN582" s="439"/>
      <c r="AP582" s="63" t="s">
        <v>1249</v>
      </c>
      <c r="BH582" s="63" t="s">
        <v>1250</v>
      </c>
    </row>
    <row r="583" spans="2:96" s="46" customFormat="1" ht="12.75" customHeight="1">
      <c r="E583" s="2345">
        <v>7</v>
      </c>
      <c r="F583" s="2346"/>
      <c r="G583" s="2346"/>
      <c r="H583" s="2346"/>
      <c r="I583" s="2346"/>
      <c r="J583" s="2347"/>
      <c r="K583" s="2342">
        <v>20</v>
      </c>
      <c r="L583" s="2343"/>
      <c r="M583" s="2343"/>
      <c r="N583" s="2343"/>
      <c r="O583" s="2343"/>
      <c r="P583" s="2344"/>
      <c r="Q583" s="2356">
        <f>IF(ISERROR(IF((((E583/$BJ$530)*100)&gt;100),"EXCESSIVE VALUE",(E583/$BJ$530)*100)),0,IF((((E583/$BJ$530)*100)&gt;100),"EXCESSIVE VALUE",(E583/$BJ$530)*100))</f>
        <v>11.864406779661017</v>
      </c>
      <c r="R583" s="2357"/>
      <c r="S583" s="2357"/>
      <c r="T583" s="2357"/>
      <c r="U583" s="2357"/>
      <c r="V583" s="2358"/>
      <c r="W583" s="2348">
        <f>IF(FLOOR(Q583,5)&gt;80,80,FLOOR(Q583,5))</f>
        <v>10</v>
      </c>
      <c r="X583" s="2349"/>
      <c r="Y583" s="2349"/>
      <c r="Z583" s="2349"/>
      <c r="AA583" s="2349"/>
      <c r="AB583" s="2350"/>
      <c r="AC583" s="2348">
        <f t="shared" ref="AC583:AC588" si="4">IF(W583&gt;0,INDEX($BI$509:$BP$523,MATCH(W583,$BH$509:$BH$523,0),MATCH(K583,$BI$508:$BP$508,0)),0)</f>
        <v>20</v>
      </c>
      <c r="AD583" s="2349"/>
      <c r="AE583" s="2349"/>
      <c r="AF583" s="2349"/>
      <c r="AG583" s="2349"/>
      <c r="AH583" s="2350"/>
      <c r="AN583" s="439"/>
      <c r="AO583" s="46">
        <v>5</v>
      </c>
      <c r="AP583" s="2477">
        <f t="shared" ref="AP583:AP588" si="5">IF(OR(BE573&gt;=0.1,BE573=0),0,1)</f>
        <v>0</v>
      </c>
      <c r="AQ583" s="2478"/>
      <c r="AR583" s="2478"/>
      <c r="AS583" s="2478"/>
      <c r="AT583" s="2479"/>
      <c r="AX583" s="2450" t="s">
        <v>870</v>
      </c>
      <c r="AY583" s="2456"/>
      <c r="AZ583" s="2456"/>
      <c r="BA583" s="2456"/>
      <c r="BB583" s="2456"/>
      <c r="BC583" s="2456"/>
      <c r="BD583" s="2456"/>
      <c r="BE583" s="2456"/>
      <c r="BF583" s="2456"/>
      <c r="BG583" s="2456"/>
      <c r="BH583" s="2456"/>
      <c r="BI583" s="2456"/>
      <c r="BJ583" s="2456"/>
      <c r="BK583" s="2456"/>
      <c r="BL583" s="2456"/>
      <c r="BM583" s="2456"/>
      <c r="BN583" s="2456"/>
      <c r="BO583" s="2456"/>
      <c r="BP583" s="2456"/>
      <c r="BQ583" s="2451"/>
    </row>
    <row r="584" spans="2:96" s="46" customFormat="1" ht="12.75" customHeight="1">
      <c r="E584" s="2345">
        <v>9</v>
      </c>
      <c r="F584" s="2346"/>
      <c r="G584" s="2346"/>
      <c r="H584" s="2346"/>
      <c r="I584" s="2346"/>
      <c r="J584" s="2347"/>
      <c r="K584" s="2342">
        <v>30</v>
      </c>
      <c r="L584" s="2343"/>
      <c r="M584" s="2343"/>
      <c r="N584" s="2343"/>
      <c r="O584" s="2343"/>
      <c r="P584" s="2344"/>
      <c r="Q584" s="2356">
        <f t="shared" ref="Q584:Q591" si="6">IF(ISERROR(IF((((E584/$BJ$530)*100)&gt;100),"EXCESSIVE VALUE",(E584/$BJ$530)*100)),0,IF((((E584/$BJ$530)*100)&gt;100),"EXCESSIVE VALUE",(E584/$BJ$530)*100))</f>
        <v>15.254237288135593</v>
      </c>
      <c r="R584" s="2357"/>
      <c r="S584" s="2357"/>
      <c r="T584" s="2357"/>
      <c r="U584" s="2357"/>
      <c r="V584" s="2358"/>
      <c r="W584" s="2348">
        <f>IF(FLOOR(Q584,5)&gt;80,80,FLOOR(Q584,5))</f>
        <v>15</v>
      </c>
      <c r="X584" s="2349"/>
      <c r="Y584" s="2349"/>
      <c r="Z584" s="2349"/>
      <c r="AA584" s="2349"/>
      <c r="AB584" s="2350"/>
      <c r="AC584" s="2348">
        <f t="shared" si="4"/>
        <v>22.5</v>
      </c>
      <c r="AD584" s="2349"/>
      <c r="AE584" s="2349"/>
      <c r="AF584" s="2349"/>
      <c r="AG584" s="2349"/>
      <c r="AH584" s="2350"/>
      <c r="AN584" s="439"/>
      <c r="AO584" s="46">
        <v>4</v>
      </c>
      <c r="AP584" s="2477">
        <f t="shared" si="5"/>
        <v>0</v>
      </c>
      <c r="AQ584" s="2478"/>
      <c r="AR584" s="2478"/>
      <c r="AS584" s="2478"/>
      <c r="AT584" s="2479"/>
      <c r="AX584" s="2475" t="s">
        <v>682</v>
      </c>
      <c r="AY584" s="2476"/>
      <c r="AZ584" s="1814" t="s">
        <v>682</v>
      </c>
      <c r="BA584" s="1815"/>
      <c r="BB584" s="2475" t="s">
        <v>293</v>
      </c>
      <c r="BC584" s="2476"/>
      <c r="BD584" s="2465" t="s">
        <v>293</v>
      </c>
      <c r="BE584" s="2467"/>
      <c r="BF584" s="2475" t="s">
        <v>292</v>
      </c>
      <c r="BG584" s="2476"/>
      <c r="BH584" s="2465" t="s">
        <v>292</v>
      </c>
      <c r="BI584" s="2467"/>
      <c r="BJ584" s="2475" t="s">
        <v>291</v>
      </c>
      <c r="BK584" s="2476"/>
      <c r="BL584" s="2465" t="s">
        <v>291</v>
      </c>
      <c r="BM584" s="2467"/>
      <c r="BN584" s="2475" t="s">
        <v>681</v>
      </c>
      <c r="BO584" s="2476"/>
      <c r="BP584" s="2465" t="s">
        <v>681</v>
      </c>
      <c r="BQ584" s="2467"/>
    </row>
    <row r="585" spans="2:96" s="46" customFormat="1" ht="12.75" customHeight="1">
      <c r="E585" s="2345"/>
      <c r="F585" s="2346"/>
      <c r="G585" s="2346"/>
      <c r="H585" s="2346"/>
      <c r="I585" s="2346"/>
      <c r="J585" s="2347"/>
      <c r="K585" s="2342">
        <v>35</v>
      </c>
      <c r="L585" s="2343"/>
      <c r="M585" s="2343"/>
      <c r="N585" s="2343"/>
      <c r="O585" s="2343"/>
      <c r="P585" s="2344"/>
      <c r="Q585" s="2356">
        <f t="shared" si="6"/>
        <v>0</v>
      </c>
      <c r="R585" s="2357"/>
      <c r="S585" s="2357"/>
      <c r="T585" s="2357"/>
      <c r="U585" s="2357"/>
      <c r="V585" s="2358"/>
      <c r="W585" s="2348">
        <f t="shared" ref="W585:W591" si="7">IF(FLOOR(Q585,5)&gt;80,80,FLOOR(Q585,5))</f>
        <v>0</v>
      </c>
      <c r="X585" s="2349"/>
      <c r="Y585" s="2349"/>
      <c r="Z585" s="2349"/>
      <c r="AA585" s="2349"/>
      <c r="AB585" s="2350"/>
      <c r="AC585" s="2348">
        <f t="shared" si="4"/>
        <v>0</v>
      </c>
      <c r="AD585" s="2349"/>
      <c r="AE585" s="2349"/>
      <c r="AF585" s="2349"/>
      <c r="AG585" s="2349"/>
      <c r="AH585" s="2350"/>
      <c r="AN585" s="439"/>
      <c r="AO585" s="137">
        <v>3</v>
      </c>
      <c r="AP585" s="2342">
        <f t="shared" si="5"/>
        <v>0</v>
      </c>
      <c r="AQ585" s="2343"/>
      <c r="AR585" s="2343"/>
      <c r="AS585" s="2343"/>
      <c r="AT585" s="2344"/>
      <c r="AX585" s="2475">
        <f>IF(AP535=1,1,0)</f>
        <v>0</v>
      </c>
      <c r="AY585" s="2476"/>
      <c r="AZ585" s="2450"/>
      <c r="BA585" s="2451"/>
      <c r="BB585" s="2473"/>
      <c r="BC585" s="2474"/>
      <c r="BD585" s="2465">
        <f>IF(AND(T608&gt;0,AP535&gt;0),1,0)</f>
        <v>0</v>
      </c>
      <c r="BE585" s="2467"/>
      <c r="BF585" s="2473"/>
      <c r="BG585" s="2474"/>
      <c r="BH585" s="2465">
        <f>IF(AND(T608&gt;0,AP535&gt;0),1,0)</f>
        <v>0</v>
      </c>
      <c r="BI585" s="2467"/>
      <c r="BJ585" s="2473"/>
      <c r="BK585" s="2474"/>
      <c r="BL585" s="2465">
        <f>IF(AND(T608&gt;0,AP535&gt;0),1,0)</f>
        <v>0</v>
      </c>
      <c r="BM585" s="2467"/>
      <c r="BN585" s="2473"/>
      <c r="BO585" s="2474"/>
      <c r="BP585" s="2465">
        <f>IF(AND(T608&gt;0,AP535&gt;0),1,0)</f>
        <v>0</v>
      </c>
      <c r="BQ585" s="2467"/>
    </row>
    <row r="586" spans="2:96" s="46" customFormat="1" ht="12.75" customHeight="1">
      <c r="E586" s="2345">
        <v>9</v>
      </c>
      <c r="F586" s="2346"/>
      <c r="G586" s="2346"/>
      <c r="H586" s="2346"/>
      <c r="I586" s="2346"/>
      <c r="J586" s="2347"/>
      <c r="K586" s="2342">
        <v>40</v>
      </c>
      <c r="L586" s="2343"/>
      <c r="M586" s="2343"/>
      <c r="N586" s="2343"/>
      <c r="O586" s="2343"/>
      <c r="P586" s="2344"/>
      <c r="Q586" s="2356">
        <f t="shared" si="6"/>
        <v>15.254237288135593</v>
      </c>
      <c r="R586" s="2357"/>
      <c r="S586" s="2357"/>
      <c r="T586" s="2357"/>
      <c r="U586" s="2357"/>
      <c r="V586" s="2358"/>
      <c r="W586" s="2348">
        <f t="shared" si="7"/>
        <v>15</v>
      </c>
      <c r="X586" s="2349"/>
      <c r="Y586" s="2349"/>
      <c r="Z586" s="2349"/>
      <c r="AA586" s="2349"/>
      <c r="AB586" s="2350"/>
      <c r="AC586" s="2348">
        <f t="shared" si="4"/>
        <v>15</v>
      </c>
      <c r="AD586" s="2349"/>
      <c r="AE586" s="2349"/>
      <c r="AF586" s="2349"/>
      <c r="AG586" s="2349"/>
      <c r="AH586" s="2350"/>
      <c r="AN586" s="439"/>
      <c r="AO586" s="46">
        <v>2</v>
      </c>
      <c r="AP586" s="2477">
        <f t="shared" si="5"/>
        <v>0</v>
      </c>
      <c r="AQ586" s="2478"/>
      <c r="AR586" s="2478"/>
      <c r="AS586" s="2478"/>
      <c r="AT586" s="2479"/>
      <c r="AX586" s="2473"/>
      <c r="AY586" s="2474"/>
      <c r="AZ586" s="2450"/>
      <c r="BA586" s="2451"/>
      <c r="BB586" s="2475">
        <f>IF(AP536=1,1,0)</f>
        <v>0</v>
      </c>
      <c r="BC586" s="2476"/>
      <c r="BD586" s="2450"/>
      <c r="BE586" s="2451"/>
      <c r="BF586" s="2473"/>
      <c r="BG586" s="2474"/>
      <c r="BH586" s="2465">
        <f>IF(AND(T609&gt;0,AP536&gt;0),1,0)</f>
        <v>1</v>
      </c>
      <c r="BI586" s="2467"/>
      <c r="BJ586" s="2473"/>
      <c r="BK586" s="2474"/>
      <c r="BL586" s="2465">
        <f>IF(AND(T609&gt;0,AP536&gt;0),1,0)</f>
        <v>1</v>
      </c>
      <c r="BM586" s="2467"/>
      <c r="BN586" s="2473"/>
      <c r="BO586" s="2474"/>
      <c r="BP586" s="2465">
        <f>IF(AND(T609&gt;0,AP536&gt;0),1,0)</f>
        <v>1</v>
      </c>
      <c r="BQ586" s="2467"/>
    </row>
    <row r="587" spans="2:96" s="46" customFormat="1" ht="12.75" customHeight="1">
      <c r="E587" s="2345"/>
      <c r="F587" s="2346"/>
      <c r="G587" s="2346"/>
      <c r="H587" s="2346"/>
      <c r="I587" s="2346"/>
      <c r="J587" s="2347"/>
      <c r="K587" s="2342">
        <v>45</v>
      </c>
      <c r="L587" s="2343"/>
      <c r="M587" s="2343"/>
      <c r="N587" s="2343"/>
      <c r="O587" s="2343"/>
      <c r="P587" s="2344"/>
      <c r="Q587" s="2356">
        <f t="shared" si="6"/>
        <v>0</v>
      </c>
      <c r="R587" s="2357"/>
      <c r="S587" s="2357"/>
      <c r="T587" s="2357"/>
      <c r="U587" s="2357"/>
      <c r="V587" s="2358"/>
      <c r="W587" s="2348">
        <f>IF(FLOOR(Q587,5)&gt;65,65,FLOOR(Q587,5))</f>
        <v>0</v>
      </c>
      <c r="X587" s="2349"/>
      <c r="Y587" s="2349"/>
      <c r="Z587" s="2349"/>
      <c r="AA587" s="2349"/>
      <c r="AB587" s="2350"/>
      <c r="AC587" s="2348">
        <f t="shared" si="4"/>
        <v>0</v>
      </c>
      <c r="AD587" s="2349"/>
      <c r="AE587" s="2349"/>
      <c r="AF587" s="2349"/>
      <c r="AG587" s="2349"/>
      <c r="AH587" s="2350"/>
      <c r="AN587" s="439"/>
      <c r="AO587" s="46">
        <v>1</v>
      </c>
      <c r="AP587" s="2477">
        <f t="shared" si="5"/>
        <v>0</v>
      </c>
      <c r="AQ587" s="2478"/>
      <c r="AR587" s="2478"/>
      <c r="AS587" s="2478"/>
      <c r="AT587" s="2479"/>
      <c r="AX587" s="2473"/>
      <c r="AY587" s="2474"/>
      <c r="AZ587" s="2450"/>
      <c r="BA587" s="2451"/>
      <c r="BB587" s="2473"/>
      <c r="BC587" s="2474"/>
      <c r="BD587" s="2450"/>
      <c r="BE587" s="2451"/>
      <c r="BF587" s="2475">
        <f>IF(AP537=1,1,0)</f>
        <v>0</v>
      </c>
      <c r="BG587" s="2476"/>
      <c r="BH587" s="2450"/>
      <c r="BI587" s="2451"/>
      <c r="BJ587" s="2473"/>
      <c r="BK587" s="2474"/>
      <c r="BL587" s="2465">
        <f>IF(AND(T610&gt;0,AP537&gt;0),1,0)</f>
        <v>1</v>
      </c>
      <c r="BM587" s="2467"/>
      <c r="BN587" s="2473"/>
      <c r="BO587" s="2474"/>
      <c r="BP587" s="2465">
        <f>IF(AND(T610&gt;0,AP537&gt;0),1,0)</f>
        <v>1</v>
      </c>
      <c r="BQ587" s="2467"/>
    </row>
    <row r="588" spans="2:96" s="46" customFormat="1" ht="12.75" customHeight="1">
      <c r="E588" s="2345">
        <v>7</v>
      </c>
      <c r="F588" s="2346"/>
      <c r="G588" s="2346"/>
      <c r="H588" s="2346"/>
      <c r="I588" s="2346"/>
      <c r="J588" s="2347"/>
      <c r="K588" s="2342">
        <v>50</v>
      </c>
      <c r="L588" s="2343"/>
      <c r="M588" s="2343"/>
      <c r="N588" s="2343"/>
      <c r="O588" s="2343"/>
      <c r="P588" s="2344"/>
      <c r="Q588" s="2356">
        <f t="shared" si="6"/>
        <v>11.864406779661017</v>
      </c>
      <c r="R588" s="2357"/>
      <c r="S588" s="2357"/>
      <c r="T588" s="2357"/>
      <c r="U588" s="2357"/>
      <c r="V588" s="2358"/>
      <c r="W588" s="2348">
        <f>IF(FLOOR(Q588,5)&gt;40,40,FLOOR(Q588,5))</f>
        <v>10</v>
      </c>
      <c r="X588" s="2349"/>
      <c r="Y588" s="2349"/>
      <c r="Z588" s="2349"/>
      <c r="AA588" s="2349"/>
      <c r="AB588" s="2350"/>
      <c r="AC588" s="2348">
        <f t="shared" si="4"/>
        <v>5</v>
      </c>
      <c r="AD588" s="2349"/>
      <c r="AE588" s="2349"/>
      <c r="AF588" s="2349"/>
      <c r="AG588" s="2349"/>
      <c r="AH588" s="2350"/>
      <c r="AN588" s="439"/>
      <c r="AO588" s="46">
        <v>0</v>
      </c>
      <c r="AP588" s="2477">
        <f t="shared" si="5"/>
        <v>0</v>
      </c>
      <c r="AQ588" s="2478"/>
      <c r="AR588" s="2478"/>
      <c r="AS588" s="2478"/>
      <c r="AT588" s="2479"/>
      <c r="AX588" s="2473"/>
      <c r="AY588" s="2474"/>
      <c r="AZ588" s="2450"/>
      <c r="BA588" s="2451"/>
      <c r="BB588" s="2473"/>
      <c r="BC588" s="2474"/>
      <c r="BD588" s="2450"/>
      <c r="BE588" s="2451"/>
      <c r="BF588" s="2473"/>
      <c r="BG588" s="2474"/>
      <c r="BH588" s="2450"/>
      <c r="BI588" s="2451"/>
      <c r="BJ588" s="2475">
        <f>IF(AP538=1,1,0)</f>
        <v>1</v>
      </c>
      <c r="BK588" s="2476"/>
      <c r="BL588" s="2473"/>
      <c r="BM588" s="2474"/>
      <c r="BN588" s="2473"/>
      <c r="BO588" s="2474"/>
      <c r="BP588" s="2465">
        <f>IF(AND(T611&gt;0,AP538&gt;0),1,0)</f>
        <v>1</v>
      </c>
      <c r="BQ588" s="2467"/>
    </row>
    <row r="589" spans="2:96" s="46" customFormat="1" ht="12.75" customHeight="1">
      <c r="E589" s="2442"/>
      <c r="F589" s="2443"/>
      <c r="G589" s="2443"/>
      <c r="H589" s="2443"/>
      <c r="I589" s="2443"/>
      <c r="J589" s="2444"/>
      <c r="K589" s="2438">
        <f>IF(OR(Application!D211="Rural",Application!D211="Rural apportionment (Section 514)",Application!D211="Rural apportionment (Section 515)",Application!D211="Rural apportionment (HOME)",Application!D211="Rural (Native American apportionment)"),50,0)</f>
        <v>0</v>
      </c>
      <c r="L589" s="2439"/>
      <c r="M589" s="2440" t="s">
        <v>2095</v>
      </c>
      <c r="N589" s="2440"/>
      <c r="O589" s="2440"/>
      <c r="P589" s="2441"/>
      <c r="Q589" s="2356">
        <f t="shared" si="6"/>
        <v>0</v>
      </c>
      <c r="R589" s="2357"/>
      <c r="S589" s="2357"/>
      <c r="T589" s="2357"/>
      <c r="U589" s="2357"/>
      <c r="V589" s="2358"/>
      <c r="W589" s="2348">
        <f>IF(FLOOR(Q589,5)&gt;50,50,FLOOR(Q589,5))</f>
        <v>0</v>
      </c>
      <c r="X589" s="2349"/>
      <c r="Y589" s="2349"/>
      <c r="Z589" s="2349"/>
      <c r="AA589" s="2349"/>
      <c r="AB589" s="2350"/>
      <c r="AC589" s="2348">
        <f>IF(W589&gt;0,INDEX($AT$509:$BA$523,MATCH(W589,$AS$509:$AS$523,0),MATCH(K589,$AT$508:$BA$508,0)),0)</f>
        <v>0</v>
      </c>
      <c r="AD589" s="2349"/>
      <c r="AE589" s="2349"/>
      <c r="AF589" s="2349"/>
      <c r="AG589" s="2349"/>
      <c r="AH589" s="2350"/>
      <c r="AN589" s="439"/>
      <c r="AP589" s="2477"/>
      <c r="AQ589" s="2478"/>
      <c r="AR589" s="2478"/>
      <c r="AS589" s="2478"/>
      <c r="AT589" s="2479"/>
      <c r="AX589" s="2473"/>
      <c r="AY589" s="2474"/>
      <c r="AZ589" s="2450"/>
      <c r="BA589" s="2451"/>
      <c r="BB589" s="2473"/>
      <c r="BC589" s="2474"/>
      <c r="BD589" s="2450"/>
      <c r="BE589" s="2451"/>
      <c r="BF589" s="2473"/>
      <c r="BG589" s="2474"/>
      <c r="BH589" s="2450"/>
      <c r="BI589" s="2451"/>
      <c r="BJ589" s="2473"/>
      <c r="BK589" s="2474"/>
      <c r="BL589" s="2473"/>
      <c r="BM589" s="2474"/>
      <c r="BN589" s="2475">
        <f>IF(AP539=1,1,0)</f>
        <v>0</v>
      </c>
      <c r="BO589" s="2476"/>
      <c r="BP589" s="2450"/>
      <c r="BQ589" s="2451"/>
    </row>
    <row r="590" spans="2:96" s="46" customFormat="1" ht="12.75" customHeight="1">
      <c r="E590" s="2442"/>
      <c r="F590" s="2443"/>
      <c r="G590" s="2443"/>
      <c r="H590" s="2443"/>
      <c r="I590" s="2443"/>
      <c r="J590" s="2444"/>
      <c r="K590" s="2438">
        <f>IF(OR(Application!D211="Rural",Application!D211="Rural apportionment (Section 514)",Application!D211="Rural apportionment (Section 515)",Application!D211="Rural apportionment (HOME)",Application!D211="Rural (Native American apportionment)"),55,0)</f>
        <v>0</v>
      </c>
      <c r="L590" s="2439"/>
      <c r="M590" s="2440" t="s">
        <v>2095</v>
      </c>
      <c r="N590" s="2440"/>
      <c r="O590" s="2440"/>
      <c r="P590" s="2441"/>
      <c r="Q590" s="2356">
        <f t="shared" si="6"/>
        <v>0</v>
      </c>
      <c r="R590" s="2357"/>
      <c r="S590" s="2357"/>
      <c r="T590" s="2357"/>
      <c r="U590" s="2357"/>
      <c r="V590" s="2358"/>
      <c r="W590" s="2348">
        <f>IF(FLOOR(Q590,5)&gt;40,40,FLOOR(Q590,5))</f>
        <v>0</v>
      </c>
      <c r="X590" s="2349"/>
      <c r="Y590" s="2349"/>
      <c r="Z590" s="2349"/>
      <c r="AA590" s="2349"/>
      <c r="AB590" s="2350"/>
      <c r="AC590" s="2348">
        <f>IF(W590&gt;0,INDEX($AT$509:$BA$523,MATCH(W590,$AS$509:$AS$523,0),MATCH(K590,$AT$508:$BA$508,0)),0)</f>
        <v>0</v>
      </c>
      <c r="AD590" s="2349"/>
      <c r="AE590" s="2349"/>
      <c r="AF590" s="2349"/>
      <c r="AG590" s="2349"/>
      <c r="AH590" s="2350"/>
      <c r="AN590" s="439"/>
      <c r="AX590" s="2475">
        <f>SUM(AX585:AY589)</f>
        <v>0</v>
      </c>
      <c r="AY590" s="2476"/>
      <c r="AZ590" s="2465">
        <f>SUM(AZ586:BA589)</f>
        <v>0</v>
      </c>
      <c r="BA590" s="2467"/>
      <c r="BB590" s="2475">
        <f>SUM(BB586:BC589)</f>
        <v>0</v>
      </c>
      <c r="BC590" s="2476"/>
      <c r="BD590" s="2465">
        <f>SUM(BD585:BE589)</f>
        <v>0</v>
      </c>
      <c r="BE590" s="2467"/>
      <c r="BF590" s="2475">
        <f>SUM(BF587:BG589)</f>
        <v>0</v>
      </c>
      <c r="BG590" s="2476"/>
      <c r="BH590" s="2465">
        <f>SUM(BH585:BI589)</f>
        <v>1</v>
      </c>
      <c r="BI590" s="2467"/>
      <c r="BJ590" s="2475">
        <f>SUM(BJ585:BK589)</f>
        <v>1</v>
      </c>
      <c r="BK590" s="2476"/>
      <c r="BL590" s="2465">
        <f>SUM(BL585:BM589)</f>
        <v>2</v>
      </c>
      <c r="BM590" s="2467"/>
      <c r="BN590" s="2475">
        <f>SUM(BN585:BO589)</f>
        <v>0</v>
      </c>
      <c r="BO590" s="2476"/>
      <c r="BP590" s="2465">
        <f>SUM(BP585:BQ589)</f>
        <v>3</v>
      </c>
      <c r="BQ590" s="2467"/>
    </row>
    <row r="591" spans="2:96" s="46" customFormat="1" ht="12.75" customHeight="1">
      <c r="E591" s="2345">
        <v>27</v>
      </c>
      <c r="F591" s="2346"/>
      <c r="G591" s="2346"/>
      <c r="H591" s="2346"/>
      <c r="I591" s="2346"/>
      <c r="J591" s="2347"/>
      <c r="K591" s="2342" t="s">
        <v>2096</v>
      </c>
      <c r="L591" s="2343"/>
      <c r="M591" s="2343"/>
      <c r="N591" s="2343"/>
      <c r="O591" s="2343"/>
      <c r="P591" s="2344"/>
      <c r="Q591" s="2356">
        <f t="shared" si="6"/>
        <v>45.762711864406782</v>
      </c>
      <c r="R591" s="2357"/>
      <c r="S591" s="2357"/>
      <c r="T591" s="2357"/>
      <c r="U591" s="2357"/>
      <c r="V591" s="2358"/>
      <c r="W591" s="2348">
        <f t="shared" si="7"/>
        <v>45</v>
      </c>
      <c r="X591" s="2349"/>
      <c r="Y591" s="2349"/>
      <c r="Z591" s="2349"/>
      <c r="AA591" s="2349"/>
      <c r="AB591" s="2350"/>
      <c r="AC591" s="2348">
        <v>0</v>
      </c>
      <c r="AD591" s="2349"/>
      <c r="AE591" s="2349"/>
      <c r="AF591" s="2349"/>
      <c r="AG591" s="2349"/>
      <c r="AH591" s="2350"/>
      <c r="AN591" s="439"/>
      <c r="AX591" s="2470">
        <f>IF(AND(AX590=1,AZ590&gt;1),1,0)</f>
        <v>0</v>
      </c>
      <c r="AY591" s="2471"/>
      <c r="AZ591" s="2471"/>
      <c r="BA591" s="2472"/>
      <c r="BB591" s="2470">
        <f>IF(AND(BB590=1,BD590&gt;=1),1,0)</f>
        <v>0</v>
      </c>
      <c r="BC591" s="2471"/>
      <c r="BD591" s="2471"/>
      <c r="BE591" s="2472"/>
      <c r="BF591" s="2470">
        <f>IF(AND(BF590=1,BH590&gt;=1),1,0)</f>
        <v>0</v>
      </c>
      <c r="BG591" s="2471"/>
      <c r="BH591" s="2471"/>
      <c r="BI591" s="2472"/>
      <c r="BJ591" s="2470">
        <f>IF(AND(BJ590=1,BL590&gt;=1),1,0)</f>
        <v>1</v>
      </c>
      <c r="BK591" s="2471"/>
      <c r="BL591" s="2471"/>
      <c r="BM591" s="2472"/>
      <c r="BN591" s="2470">
        <f>IF(AND(BN590=1,BP590&gt;=1),1,0)</f>
        <v>0</v>
      </c>
      <c r="BO591" s="2471"/>
      <c r="BP591" s="2471"/>
      <c r="BQ591" s="2472"/>
    </row>
    <row r="592" spans="2:96" s="46" customFormat="1" ht="12.75" customHeight="1">
      <c r="E592" s="2585">
        <f>SUM(E583:J591)</f>
        <v>59</v>
      </c>
      <c r="F592" s="2586"/>
      <c r="G592" s="2586"/>
      <c r="H592" s="2586"/>
      <c r="I592" s="2586"/>
      <c r="J592" s="2587"/>
      <c r="K592" s="260"/>
      <c r="L592" s="260"/>
      <c r="M592" s="260"/>
      <c r="N592" s="260"/>
      <c r="O592" s="260"/>
      <c r="P592" s="260"/>
      <c r="Q592" s="260"/>
      <c r="R592" s="260"/>
      <c r="S592" s="260"/>
      <c r="T592" s="260"/>
      <c r="U592" s="254"/>
      <c r="V592" s="254"/>
      <c r="W592" s="254"/>
      <c r="X592" s="254"/>
      <c r="Y592" s="254"/>
      <c r="Z592" s="260"/>
      <c r="AA592" s="254"/>
      <c r="AB592" s="100" t="s">
        <v>671</v>
      </c>
      <c r="AC592" s="2582">
        <f>IF(SUM(AC583:AH591)&gt;0,SUM(AC583:AH591),0)</f>
        <v>62.5</v>
      </c>
      <c r="AD592" s="2583"/>
      <c r="AE592" s="2583"/>
      <c r="AF592" s="2583"/>
      <c r="AG592" s="2583"/>
      <c r="AH592" s="2584"/>
      <c r="AK592" s="8"/>
      <c r="AL592" s="8"/>
      <c r="AM592" s="261"/>
      <c r="AN592" s="439"/>
      <c r="AX592" s="16"/>
      <c r="AY592" s="16"/>
      <c r="AZ592" s="16"/>
      <c r="BA592" s="16"/>
      <c r="BB592" s="16"/>
      <c r="BC592" s="16"/>
      <c r="BD592" s="16"/>
      <c r="BE592" s="16"/>
      <c r="BF592" s="16"/>
      <c r="BG592" s="16"/>
      <c r="BH592" s="16"/>
      <c r="BI592" s="240" t="s">
        <v>676</v>
      </c>
      <c r="BJ592" s="2470">
        <f>AX591+BB591+BF591+BJ591+BN591</f>
        <v>1</v>
      </c>
      <c r="BK592" s="2471"/>
      <c r="BL592" s="2471"/>
      <c r="BM592" s="2472"/>
      <c r="BN592" s="16"/>
      <c r="BO592" s="16"/>
      <c r="BP592" s="16"/>
      <c r="BQ592" s="16"/>
    </row>
    <row r="593" spans="1:69" s="46" customFormat="1" ht="12.75" customHeight="1">
      <c r="E593" s="512"/>
      <c r="F593" s="510"/>
      <c r="G593" s="510"/>
      <c r="H593" s="510"/>
      <c r="I593" s="510"/>
      <c r="J593" s="510"/>
      <c r="K593" s="71"/>
      <c r="L593" s="71"/>
      <c r="M593" s="71"/>
      <c r="N593" s="71"/>
      <c r="O593" s="71"/>
      <c r="P593" s="71"/>
      <c r="Q593" s="71"/>
      <c r="R593" s="71"/>
      <c r="S593" s="71"/>
      <c r="T593" s="71"/>
      <c r="U593" s="162"/>
      <c r="V593" s="162"/>
      <c r="W593" s="162"/>
      <c r="X593" s="162"/>
      <c r="Y593" s="162"/>
      <c r="Z593" s="71"/>
      <c r="AA593" s="162"/>
      <c r="AB593" s="103"/>
      <c r="AC593" s="511"/>
      <c r="AD593" s="511"/>
      <c r="AE593" s="511"/>
      <c r="AF593" s="511"/>
      <c r="AG593" s="511"/>
      <c r="AH593" s="511"/>
      <c r="AK593" s="8"/>
      <c r="AL593" s="8"/>
      <c r="AM593" s="261"/>
      <c r="AN593" s="439"/>
      <c r="AX593" s="16"/>
      <c r="AY593" s="16"/>
      <c r="AZ593" s="16"/>
      <c r="BA593" s="16"/>
      <c r="BB593" s="16"/>
      <c r="BC593" s="16"/>
      <c r="BD593" s="16"/>
      <c r="BE593" s="16"/>
      <c r="BF593" s="16"/>
      <c r="BG593" s="16"/>
      <c r="BI593" s="16"/>
      <c r="BJ593" s="16" t="s">
        <v>675</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2229</v>
      </c>
      <c r="AG595" s="2363" t="s">
        <v>114</v>
      </c>
      <c r="AH595" s="2363"/>
      <c r="AI595" s="2363"/>
      <c r="AJ595" s="2363"/>
      <c r="AK595" s="8"/>
      <c r="AL595" s="8"/>
      <c r="AM595" s="8"/>
      <c r="AN595" s="439"/>
    </row>
    <row r="596" spans="1:69" s="46" customFormat="1" ht="12.75" customHeight="1">
      <c r="B596" s="2575" t="s">
        <v>2072</v>
      </c>
      <c r="C596" s="2575"/>
      <c r="D596" s="2575"/>
      <c r="E596" s="2575"/>
      <c r="F596" s="2575"/>
      <c r="G596" s="2575"/>
      <c r="H596" s="2575"/>
      <c r="I596" s="2575"/>
      <c r="J596" s="2575"/>
      <c r="K596" s="2575"/>
      <c r="L596" s="2575"/>
      <c r="M596" s="2575"/>
      <c r="N596" s="2575"/>
      <c r="O596" s="2575"/>
      <c r="P596" s="2575"/>
      <c r="Q596" s="2575"/>
      <c r="R596" s="2575"/>
      <c r="S596" s="2575"/>
      <c r="T596" s="2575"/>
      <c r="U596" s="2575"/>
      <c r="V596" s="2575"/>
      <c r="W596" s="2575"/>
      <c r="X596" s="2575"/>
      <c r="Y596" s="2575"/>
      <c r="Z596" s="2575"/>
      <c r="AA596" s="2575"/>
      <c r="AB596" s="2575"/>
      <c r="AC596" s="2575"/>
      <c r="AD596" s="2575"/>
      <c r="AE596" s="2575"/>
      <c r="AF596" s="2575"/>
      <c r="AG596" s="2575"/>
      <c r="AH596" s="2575"/>
      <c r="AI596" s="65"/>
      <c r="AJ596" s="65"/>
      <c r="AK596" s="16"/>
      <c r="AL596" s="16"/>
      <c r="AM596" s="16"/>
      <c r="AN596" s="439"/>
    </row>
    <row r="597" spans="1:69" s="46" customFormat="1" ht="12.75" customHeight="1">
      <c r="A597" s="65"/>
      <c r="B597" s="2575"/>
      <c r="C597" s="2575"/>
      <c r="D597" s="2575"/>
      <c r="E597" s="2575"/>
      <c r="F597" s="2575"/>
      <c r="G597" s="2575"/>
      <c r="H597" s="2575"/>
      <c r="I597" s="2575"/>
      <c r="J597" s="2575"/>
      <c r="K597" s="2575"/>
      <c r="L597" s="2575"/>
      <c r="M597" s="2575"/>
      <c r="N597" s="2575"/>
      <c r="O597" s="2575"/>
      <c r="P597" s="2575"/>
      <c r="Q597" s="2575"/>
      <c r="R597" s="2575"/>
      <c r="S597" s="2575"/>
      <c r="T597" s="2575"/>
      <c r="U597" s="2575"/>
      <c r="V597" s="2575"/>
      <c r="W597" s="2575"/>
      <c r="X597" s="2575"/>
      <c r="Y597" s="2575"/>
      <c r="Z597" s="2575"/>
      <c r="AA597" s="2575"/>
      <c r="AB597" s="2575"/>
      <c r="AC597" s="2575"/>
      <c r="AD597" s="2575"/>
      <c r="AE597" s="2575"/>
      <c r="AF597" s="2575"/>
      <c r="AG597" s="2575"/>
      <c r="AH597" s="2575"/>
      <c r="AI597" s="65"/>
      <c r="AJ597" s="65"/>
      <c r="AK597" s="16"/>
      <c r="AL597" s="16"/>
      <c r="AM597" s="16"/>
      <c r="AN597" s="439"/>
    </row>
    <row r="598" spans="1:69" s="46" customFormat="1" ht="12.75" customHeight="1">
      <c r="A598" s="65"/>
      <c r="B598" s="2575"/>
      <c r="C598" s="2575"/>
      <c r="D598" s="2575"/>
      <c r="E598" s="2575"/>
      <c r="F598" s="2575"/>
      <c r="G598" s="2575"/>
      <c r="H598" s="2575"/>
      <c r="I598" s="2575"/>
      <c r="J598" s="2575"/>
      <c r="K598" s="2575"/>
      <c r="L598" s="2575"/>
      <c r="M598" s="2575"/>
      <c r="N598" s="2575"/>
      <c r="O598" s="2575"/>
      <c r="P598" s="2575"/>
      <c r="Q598" s="2575"/>
      <c r="R598" s="2575"/>
      <c r="S598" s="2575"/>
      <c r="T598" s="2575"/>
      <c r="U598" s="2575"/>
      <c r="V598" s="2575"/>
      <c r="W598" s="2575"/>
      <c r="X598" s="2575"/>
      <c r="Y598" s="2575"/>
      <c r="Z598" s="2575"/>
      <c r="AA598" s="2575"/>
      <c r="AB598" s="2575"/>
      <c r="AC598" s="2575"/>
      <c r="AD598" s="2575"/>
      <c r="AE598" s="2575"/>
      <c r="AF598" s="2575"/>
      <c r="AG598" s="2575"/>
      <c r="AH598" s="2575"/>
      <c r="AI598" s="65"/>
      <c r="AJ598" s="65"/>
      <c r="AK598" s="16"/>
      <c r="AL598" s="16"/>
      <c r="AM598" s="16"/>
      <c r="AN598" s="439"/>
    </row>
    <row r="599" spans="1:69" s="46" customFormat="1" ht="12.75" customHeight="1">
      <c r="A599" s="65"/>
      <c r="B599" s="2575"/>
      <c r="C599" s="2575"/>
      <c r="D599" s="2575"/>
      <c r="E599" s="2575"/>
      <c r="F599" s="2575"/>
      <c r="G599" s="2575"/>
      <c r="H599" s="2575"/>
      <c r="I599" s="2575"/>
      <c r="J599" s="2575"/>
      <c r="K599" s="2575"/>
      <c r="L599" s="2575"/>
      <c r="M599" s="2575"/>
      <c r="N599" s="2575"/>
      <c r="O599" s="2575"/>
      <c r="P599" s="2575"/>
      <c r="Q599" s="2575"/>
      <c r="R599" s="2575"/>
      <c r="S599" s="2575"/>
      <c r="T599" s="2575"/>
      <c r="U599" s="2575"/>
      <c r="V599" s="2575"/>
      <c r="W599" s="2575"/>
      <c r="X599" s="2575"/>
      <c r="Y599" s="2575"/>
      <c r="Z599" s="2575"/>
      <c r="AA599" s="2575"/>
      <c r="AB599" s="2575"/>
      <c r="AC599" s="2575"/>
      <c r="AD599" s="2575"/>
      <c r="AE599" s="2575"/>
      <c r="AF599" s="2575"/>
      <c r="AG599" s="2575"/>
      <c r="AH599" s="2575"/>
      <c r="AI599" s="65"/>
      <c r="AJ599" s="65"/>
      <c r="AK599" s="16"/>
      <c r="AL599" s="16"/>
      <c r="AM599" s="16"/>
      <c r="AN599" s="439"/>
    </row>
    <row r="600" spans="1:69" s="46" customFormat="1" ht="12.75" customHeight="1">
      <c r="A600" s="65"/>
      <c r="B600" s="2575"/>
      <c r="C600" s="2575"/>
      <c r="D600" s="2575"/>
      <c r="E600" s="2575"/>
      <c r="F600" s="2575"/>
      <c r="G600" s="2575"/>
      <c r="H600" s="2575"/>
      <c r="I600" s="2575"/>
      <c r="J600" s="2575"/>
      <c r="K600" s="2575"/>
      <c r="L600" s="2575"/>
      <c r="M600" s="2575"/>
      <c r="N600" s="2575"/>
      <c r="O600" s="2575"/>
      <c r="P600" s="2575"/>
      <c r="Q600" s="2575"/>
      <c r="R600" s="2575"/>
      <c r="S600" s="2575"/>
      <c r="T600" s="2575"/>
      <c r="U600" s="2575"/>
      <c r="V600" s="2575"/>
      <c r="W600" s="2575"/>
      <c r="X600" s="2575"/>
      <c r="Y600" s="2575"/>
      <c r="Z600" s="2575"/>
      <c r="AA600" s="2575"/>
      <c r="AB600" s="2575"/>
      <c r="AC600" s="2575"/>
      <c r="AD600" s="2575"/>
      <c r="AE600" s="2575"/>
      <c r="AF600" s="2575"/>
      <c r="AG600" s="2575"/>
      <c r="AH600" s="2575"/>
      <c r="AI600" s="65"/>
      <c r="AJ600" s="65"/>
      <c r="AK600" s="16"/>
      <c r="AL600" s="16"/>
      <c r="AM600" s="16"/>
      <c r="AN600" s="439"/>
    </row>
    <row r="601" spans="1:69" s="46" customFormat="1" ht="12.75" customHeight="1">
      <c r="A601" s="65"/>
      <c r="B601" s="2575"/>
      <c r="C601" s="2575"/>
      <c r="D601" s="2575"/>
      <c r="E601" s="2575"/>
      <c r="F601" s="2575"/>
      <c r="G601" s="2575"/>
      <c r="H601" s="2575"/>
      <c r="I601" s="2575"/>
      <c r="J601" s="2575"/>
      <c r="K601" s="2575"/>
      <c r="L601" s="2575"/>
      <c r="M601" s="2575"/>
      <c r="N601" s="2575"/>
      <c r="O601" s="2575"/>
      <c r="P601" s="2575"/>
      <c r="Q601" s="2575"/>
      <c r="R601" s="2575"/>
      <c r="S601" s="2575"/>
      <c r="T601" s="2575"/>
      <c r="U601" s="2575"/>
      <c r="V601" s="2575"/>
      <c r="W601" s="2575"/>
      <c r="X601" s="2575"/>
      <c r="Y601" s="2575"/>
      <c r="Z601" s="2575"/>
      <c r="AA601" s="2575"/>
      <c r="AB601" s="2575"/>
      <c r="AC601" s="2575"/>
      <c r="AD601" s="2575"/>
      <c r="AE601" s="2575"/>
      <c r="AF601" s="2575"/>
      <c r="AG601" s="2575"/>
      <c r="AH601" s="2575"/>
      <c r="AI601" s="65"/>
      <c r="AJ601" s="65"/>
      <c r="AK601" s="65"/>
      <c r="AL601" s="65"/>
      <c r="AM601" s="65"/>
      <c r="AN601" s="1133"/>
    </row>
    <row r="602" spans="1:69">
      <c r="E602" s="245"/>
      <c r="BD602" s="65"/>
      <c r="BE602" s="65"/>
      <c r="BF602" s="65"/>
      <c r="BG602" s="65"/>
      <c r="BH602" s="65"/>
    </row>
    <row r="603" spans="1:69" ht="12.75" customHeight="1">
      <c r="J603" s="2526" t="s">
        <v>871</v>
      </c>
      <c r="K603" s="2527"/>
      <c r="L603" s="2527"/>
      <c r="M603" s="2527"/>
      <c r="N603" s="2528"/>
      <c r="O603" s="2572" t="s">
        <v>1685</v>
      </c>
      <c r="P603" s="2573"/>
      <c r="Q603" s="2573"/>
      <c r="R603" s="2573"/>
      <c r="S603" s="2574"/>
      <c r="T603" s="2572" t="s">
        <v>1999</v>
      </c>
      <c r="U603" s="2573"/>
      <c r="V603" s="2573"/>
      <c r="W603" s="2573"/>
      <c r="X603" s="2574"/>
      <c r="Y603" s="2572" t="s">
        <v>1686</v>
      </c>
      <c r="Z603" s="2573"/>
      <c r="AA603" s="2573"/>
      <c r="AB603" s="2573"/>
      <c r="AC603" s="2574"/>
      <c r="AF603" s="16"/>
      <c r="AG603" s="16"/>
      <c r="AH603" s="16"/>
      <c r="AI603" s="16"/>
      <c r="AJ603" s="16"/>
    </row>
    <row r="604" spans="1:69" ht="12.75" customHeight="1">
      <c r="D604" s="16"/>
      <c r="E604" s="16"/>
      <c r="F604" s="16"/>
      <c r="G604" s="16"/>
      <c r="H604" s="16"/>
      <c r="I604" s="16"/>
      <c r="J604" s="2529"/>
      <c r="K604" s="2530"/>
      <c r="L604" s="2530"/>
      <c r="M604" s="2530"/>
      <c r="N604" s="2531"/>
      <c r="O604" s="2391"/>
      <c r="P604" s="2392"/>
      <c r="Q604" s="2392"/>
      <c r="R604" s="2392"/>
      <c r="S604" s="2393"/>
      <c r="T604" s="2391"/>
      <c r="U604" s="2392"/>
      <c r="V604" s="2392"/>
      <c r="W604" s="2392"/>
      <c r="X604" s="2393"/>
      <c r="Y604" s="2391"/>
      <c r="Z604" s="2392"/>
      <c r="AA604" s="2392"/>
      <c r="AB604" s="2392"/>
      <c r="AC604" s="2393"/>
      <c r="AF604" s="16"/>
      <c r="AG604" s="16"/>
      <c r="AH604" s="16"/>
      <c r="AI604" s="16"/>
      <c r="AJ604" s="16"/>
    </row>
    <row r="605" spans="1:69">
      <c r="I605" s="16"/>
      <c r="J605" s="2529"/>
      <c r="K605" s="2530"/>
      <c r="L605" s="2530"/>
      <c r="M605" s="2530"/>
      <c r="N605" s="2531"/>
      <c r="O605" s="2391"/>
      <c r="P605" s="2392"/>
      <c r="Q605" s="2392"/>
      <c r="R605" s="2392"/>
      <c r="S605" s="2393"/>
      <c r="T605" s="2391"/>
      <c r="U605" s="2392"/>
      <c r="V605" s="2392"/>
      <c r="W605" s="2392"/>
      <c r="X605" s="2393"/>
      <c r="Y605" s="2391"/>
      <c r="Z605" s="2392"/>
      <c r="AA605" s="2392"/>
      <c r="AB605" s="2392"/>
      <c r="AC605" s="2393"/>
      <c r="AD605" s="42"/>
      <c r="AF605" s="16"/>
      <c r="AG605" s="16"/>
      <c r="AH605" s="16"/>
      <c r="AI605" s="16"/>
      <c r="AJ605" s="16"/>
    </row>
    <row r="606" spans="1:69">
      <c r="D606" s="16"/>
      <c r="E606" s="16"/>
      <c r="F606" s="16"/>
      <c r="G606" s="16"/>
      <c r="H606" s="16"/>
      <c r="I606" s="16"/>
      <c r="J606" s="2529"/>
      <c r="K606" s="2530"/>
      <c r="L606" s="2530"/>
      <c r="M606" s="2530"/>
      <c r="N606" s="2531"/>
      <c r="O606" s="2391"/>
      <c r="P606" s="2392"/>
      <c r="Q606" s="2392"/>
      <c r="R606" s="2392"/>
      <c r="S606" s="2393"/>
      <c r="T606" s="2391"/>
      <c r="U606" s="2392"/>
      <c r="V606" s="2392"/>
      <c r="W606" s="2392"/>
      <c r="X606" s="2393"/>
      <c r="Y606" s="2391"/>
      <c r="Z606" s="2392"/>
      <c r="AA606" s="2392"/>
      <c r="AB606" s="2392"/>
      <c r="AC606" s="2393"/>
      <c r="AD606" s="42"/>
      <c r="AF606" s="16"/>
      <c r="AG606" s="16"/>
      <c r="AH606" s="16"/>
      <c r="AI606" s="16"/>
      <c r="AJ606" s="16"/>
    </row>
    <row r="607" spans="1:69">
      <c r="D607" s="16"/>
      <c r="E607" s="16"/>
      <c r="F607" s="16"/>
      <c r="G607" s="16"/>
      <c r="H607" s="16"/>
      <c r="I607" s="16"/>
      <c r="J607" s="2425" t="s">
        <v>251</v>
      </c>
      <c r="K607" s="2426"/>
      <c r="L607" s="2426"/>
      <c r="M607" s="2426"/>
      <c r="N607" s="2427"/>
      <c r="O607" s="2342">
        <f>Application!CM627</f>
        <v>0</v>
      </c>
      <c r="P607" s="2343"/>
      <c r="Q607" s="2343"/>
      <c r="R607" s="2343"/>
      <c r="S607" s="2344"/>
      <c r="T607" s="2342">
        <f>Application!DR628</f>
        <v>0</v>
      </c>
      <c r="U607" s="2343"/>
      <c r="V607" s="2343"/>
      <c r="W607" s="2343"/>
      <c r="X607" s="2344"/>
      <c r="Y607" s="2428">
        <f t="shared" ref="Y607:Y612" si="8">IF(T607&gt;0,T607/O607,0)</f>
        <v>0</v>
      </c>
      <c r="Z607" s="2429"/>
      <c r="AA607" s="2429"/>
      <c r="AB607" s="2429"/>
      <c r="AC607" s="2430"/>
      <c r="AD607" s="42"/>
      <c r="AF607" s="16"/>
      <c r="AG607" s="16"/>
      <c r="AH607" s="16"/>
      <c r="AI607" s="16"/>
      <c r="AJ607" s="16"/>
    </row>
    <row r="608" spans="1:69">
      <c r="D608" s="16"/>
      <c r="E608" s="16"/>
      <c r="F608" s="16"/>
      <c r="G608" s="16"/>
      <c r="H608" s="16"/>
      <c r="I608" s="16"/>
      <c r="J608" s="2425" t="s">
        <v>36</v>
      </c>
      <c r="K608" s="2426"/>
      <c r="L608" s="2426"/>
      <c r="M608" s="2426"/>
      <c r="N608" s="2427"/>
      <c r="O608" s="2342">
        <f>Application!CH627</f>
        <v>0</v>
      </c>
      <c r="P608" s="2343"/>
      <c r="Q608" s="2343"/>
      <c r="R608" s="2343"/>
      <c r="S608" s="2344"/>
      <c r="T608" s="2342">
        <f>Application!DM628</f>
        <v>0</v>
      </c>
      <c r="U608" s="2343"/>
      <c r="V608" s="2343"/>
      <c r="W608" s="2343"/>
      <c r="X608" s="2344"/>
      <c r="Y608" s="2428">
        <f t="shared" si="8"/>
        <v>0</v>
      </c>
      <c r="Z608" s="2429"/>
      <c r="AA608" s="2429"/>
      <c r="AB608" s="2429"/>
      <c r="AC608" s="2430"/>
      <c r="AD608" s="42"/>
      <c r="AF608" s="16"/>
      <c r="AG608" s="16"/>
      <c r="AH608" s="16"/>
      <c r="AI608" s="16"/>
      <c r="AJ608" s="16"/>
    </row>
    <row r="609" spans="1:60">
      <c r="D609" s="16"/>
      <c r="E609" s="16"/>
      <c r="F609" s="16"/>
      <c r="G609" s="16"/>
      <c r="H609" s="16"/>
      <c r="I609" s="16"/>
      <c r="J609" s="2425" t="s">
        <v>293</v>
      </c>
      <c r="K609" s="2426"/>
      <c r="L609" s="2426"/>
      <c r="M609" s="2426"/>
      <c r="N609" s="2427"/>
      <c r="O609" s="2342">
        <f>Application!CC627</f>
        <v>19</v>
      </c>
      <c r="P609" s="2343"/>
      <c r="Q609" s="2343"/>
      <c r="R609" s="2343"/>
      <c r="S609" s="2344"/>
      <c r="T609" s="2342">
        <f>Application!DH628</f>
        <v>2</v>
      </c>
      <c r="U609" s="2343"/>
      <c r="V609" s="2343"/>
      <c r="W609" s="2343"/>
      <c r="X609" s="2344"/>
      <c r="Y609" s="2428">
        <f t="shared" si="8"/>
        <v>0.10526315789473684</v>
      </c>
      <c r="Z609" s="2429"/>
      <c r="AA609" s="2429"/>
      <c r="AB609" s="2429"/>
      <c r="AC609" s="2430"/>
      <c r="AD609" s="16"/>
      <c r="AF609" s="16"/>
      <c r="AG609" s="16"/>
      <c r="AH609" s="16"/>
      <c r="AI609" s="16"/>
      <c r="AJ609" s="16"/>
      <c r="AN609" s="1149"/>
    </row>
    <row r="610" spans="1:60">
      <c r="D610" s="16"/>
      <c r="E610" s="16"/>
      <c r="F610" s="16"/>
      <c r="G610" s="16"/>
      <c r="H610" s="16"/>
      <c r="I610" s="16"/>
      <c r="J610" s="2425" t="s">
        <v>292</v>
      </c>
      <c r="K610" s="2426"/>
      <c r="L610" s="2426"/>
      <c r="M610" s="2426"/>
      <c r="N610" s="2427"/>
      <c r="O610" s="2342">
        <f>Application!BX627</f>
        <v>32</v>
      </c>
      <c r="P610" s="2343"/>
      <c r="Q610" s="2343"/>
      <c r="R610" s="2343"/>
      <c r="S610" s="2344"/>
      <c r="T610" s="2342">
        <f>Application!DC628</f>
        <v>7</v>
      </c>
      <c r="U610" s="2343"/>
      <c r="V610" s="2343"/>
      <c r="W610" s="2343"/>
      <c r="X610" s="2344"/>
      <c r="Y610" s="2428">
        <f t="shared" si="8"/>
        <v>0.21875</v>
      </c>
      <c r="Z610" s="2429"/>
      <c r="AA610" s="2429"/>
      <c r="AB610" s="2429"/>
      <c r="AC610" s="2430"/>
      <c r="AD610" s="16"/>
      <c r="AF610" s="16"/>
      <c r="AG610" s="16"/>
      <c r="AH610" s="16"/>
      <c r="AI610" s="16"/>
      <c r="AJ610" s="16"/>
      <c r="AN610" s="1149"/>
      <c r="AO610" s="46"/>
      <c r="AP610" s="30"/>
      <c r="AQ610" s="30"/>
      <c r="AR610" s="30"/>
      <c r="AS610" s="30"/>
      <c r="AT610" s="30"/>
    </row>
    <row r="611" spans="1:60">
      <c r="D611" s="16"/>
      <c r="E611" s="16"/>
      <c r="F611" s="16"/>
      <c r="G611" s="16"/>
      <c r="H611" s="16"/>
      <c r="I611" s="16"/>
      <c r="J611" s="2425" t="s">
        <v>291</v>
      </c>
      <c r="K611" s="2426"/>
      <c r="L611" s="2426"/>
      <c r="M611" s="2426"/>
      <c r="N611" s="2427"/>
      <c r="O611" s="2342">
        <f>Application!BS627</f>
        <v>8</v>
      </c>
      <c r="P611" s="2343"/>
      <c r="Q611" s="2343"/>
      <c r="R611" s="2343"/>
      <c r="S611" s="2344"/>
      <c r="T611" s="2342">
        <f>Application!CX628</f>
        <v>8</v>
      </c>
      <c r="U611" s="2343"/>
      <c r="V611" s="2343"/>
      <c r="W611" s="2343"/>
      <c r="X611" s="2344"/>
      <c r="Y611" s="2428">
        <f t="shared" si="8"/>
        <v>1</v>
      </c>
      <c r="Z611" s="2429"/>
      <c r="AA611" s="2429"/>
      <c r="AB611" s="2429"/>
      <c r="AC611" s="2430"/>
      <c r="AD611" s="16"/>
      <c r="AF611" s="16"/>
      <c r="AG611" s="16"/>
      <c r="AH611" s="16"/>
      <c r="AI611" s="16"/>
      <c r="AJ611" s="16"/>
      <c r="AN611" s="1149"/>
      <c r="AQ611" s="30"/>
      <c r="AR611" s="30"/>
      <c r="AS611" s="30"/>
      <c r="AT611" s="30"/>
    </row>
    <row r="612" spans="1:60">
      <c r="D612" s="16"/>
      <c r="E612" s="16"/>
      <c r="F612" s="16"/>
      <c r="G612" s="16"/>
      <c r="H612" s="16"/>
      <c r="I612" s="16"/>
      <c r="J612" s="2425" t="s">
        <v>681</v>
      </c>
      <c r="K612" s="2426"/>
      <c r="L612" s="2426"/>
      <c r="M612" s="2426"/>
      <c r="N612" s="2427"/>
      <c r="O612" s="2342">
        <f>Application!BN627</f>
        <v>0</v>
      </c>
      <c r="P612" s="2343"/>
      <c r="Q612" s="2343"/>
      <c r="R612" s="2343"/>
      <c r="S612" s="2344"/>
      <c r="T612" s="2342">
        <f>Application!CS628</f>
        <v>0</v>
      </c>
      <c r="U612" s="2343"/>
      <c r="V612" s="2343"/>
      <c r="W612" s="2343"/>
      <c r="X612" s="2344"/>
      <c r="Y612" s="2428">
        <f t="shared" si="8"/>
        <v>0</v>
      </c>
      <c r="Z612" s="2429"/>
      <c r="AA612" s="2429"/>
      <c r="AB612" s="2429"/>
      <c r="AC612" s="2430"/>
      <c r="AD612" s="16"/>
      <c r="AF612" s="16"/>
      <c r="AG612" s="16"/>
      <c r="AH612" s="16"/>
      <c r="AI612" s="16"/>
      <c r="AJ612" s="16"/>
      <c r="AN612" s="1149"/>
      <c r="AQ612" s="30"/>
      <c r="AR612" s="30"/>
      <c r="AS612" s="30"/>
      <c r="AT612" s="30"/>
    </row>
    <row r="613" spans="1:60">
      <c r="D613" s="16"/>
      <c r="E613" s="16"/>
      <c r="F613" s="16"/>
      <c r="G613" s="16"/>
      <c r="H613" s="16"/>
      <c r="I613" s="16"/>
      <c r="J613" s="2569" t="s">
        <v>975</v>
      </c>
      <c r="K613" s="2570"/>
      <c r="L613" s="2570"/>
      <c r="M613" s="2570"/>
      <c r="N613" s="2571"/>
      <c r="O613" s="2566">
        <f>SUM(O607:S612)</f>
        <v>59</v>
      </c>
      <c r="P613" s="2567"/>
      <c r="Q613" s="2567"/>
      <c r="R613" s="2567"/>
      <c r="S613" s="2568"/>
      <c r="T613" s="2566">
        <f>SUM(T607:X612)</f>
        <v>17</v>
      </c>
      <c r="U613" s="2567"/>
      <c r="V613" s="2567"/>
      <c r="W613" s="2567"/>
      <c r="X613" s="2568"/>
      <c r="Y613" s="2522" t="s">
        <v>259</v>
      </c>
      <c r="Z613" s="2523"/>
      <c r="AA613" s="2523"/>
      <c r="AB613" s="2523"/>
      <c r="AC613" s="2524"/>
      <c r="AD613" s="16"/>
      <c r="AF613" s="16"/>
      <c r="AG613" s="16"/>
      <c r="AH613" s="16"/>
      <c r="AI613" s="16"/>
      <c r="AJ613" s="16"/>
      <c r="AN613" s="1149"/>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49"/>
      <c r="AO614" s="66"/>
      <c r="AP614" s="30"/>
      <c r="AQ614" s="30"/>
      <c r="AR614" s="30"/>
      <c r="AS614" s="30"/>
      <c r="AT614" s="30"/>
    </row>
    <row r="615" spans="1:60">
      <c r="A615" s="15"/>
      <c r="E615" s="16"/>
      <c r="F615" s="16"/>
      <c r="G615" s="16"/>
      <c r="H615" s="16"/>
      <c r="I615" s="16"/>
      <c r="AG615" s="16"/>
      <c r="AN615" s="1149"/>
      <c r="AR615" s="30"/>
      <c r="AS615" s="30"/>
      <c r="AT615" s="30"/>
    </row>
    <row r="616" spans="1:60">
      <c r="A616" s="1795" t="s">
        <v>1689</v>
      </c>
      <c r="B616" s="1796"/>
      <c r="C616" s="1796"/>
      <c r="D616" s="1796"/>
      <c r="E616" s="1796"/>
      <c r="F616" s="1796"/>
      <c r="G616" s="1796"/>
      <c r="H616" s="1796"/>
      <c r="I616" s="1796"/>
      <c r="J616" s="1796"/>
      <c r="K616" s="1796"/>
      <c r="L616" s="1796"/>
      <c r="M616" s="1796"/>
      <c r="N616" s="1796"/>
      <c r="O616" s="1796"/>
      <c r="P616" s="1796"/>
      <c r="Q616" s="1796"/>
      <c r="R616" s="1796"/>
      <c r="S616" s="1796"/>
      <c r="T616" s="1796"/>
      <c r="U616" s="1796"/>
      <c r="V616" s="1796"/>
      <c r="W616" s="1796"/>
      <c r="X616" s="1796"/>
      <c r="Y616" s="1796"/>
      <c r="Z616" s="1796"/>
      <c r="AA616" s="1796"/>
      <c r="AB616" s="1796"/>
      <c r="AC616" s="1796"/>
      <c r="AD616" s="1796"/>
      <c r="AE616" s="1796"/>
      <c r="AF616" s="1796"/>
      <c r="AG616" s="1796"/>
      <c r="AH616" s="1796"/>
      <c r="AI616" s="1797"/>
      <c r="AJ616" s="2558">
        <v>2</v>
      </c>
      <c r="AK616" s="2559"/>
      <c r="AN616" s="1149"/>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49"/>
      <c r="BD617" s="65"/>
      <c r="BE617" s="65"/>
      <c r="BF617" s="65"/>
      <c r="BG617" s="65"/>
      <c r="BH617" s="65"/>
    </row>
    <row r="618" spans="1:60">
      <c r="A618" s="2386" t="s">
        <v>197</v>
      </c>
      <c r="B618" s="2386"/>
      <c r="C618" s="2386"/>
      <c r="D618" s="2386"/>
      <c r="E618" s="2386"/>
      <c r="F618" s="2386"/>
      <c r="G618" s="2386"/>
      <c r="H618" s="2386"/>
      <c r="I618" s="2386"/>
      <c r="J618" s="2386"/>
      <c r="K618" s="2386"/>
      <c r="L618" s="2386"/>
      <c r="M618" s="2386"/>
      <c r="N618" s="2386"/>
      <c r="O618" s="2386"/>
      <c r="P618" s="2386"/>
      <c r="Q618" s="2386"/>
      <c r="R618" s="2386"/>
      <c r="S618" s="2386"/>
      <c r="T618" s="2386"/>
      <c r="U618" s="2386"/>
      <c r="V618" s="2386"/>
      <c r="W618" s="2386"/>
      <c r="X618" s="2386"/>
      <c r="Y618" s="2386"/>
      <c r="Z618" s="2386"/>
      <c r="AA618" s="2386"/>
      <c r="AB618" s="2386"/>
      <c r="AC618" s="2386"/>
      <c r="AD618" s="2386"/>
      <c r="AE618" s="2386"/>
      <c r="AF618" s="2386"/>
      <c r="AG618" s="2386"/>
      <c r="AH618" s="2386"/>
      <c r="AI618" s="2386"/>
      <c r="AJ618" s="2386"/>
      <c r="AK618" s="2360">
        <f>IF($AC$592=0,0,$AC$592+$AJ$616)</f>
        <v>64.5</v>
      </c>
      <c r="AL618" s="2361"/>
      <c r="AM618" s="2362"/>
      <c r="AN618" s="1149"/>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49"/>
      <c r="AR619" s="30"/>
      <c r="AS619" s="30"/>
      <c r="AT619" s="30"/>
    </row>
    <row r="620" spans="1:60">
      <c r="A620" s="106" t="s">
        <v>2230</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49"/>
      <c r="AO620" s="46"/>
      <c r="AR620" s="30"/>
      <c r="AS620" s="30"/>
      <c r="AT620" s="30"/>
    </row>
    <row r="621" spans="1:60" ht="13.7" customHeight="1">
      <c r="A621" s="26"/>
      <c r="AI621" s="27"/>
      <c r="AJ621" s="46"/>
      <c r="AK621" s="153"/>
      <c r="AL621" s="153"/>
      <c r="AM621" s="153"/>
      <c r="AN621" s="1149"/>
      <c r="AO621" s="46"/>
      <c r="AR621" s="30"/>
      <c r="AS621" s="30"/>
      <c r="AT621" s="30"/>
    </row>
    <row r="622" spans="1:60" ht="13.7" customHeight="1">
      <c r="A622" s="29"/>
      <c r="B622" s="2565" t="s">
        <v>1690</v>
      </c>
      <c r="C622" s="2565"/>
      <c r="D622" s="2565"/>
      <c r="E622" s="2565"/>
      <c r="F622" s="2565"/>
      <c r="G622" s="2565"/>
      <c r="H622" s="2565"/>
      <c r="I622" s="2565"/>
      <c r="J622" s="2565"/>
      <c r="K622" s="2565"/>
      <c r="L622" s="2565"/>
      <c r="M622" s="2565"/>
      <c r="N622" s="2565"/>
      <c r="O622" s="2565"/>
      <c r="P622" s="2565"/>
      <c r="Q622" s="2565"/>
      <c r="R622" s="2565"/>
      <c r="S622" s="2565"/>
      <c r="T622" s="2565"/>
      <c r="U622" s="2565"/>
      <c r="V622" s="2565"/>
      <c r="W622" s="2565"/>
      <c r="X622" s="2565"/>
      <c r="Y622" s="2565"/>
      <c r="Z622" s="2565"/>
      <c r="AA622" s="2565"/>
      <c r="AB622" s="2565"/>
      <c r="AC622" s="2565"/>
      <c r="AD622" s="2565"/>
      <c r="AE622" s="2565"/>
      <c r="AF622" s="2565"/>
      <c r="AG622" s="2565"/>
      <c r="AH622" s="2565"/>
      <c r="AI622" s="27"/>
      <c r="AJ622" s="46"/>
      <c r="AK622" s="153"/>
      <c r="AL622" s="153"/>
      <c r="AM622" s="153"/>
      <c r="AN622" s="1149"/>
      <c r="AO622" s="66"/>
      <c r="AP622" s="30"/>
      <c r="AQ622" s="30"/>
      <c r="AR622" s="30"/>
      <c r="AS622" s="30"/>
      <c r="AT622" s="30"/>
    </row>
    <row r="623" spans="1:60" ht="22.7" customHeight="1">
      <c r="A623" s="28"/>
      <c r="B623" s="2565"/>
      <c r="C623" s="2565"/>
      <c r="D623" s="2565"/>
      <c r="E623" s="2565"/>
      <c r="F623" s="2565"/>
      <c r="G623" s="2565"/>
      <c r="H623" s="2565"/>
      <c r="I623" s="2565"/>
      <c r="J623" s="2565"/>
      <c r="K623" s="2565"/>
      <c r="L623" s="2565"/>
      <c r="M623" s="2565"/>
      <c r="N623" s="2565"/>
      <c r="O623" s="2565"/>
      <c r="P623" s="2565"/>
      <c r="Q623" s="2565"/>
      <c r="R623" s="2565"/>
      <c r="S623" s="2565"/>
      <c r="T623" s="2565"/>
      <c r="U623" s="2565"/>
      <c r="V623" s="2565"/>
      <c r="W623" s="2565"/>
      <c r="X623" s="2565"/>
      <c r="Y623" s="2565"/>
      <c r="Z623" s="2565"/>
      <c r="AA623" s="2565"/>
      <c r="AB623" s="2565"/>
      <c r="AC623" s="2565"/>
      <c r="AD623" s="2565"/>
      <c r="AE623" s="2565"/>
      <c r="AF623" s="2565"/>
      <c r="AG623" s="2565"/>
      <c r="AH623" s="2565"/>
      <c r="AI623" s="46"/>
      <c r="AJ623" s="46"/>
      <c r="AK623" s="46"/>
      <c r="AL623" s="46"/>
      <c r="AM623" s="153"/>
      <c r="AN623" s="1149"/>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299"/>
      <c r="AM624" s="153"/>
      <c r="AN624" s="1149"/>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49"/>
      <c r="AS625" s="30"/>
      <c r="AT625" s="30"/>
    </row>
    <row r="626" spans="1:46" ht="13.7" customHeight="1">
      <c r="A626" s="28"/>
      <c r="B626" s="203"/>
      <c r="C626" s="1694" t="s">
        <v>119</v>
      </c>
      <c r="D626" s="1694"/>
      <c r="E626" s="293"/>
      <c r="F626" s="2532" t="s">
        <v>2320</v>
      </c>
      <c r="G626" s="2533"/>
      <c r="H626" s="2533"/>
      <c r="I626" s="2533"/>
      <c r="J626" s="2533"/>
      <c r="K626" s="2533"/>
      <c r="L626" s="2533"/>
      <c r="M626" s="2533"/>
      <c r="N626" s="2533"/>
      <c r="O626" s="2533"/>
      <c r="P626" s="2533"/>
      <c r="Q626" s="2533"/>
      <c r="R626" s="2533"/>
      <c r="S626" s="2533"/>
      <c r="T626" s="2533"/>
      <c r="U626" s="2533"/>
      <c r="V626" s="2533"/>
      <c r="W626" s="2533"/>
      <c r="X626" s="2533"/>
      <c r="Y626" s="2533"/>
      <c r="Z626" s="2533"/>
      <c r="AA626" s="2533"/>
      <c r="AB626" s="2533"/>
      <c r="AC626" s="2533"/>
      <c r="AD626" s="2534"/>
      <c r="AE626" s="46"/>
      <c r="AF626" s="265"/>
      <c r="AG626" s="2525" t="s">
        <v>1042</v>
      </c>
      <c r="AH626" s="2525"/>
      <c r="AI626" s="2525"/>
      <c r="AJ626" s="2525"/>
      <c r="AK626" s="153"/>
      <c r="AL626" s="153"/>
      <c r="AM626" s="153"/>
      <c r="AN626" s="1149"/>
      <c r="AO626" s="46"/>
      <c r="AS626" s="30"/>
      <c r="AT626" s="30"/>
    </row>
    <row r="627" spans="1:46" ht="13.7" customHeight="1">
      <c r="A627" s="28"/>
      <c r="B627" s="203"/>
      <c r="C627" s="77"/>
      <c r="D627" s="46"/>
      <c r="E627" s="293"/>
      <c r="F627" s="2535"/>
      <c r="G627" s="2536"/>
      <c r="H627" s="2536"/>
      <c r="I627" s="2536"/>
      <c r="J627" s="2536"/>
      <c r="K627" s="2536"/>
      <c r="L627" s="2536"/>
      <c r="M627" s="2536"/>
      <c r="N627" s="2536"/>
      <c r="O627" s="2536"/>
      <c r="P627" s="2536"/>
      <c r="Q627" s="2536"/>
      <c r="R627" s="2536"/>
      <c r="S627" s="2536"/>
      <c r="T627" s="2536"/>
      <c r="U627" s="2536"/>
      <c r="V627" s="2536"/>
      <c r="W627" s="2536"/>
      <c r="X627" s="2536"/>
      <c r="Y627" s="2536"/>
      <c r="Z627" s="2536"/>
      <c r="AA627" s="2536"/>
      <c r="AB627" s="2536"/>
      <c r="AC627" s="2536"/>
      <c r="AD627" s="2537"/>
      <c r="AE627" s="46"/>
      <c r="AF627" s="265"/>
      <c r="AG627" s="265"/>
      <c r="AH627" s="265"/>
      <c r="AI627" s="265"/>
      <c r="AJ627" s="46"/>
      <c r="AK627" s="153"/>
      <c r="AL627" s="153"/>
      <c r="AM627" s="153"/>
      <c r="AN627" s="1149"/>
      <c r="AO627" s="46"/>
      <c r="AS627" s="30"/>
      <c r="AT627" s="30"/>
    </row>
    <row r="628" spans="1:46">
      <c r="A628" s="28"/>
      <c r="B628" s="203"/>
      <c r="C628" s="77"/>
      <c r="D628" s="46"/>
      <c r="E628" s="293"/>
      <c r="F628" s="2538"/>
      <c r="G628" s="2539"/>
      <c r="H628" s="2539"/>
      <c r="I628" s="2539"/>
      <c r="J628" s="2539"/>
      <c r="K628" s="2539"/>
      <c r="L628" s="2539"/>
      <c r="M628" s="2539"/>
      <c r="N628" s="2539"/>
      <c r="O628" s="2539"/>
      <c r="P628" s="2539"/>
      <c r="Q628" s="2539"/>
      <c r="R628" s="2539"/>
      <c r="S628" s="2539"/>
      <c r="T628" s="2539"/>
      <c r="U628" s="2539"/>
      <c r="V628" s="2539"/>
      <c r="W628" s="2539"/>
      <c r="X628" s="2539"/>
      <c r="Y628" s="2539"/>
      <c r="Z628" s="2539"/>
      <c r="AA628" s="2539"/>
      <c r="AB628" s="2539"/>
      <c r="AC628" s="2539"/>
      <c r="AD628" s="2540"/>
      <c r="AE628" s="46"/>
      <c r="AF628" s="265"/>
      <c r="AG628" s="265"/>
      <c r="AH628" s="265"/>
      <c r="AI628" s="265"/>
      <c r="AJ628" s="46"/>
      <c r="AK628" s="153"/>
      <c r="AL628" s="153"/>
      <c r="AM628" s="153"/>
      <c r="AN628" s="1149"/>
      <c r="AO628" s="46"/>
      <c r="AP628" s="64"/>
      <c r="AS628" s="30"/>
      <c r="AT628" s="30"/>
    </row>
    <row r="629" spans="1:46">
      <c r="A629" s="28"/>
      <c r="B629" s="203"/>
      <c r="C629" s="77"/>
      <c r="D629" s="46"/>
      <c r="E629" s="293"/>
      <c r="F629" s="1418"/>
      <c r="G629" s="1418"/>
      <c r="H629" s="1418"/>
      <c r="I629" s="1418"/>
      <c r="J629" s="1418"/>
      <c r="K629" s="1418"/>
      <c r="L629" s="1418"/>
      <c r="M629" s="1418"/>
      <c r="N629" s="1418"/>
      <c r="O629" s="1418"/>
      <c r="P629" s="1418"/>
      <c r="Q629" s="1418"/>
      <c r="R629" s="1418"/>
      <c r="S629" s="1418"/>
      <c r="T629" s="1418"/>
      <c r="U629" s="1418"/>
      <c r="V629" s="1418"/>
      <c r="W629" s="1418"/>
      <c r="X629" s="1418"/>
      <c r="Y629" s="1418"/>
      <c r="Z629" s="1418"/>
      <c r="AA629" s="1418"/>
      <c r="AB629" s="1418"/>
      <c r="AC629" s="1418"/>
      <c r="AD629" s="1418"/>
      <c r="AE629" s="162"/>
      <c r="AF629" s="265"/>
      <c r="AG629" s="265"/>
      <c r="AH629" s="265"/>
      <c r="AI629" s="265"/>
      <c r="AJ629" s="46"/>
      <c r="AK629" s="153"/>
      <c r="AL629" s="153"/>
      <c r="AM629" s="153"/>
      <c r="AN629" s="1149"/>
      <c r="AS629" s="30"/>
      <c r="AT629" s="30"/>
    </row>
    <row r="630" spans="1:46" ht="13.7" customHeight="1">
      <c r="A630" s="28"/>
      <c r="B630" s="2565" t="s">
        <v>2075</v>
      </c>
      <c r="C630" s="2565"/>
      <c r="D630" s="2565"/>
      <c r="E630" s="2565"/>
      <c r="F630" s="2565"/>
      <c r="G630" s="2565"/>
      <c r="H630" s="2565"/>
      <c r="I630" s="2565"/>
      <c r="J630" s="2565"/>
      <c r="K630" s="2565"/>
      <c r="L630" s="2565"/>
      <c r="M630" s="2565"/>
      <c r="N630" s="2565"/>
      <c r="O630" s="2565"/>
      <c r="P630" s="2565"/>
      <c r="Q630" s="2565"/>
      <c r="R630" s="2565"/>
      <c r="S630" s="2565"/>
      <c r="T630" s="2565"/>
      <c r="U630" s="2565"/>
      <c r="V630" s="2565"/>
      <c r="W630" s="2565"/>
      <c r="X630" s="2565"/>
      <c r="Y630" s="2565"/>
      <c r="Z630" s="2565"/>
      <c r="AA630" s="2565"/>
      <c r="AB630" s="2565"/>
      <c r="AC630" s="2565"/>
      <c r="AD630" s="2565"/>
      <c r="AE630" s="2565"/>
      <c r="AF630" s="2565"/>
      <c r="AG630" s="2565"/>
      <c r="AH630" s="2565"/>
      <c r="AI630" s="265"/>
      <c r="AJ630" s="46"/>
      <c r="AK630" s="153"/>
      <c r="AL630" s="153"/>
      <c r="AM630" s="153"/>
    </row>
    <row r="631" spans="1:46" ht="13.7" customHeight="1">
      <c r="B631" s="2565"/>
      <c r="C631" s="2565"/>
      <c r="D631" s="2565"/>
      <c r="E631" s="2565"/>
      <c r="F631" s="2565"/>
      <c r="G631" s="2565"/>
      <c r="H631" s="2565"/>
      <c r="I631" s="2565"/>
      <c r="J631" s="2565"/>
      <c r="K631" s="2565"/>
      <c r="L631" s="2565"/>
      <c r="M631" s="2565"/>
      <c r="N631" s="2565"/>
      <c r="O631" s="2565"/>
      <c r="P631" s="2565"/>
      <c r="Q631" s="2565"/>
      <c r="R631" s="2565"/>
      <c r="S631" s="2565"/>
      <c r="T631" s="2565"/>
      <c r="U631" s="2565"/>
      <c r="V631" s="2565"/>
      <c r="W631" s="2565"/>
      <c r="X631" s="2565"/>
      <c r="Y631" s="2565"/>
      <c r="Z631" s="2565"/>
      <c r="AA631" s="2565"/>
      <c r="AB631" s="2565"/>
      <c r="AC631" s="2565"/>
      <c r="AD631" s="2565"/>
      <c r="AE631" s="2565"/>
      <c r="AF631" s="2565"/>
      <c r="AG631" s="2565"/>
      <c r="AH631" s="2565"/>
      <c r="AI631" s="245"/>
      <c r="AJ631" s="46"/>
      <c r="AK631" s="153"/>
      <c r="AL631" s="153"/>
      <c r="AM631" s="153"/>
    </row>
    <row r="632" spans="1:46" ht="13.7" customHeight="1">
      <c r="A632" s="263"/>
      <c r="B632" s="2565"/>
      <c r="C632" s="2565"/>
      <c r="D632" s="2565"/>
      <c r="E632" s="2565"/>
      <c r="F632" s="2565"/>
      <c r="G632" s="2565"/>
      <c r="H632" s="2565"/>
      <c r="I632" s="2565"/>
      <c r="J632" s="2565"/>
      <c r="K632" s="2565"/>
      <c r="L632" s="2565"/>
      <c r="M632" s="2565"/>
      <c r="N632" s="2565"/>
      <c r="O632" s="2565"/>
      <c r="P632" s="2565"/>
      <c r="Q632" s="2565"/>
      <c r="R632" s="2565"/>
      <c r="S632" s="2565"/>
      <c r="T632" s="2565"/>
      <c r="U632" s="2565"/>
      <c r="V632" s="2565"/>
      <c r="W632" s="2565"/>
      <c r="X632" s="2565"/>
      <c r="Y632" s="2565"/>
      <c r="Z632" s="2565"/>
      <c r="AA632" s="2565"/>
      <c r="AB632" s="2565"/>
      <c r="AC632" s="2565"/>
      <c r="AD632" s="2565"/>
      <c r="AE632" s="2565"/>
      <c r="AF632" s="2565"/>
      <c r="AG632" s="2565"/>
      <c r="AH632" s="2565"/>
      <c r="AI632" s="245"/>
      <c r="AJ632" s="46"/>
      <c r="AK632" s="153"/>
      <c r="AL632" s="153"/>
      <c r="AM632" s="153"/>
      <c r="AN632" s="124"/>
    </row>
    <row r="633" spans="1:46" ht="13.7" customHeight="1">
      <c r="A633" s="46"/>
      <c r="B633" s="2565"/>
      <c r="C633" s="2565"/>
      <c r="D633" s="2565"/>
      <c r="E633" s="2565"/>
      <c r="F633" s="2565"/>
      <c r="G633" s="2565"/>
      <c r="H633" s="2565"/>
      <c r="I633" s="2565"/>
      <c r="J633" s="2565"/>
      <c r="K633" s="2565"/>
      <c r="L633" s="2565"/>
      <c r="M633" s="2565"/>
      <c r="N633" s="2565"/>
      <c r="O633" s="2565"/>
      <c r="P633" s="2565"/>
      <c r="Q633" s="2565"/>
      <c r="R633" s="2565"/>
      <c r="S633" s="2565"/>
      <c r="T633" s="2565"/>
      <c r="U633" s="2565"/>
      <c r="V633" s="2565"/>
      <c r="W633" s="2565"/>
      <c r="X633" s="2565"/>
      <c r="Y633" s="2565"/>
      <c r="Z633" s="2565"/>
      <c r="AA633" s="2565"/>
      <c r="AB633" s="2565"/>
      <c r="AC633" s="2565"/>
      <c r="AD633" s="2565"/>
      <c r="AE633" s="2565"/>
      <c r="AF633" s="2565"/>
      <c r="AG633" s="2565"/>
      <c r="AH633" s="2565"/>
      <c r="AI633" s="245"/>
      <c r="AJ633" s="46"/>
      <c r="AK633" s="153"/>
      <c r="AL633" s="153"/>
      <c r="AM633" s="153"/>
      <c r="AN633" s="124"/>
    </row>
    <row r="634" spans="1:46" ht="13.7" customHeight="1">
      <c r="A634" s="46"/>
      <c r="B634" s="2565"/>
      <c r="C634" s="2565"/>
      <c r="D634" s="2565"/>
      <c r="E634" s="2565"/>
      <c r="F634" s="2565"/>
      <c r="G634" s="2565"/>
      <c r="H634" s="2565"/>
      <c r="I634" s="2565"/>
      <c r="J634" s="2565"/>
      <c r="K634" s="2565"/>
      <c r="L634" s="2565"/>
      <c r="M634" s="2565"/>
      <c r="N634" s="2565"/>
      <c r="O634" s="2565"/>
      <c r="P634" s="2565"/>
      <c r="Q634" s="2565"/>
      <c r="R634" s="2565"/>
      <c r="S634" s="2565"/>
      <c r="T634" s="2565"/>
      <c r="U634" s="2565"/>
      <c r="V634" s="2565"/>
      <c r="W634" s="2565"/>
      <c r="X634" s="2565"/>
      <c r="Y634" s="2565"/>
      <c r="Z634" s="2565"/>
      <c r="AA634" s="2565"/>
      <c r="AB634" s="2565"/>
      <c r="AC634" s="2565"/>
      <c r="AD634" s="2565"/>
      <c r="AE634" s="2565"/>
      <c r="AF634" s="2565"/>
      <c r="AG634" s="2565"/>
      <c r="AH634" s="2565"/>
      <c r="AI634" s="245"/>
      <c r="AJ634" s="46"/>
      <c r="AK634" s="153"/>
      <c r="AL634" s="153"/>
      <c r="AM634" s="153"/>
      <c r="AN634" s="124"/>
    </row>
    <row r="635" spans="1:46" ht="13.7" customHeight="1">
      <c r="A635" s="263"/>
      <c r="B635" s="2565"/>
      <c r="C635" s="2565"/>
      <c r="D635" s="2565"/>
      <c r="E635" s="2565"/>
      <c r="F635" s="2565"/>
      <c r="G635" s="2565"/>
      <c r="H635" s="2565"/>
      <c r="I635" s="2565"/>
      <c r="J635" s="2565"/>
      <c r="K635" s="2565"/>
      <c r="L635" s="2565"/>
      <c r="M635" s="2565"/>
      <c r="N635" s="2565"/>
      <c r="O635" s="2565"/>
      <c r="P635" s="2565"/>
      <c r="Q635" s="2565"/>
      <c r="R635" s="2565"/>
      <c r="S635" s="2565"/>
      <c r="T635" s="2565"/>
      <c r="U635" s="2565"/>
      <c r="V635" s="2565"/>
      <c r="W635" s="2565"/>
      <c r="X635" s="2565"/>
      <c r="Y635" s="2565"/>
      <c r="Z635" s="2565"/>
      <c r="AA635" s="2565"/>
      <c r="AB635" s="2565"/>
      <c r="AC635" s="2565"/>
      <c r="AD635" s="2565"/>
      <c r="AE635" s="2565"/>
      <c r="AF635" s="2565"/>
      <c r="AG635" s="2565"/>
      <c r="AH635" s="2565"/>
      <c r="AI635" s="245"/>
      <c r="AJ635" s="46"/>
      <c r="AK635" s="153"/>
      <c r="AL635" s="153"/>
      <c r="AM635" s="153"/>
      <c r="AN635" s="124"/>
    </row>
    <row r="636" spans="1:46" ht="13.7" customHeight="1">
      <c r="A636" s="263"/>
      <c r="B636" s="2565"/>
      <c r="C636" s="2565"/>
      <c r="D636" s="2565"/>
      <c r="E636" s="2565"/>
      <c r="F636" s="2565"/>
      <c r="G636" s="2565"/>
      <c r="H636" s="2565"/>
      <c r="I636" s="2565"/>
      <c r="J636" s="2565"/>
      <c r="K636" s="2565"/>
      <c r="L636" s="2565"/>
      <c r="M636" s="2565"/>
      <c r="N636" s="2565"/>
      <c r="O636" s="2565"/>
      <c r="P636" s="2565"/>
      <c r="Q636" s="2565"/>
      <c r="R636" s="2565"/>
      <c r="S636" s="2565"/>
      <c r="T636" s="2565"/>
      <c r="U636" s="2565"/>
      <c r="V636" s="2565"/>
      <c r="W636" s="2565"/>
      <c r="X636" s="2565"/>
      <c r="Y636" s="2565"/>
      <c r="Z636" s="2565"/>
      <c r="AA636" s="2565"/>
      <c r="AB636" s="2565"/>
      <c r="AC636" s="2565"/>
      <c r="AD636" s="2565"/>
      <c r="AE636" s="2565"/>
      <c r="AF636" s="2565"/>
      <c r="AG636" s="2565"/>
      <c r="AH636" s="2565"/>
      <c r="AI636" s="245"/>
      <c r="AJ636" s="46"/>
      <c r="AK636" s="153"/>
      <c r="AL636" s="153"/>
      <c r="AM636" s="153"/>
      <c r="AN636" s="124"/>
    </row>
    <row r="637" spans="1:46" ht="13.7" customHeight="1">
      <c r="A637" s="263"/>
      <c r="B637" s="2565"/>
      <c r="C637" s="2565"/>
      <c r="D637" s="2565"/>
      <c r="E637" s="2565"/>
      <c r="F637" s="2565"/>
      <c r="G637" s="2565"/>
      <c r="H637" s="2565"/>
      <c r="I637" s="2565"/>
      <c r="J637" s="2565"/>
      <c r="K637" s="2565"/>
      <c r="L637" s="2565"/>
      <c r="M637" s="2565"/>
      <c r="N637" s="2565"/>
      <c r="O637" s="2565"/>
      <c r="P637" s="2565"/>
      <c r="Q637" s="2565"/>
      <c r="R637" s="2565"/>
      <c r="S637" s="2565"/>
      <c r="T637" s="2565"/>
      <c r="U637" s="2565"/>
      <c r="V637" s="2565"/>
      <c r="W637" s="2565"/>
      <c r="X637" s="2565"/>
      <c r="Y637" s="2565"/>
      <c r="Z637" s="2565"/>
      <c r="AA637" s="2565"/>
      <c r="AB637" s="2565"/>
      <c r="AC637" s="2565"/>
      <c r="AD637" s="2565"/>
      <c r="AE637" s="2565"/>
      <c r="AF637" s="2565"/>
      <c r="AG637" s="2565"/>
      <c r="AH637" s="2565"/>
      <c r="AI637" s="245"/>
      <c r="AJ637" s="46"/>
      <c r="AK637" s="153"/>
      <c r="AL637" s="153"/>
      <c r="AM637" s="153"/>
      <c r="AN637" s="124"/>
    </row>
    <row r="638" spans="1:46" ht="13.7" customHeight="1">
      <c r="A638" s="263"/>
      <c r="B638" s="2565"/>
      <c r="C638" s="2565"/>
      <c r="D638" s="2565"/>
      <c r="E638" s="2565"/>
      <c r="F638" s="2565"/>
      <c r="G638" s="2565"/>
      <c r="H638" s="2565"/>
      <c r="I638" s="2565"/>
      <c r="J638" s="2565"/>
      <c r="K638" s="2565"/>
      <c r="L638" s="2565"/>
      <c r="M638" s="2565"/>
      <c r="N638" s="2565"/>
      <c r="O638" s="2565"/>
      <c r="P638" s="2565"/>
      <c r="Q638" s="2565"/>
      <c r="R638" s="2565"/>
      <c r="S638" s="2565"/>
      <c r="T638" s="2565"/>
      <c r="U638" s="2565"/>
      <c r="V638" s="2565"/>
      <c r="W638" s="2565"/>
      <c r="X638" s="2565"/>
      <c r="Y638" s="2565"/>
      <c r="Z638" s="2565"/>
      <c r="AA638" s="2565"/>
      <c r="AB638" s="2565"/>
      <c r="AC638" s="2565"/>
      <c r="AD638" s="2565"/>
      <c r="AE638" s="2565"/>
      <c r="AF638" s="2565"/>
      <c r="AG638" s="2565"/>
      <c r="AH638" s="2565"/>
      <c r="AI638" s="245"/>
      <c r="AJ638" s="46"/>
      <c r="AK638" s="153"/>
      <c r="AL638" s="153"/>
      <c r="AM638" s="153"/>
      <c r="AN638" s="124"/>
    </row>
    <row r="639" spans="1:46">
      <c r="A639" s="263"/>
      <c r="B639" s="2565"/>
      <c r="C639" s="2565"/>
      <c r="D639" s="2565"/>
      <c r="E639" s="2565"/>
      <c r="F639" s="2565"/>
      <c r="G639" s="2565"/>
      <c r="H639" s="2565"/>
      <c r="I639" s="2565"/>
      <c r="J639" s="2565"/>
      <c r="K639" s="2565"/>
      <c r="L639" s="2565"/>
      <c r="M639" s="2565"/>
      <c r="N639" s="2565"/>
      <c r="O639" s="2565"/>
      <c r="P639" s="2565"/>
      <c r="Q639" s="2565"/>
      <c r="R639" s="2565"/>
      <c r="S639" s="2565"/>
      <c r="T639" s="2565"/>
      <c r="U639" s="2565"/>
      <c r="V639" s="2565"/>
      <c r="W639" s="2565"/>
      <c r="X639" s="2565"/>
      <c r="Y639" s="2565"/>
      <c r="Z639" s="2565"/>
      <c r="AA639" s="2565"/>
      <c r="AB639" s="2565"/>
      <c r="AC639" s="2565"/>
      <c r="AD639" s="2565"/>
      <c r="AE639" s="2565"/>
      <c r="AF639" s="2565"/>
      <c r="AG639" s="2565"/>
      <c r="AH639" s="2565"/>
      <c r="AI639" s="245"/>
      <c r="AJ639" s="46"/>
      <c r="AK639" s="153"/>
      <c r="AL639" s="153"/>
      <c r="AM639" s="153"/>
      <c r="AN639" s="124"/>
    </row>
    <row r="640" spans="1:46">
      <c r="A640" s="263"/>
      <c r="B640" s="2565"/>
      <c r="C640" s="2565"/>
      <c r="D640" s="2565"/>
      <c r="E640" s="2565"/>
      <c r="F640" s="2565"/>
      <c r="G640" s="2565"/>
      <c r="H640" s="2565"/>
      <c r="I640" s="2565"/>
      <c r="J640" s="2565"/>
      <c r="K640" s="2565"/>
      <c r="L640" s="2565"/>
      <c r="M640" s="2565"/>
      <c r="N640" s="2565"/>
      <c r="O640" s="2565"/>
      <c r="P640" s="2565"/>
      <c r="Q640" s="2565"/>
      <c r="R640" s="2565"/>
      <c r="S640" s="2565"/>
      <c r="T640" s="2565"/>
      <c r="U640" s="2565"/>
      <c r="V640" s="2565"/>
      <c r="W640" s="2565"/>
      <c r="X640" s="2565"/>
      <c r="Y640" s="2565"/>
      <c r="Z640" s="2565"/>
      <c r="AA640" s="2565"/>
      <c r="AB640" s="2565"/>
      <c r="AC640" s="2565"/>
      <c r="AD640" s="2565"/>
      <c r="AE640" s="2565"/>
      <c r="AF640" s="2565"/>
      <c r="AG640" s="2565"/>
      <c r="AH640" s="2565"/>
      <c r="AI640" s="245"/>
      <c r="AJ640" s="46"/>
      <c r="AK640" s="153"/>
      <c r="AL640" s="153"/>
      <c r="AM640" s="153"/>
      <c r="AN640" s="124"/>
    </row>
    <row r="641" spans="1:60">
      <c r="A641" s="263"/>
      <c r="B641" s="2565"/>
      <c r="C641" s="2565"/>
      <c r="D641" s="2565"/>
      <c r="E641" s="2565"/>
      <c r="F641" s="2565"/>
      <c r="G641" s="2565"/>
      <c r="H641" s="2565"/>
      <c r="I641" s="2565"/>
      <c r="J641" s="2565"/>
      <c r="K641" s="2565"/>
      <c r="L641" s="2565"/>
      <c r="M641" s="2565"/>
      <c r="N641" s="2565"/>
      <c r="O641" s="2565"/>
      <c r="P641" s="2565"/>
      <c r="Q641" s="2565"/>
      <c r="R641" s="2565"/>
      <c r="S641" s="2565"/>
      <c r="T641" s="2565"/>
      <c r="U641" s="2565"/>
      <c r="V641" s="2565"/>
      <c r="W641" s="2565"/>
      <c r="X641" s="2565"/>
      <c r="Y641" s="2565"/>
      <c r="Z641" s="2565"/>
      <c r="AA641" s="2565"/>
      <c r="AB641" s="2565"/>
      <c r="AC641" s="2565"/>
      <c r="AD641" s="2565"/>
      <c r="AE641" s="2565"/>
      <c r="AF641" s="2565"/>
      <c r="AG641" s="2565"/>
      <c r="AH641" s="2565"/>
      <c r="AI641" s="266"/>
      <c r="AJ641" s="46"/>
      <c r="AK641" s="153"/>
      <c r="AL641" s="153"/>
      <c r="AM641" s="153"/>
      <c r="AN641" s="124"/>
    </row>
    <row r="642" spans="1:60" s="1036" customFormat="1" ht="12.6" customHeight="1">
      <c r="A642" s="144"/>
      <c r="B642" s="977"/>
      <c r="C642" s="977"/>
      <c r="D642" s="977"/>
      <c r="E642" s="977"/>
      <c r="F642" s="977"/>
      <c r="G642" s="977"/>
      <c r="H642" s="977"/>
      <c r="I642" s="977"/>
      <c r="J642" s="977"/>
      <c r="K642" s="977"/>
      <c r="L642" s="977"/>
      <c r="M642" s="977"/>
      <c r="N642" s="977"/>
      <c r="O642" s="977"/>
      <c r="P642" s="977"/>
      <c r="Q642" s="977"/>
      <c r="R642" s="977"/>
      <c r="S642" s="977"/>
      <c r="T642" s="977"/>
      <c r="U642" s="977"/>
      <c r="V642" s="977"/>
      <c r="W642" s="977"/>
      <c r="X642" s="977"/>
      <c r="Y642" s="977"/>
      <c r="Z642" s="977"/>
      <c r="AA642" s="977"/>
      <c r="AB642" s="977"/>
      <c r="AC642" s="977"/>
      <c r="AD642" s="977"/>
      <c r="AE642" s="977"/>
      <c r="AF642" s="977"/>
      <c r="AG642" s="977"/>
      <c r="AH642" s="977"/>
      <c r="AI642" s="163"/>
      <c r="AJ642" s="37"/>
      <c r="AK642" s="144"/>
      <c r="AL642" s="144"/>
      <c r="AM642" s="144"/>
      <c r="AN642" s="1150"/>
      <c r="BD642" s="1038"/>
      <c r="BE642" s="1038"/>
      <c r="BF642" s="1038"/>
      <c r="BG642" s="1038"/>
      <c r="BH642" s="1038"/>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7" t="s">
        <v>198</v>
      </c>
      <c r="AK643" s="2360">
        <f>IF($C$626="yes",10,0)</f>
        <v>10</v>
      </c>
      <c r="AL643" s="2361"/>
      <c r="AM643" s="2362"/>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2231</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397</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3"/>
      <c r="AR647" s="1"/>
      <c r="AS647" s="1"/>
      <c r="AT647" s="1"/>
      <c r="AU647" s="1"/>
      <c r="AV647" s="1034"/>
      <c r="AW647" s="1034"/>
      <c r="AX647" s="125"/>
      <c r="AY647" s="125"/>
      <c r="AZ647" s="125"/>
      <c r="BA647" s="125"/>
    </row>
    <row r="648" spans="1:60">
      <c r="C648" s="1694" t="s">
        <v>119</v>
      </c>
      <c r="D648" s="1694"/>
      <c r="E648" s="293" t="s">
        <v>641</v>
      </c>
      <c r="F648" s="27" t="s">
        <v>2003</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2</v>
      </c>
      <c r="AQ648" s="1033"/>
      <c r="AR648" s="1"/>
      <c r="AS648" s="1"/>
      <c r="AT648" s="1"/>
      <c r="AU648" s="1"/>
      <c r="AV648" s="1034"/>
      <c r="AW648" s="1034"/>
      <c r="AX648" s="125"/>
      <c r="AY648" s="125"/>
      <c r="AZ648" s="125"/>
      <c r="BA648" s="125"/>
    </row>
    <row r="649" spans="1:60">
      <c r="A649" s="207"/>
      <c r="B649" s="203"/>
      <c r="F649" s="27" t="s">
        <v>2004</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4"/>
      <c r="AW649" s="1034"/>
      <c r="AX649" s="125"/>
      <c r="AY649" s="125"/>
      <c r="AZ649" s="125"/>
      <c r="BA649" s="125"/>
    </row>
    <row r="650" spans="1:60">
      <c r="A650" s="28"/>
      <c r="B650" s="27"/>
      <c r="C650" s="46"/>
      <c r="D650" s="27"/>
      <c r="E650" s="46"/>
      <c r="F650" s="27" t="s">
        <v>2005</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34"/>
      <c r="AW650" s="1034"/>
      <c r="AX650" s="125"/>
      <c r="AY650" s="125"/>
      <c r="AZ650" s="125"/>
      <c r="BA650" s="125"/>
    </row>
    <row r="651" spans="1:60">
      <c r="A651" s="28"/>
      <c r="B651" s="27"/>
      <c r="C651" s="27"/>
      <c r="D651" s="27"/>
      <c r="E651" s="27"/>
      <c r="F651" s="27" t="s">
        <v>2006</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4"/>
      <c r="AW651" s="1034"/>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694" t="s">
        <v>136</v>
      </c>
      <c r="D653" s="1694"/>
      <c r="E653" s="293" t="s">
        <v>214</v>
      </c>
      <c r="F653" s="27" t="s">
        <v>1285</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51"/>
      <c r="AO653" s="46">
        <f>IF($C$668="yes",1,0)</f>
        <v>0</v>
      </c>
    </row>
    <row r="654" spans="1:60">
      <c r="A654" s="28"/>
      <c r="B654" s="27"/>
      <c r="C654" s="46"/>
      <c r="D654" s="27"/>
      <c r="E654" s="46"/>
      <c r="F654" s="27" t="s">
        <v>1287</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7" t="s">
        <v>356</v>
      </c>
    </row>
    <row r="655" spans="1:60">
      <c r="A655" s="28"/>
      <c r="B655" s="27"/>
      <c r="C655" s="46"/>
      <c r="D655" s="27"/>
      <c r="E655" s="46"/>
      <c r="F655" s="27" t="s">
        <v>1286</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694" t="s">
        <v>136</v>
      </c>
      <c r="D657" s="1694"/>
      <c r="E657" s="293" t="s">
        <v>992</v>
      </c>
      <c r="F657" s="810" t="s">
        <v>1403</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1417</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1418</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694" t="s">
        <v>136</v>
      </c>
      <c r="D661" s="1694"/>
      <c r="E661" s="293" t="s">
        <v>798</v>
      </c>
      <c r="F661" s="27" t="s">
        <v>1088</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354</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94" t="s">
        <v>136</v>
      </c>
      <c r="D663" s="1694"/>
      <c r="E663" s="293" t="s">
        <v>799</v>
      </c>
      <c r="F663" s="27" t="s">
        <v>1404</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811" t="s">
        <v>1405</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1" t="s">
        <v>1407</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1406</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94" t="s">
        <v>136</v>
      </c>
      <c r="D668" s="1694"/>
      <c r="E668" s="293" t="s">
        <v>308</v>
      </c>
      <c r="F668" s="27" t="s">
        <v>1252</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354</v>
      </c>
      <c r="AH668" s="27"/>
      <c r="AI668" s="27"/>
      <c r="AJ668" s="46"/>
      <c r="AK668" s="153"/>
      <c r="AL668" s="153"/>
      <c r="AM668" s="153"/>
      <c r="AO668" s="65"/>
    </row>
    <row r="669" spans="1:41">
      <c r="A669" s="28"/>
      <c r="B669" s="27"/>
      <c r="C669" s="27"/>
      <c r="D669" s="27"/>
      <c r="E669" s="27"/>
      <c r="F669" s="27" t="s">
        <v>1253</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7" t="s">
        <v>1132</v>
      </c>
      <c r="AK671" s="2360">
        <f>$AO$654</f>
        <v>2</v>
      </c>
      <c r="AL671" s="2361"/>
      <c r="AM671" s="2362"/>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49" t="s">
        <v>789</v>
      </c>
      <c r="B674" s="2549"/>
      <c r="C674" s="2549"/>
      <c r="D674" s="2549"/>
      <c r="E674" s="2549"/>
      <c r="F674" s="2549"/>
      <c r="G674" s="2549"/>
      <c r="H674" s="2549"/>
      <c r="I674" s="2549"/>
      <c r="J674" s="2549"/>
      <c r="K674" s="2549"/>
      <c r="L674" s="2549"/>
      <c r="M674" s="2549"/>
      <c r="N674" s="2549"/>
      <c r="O674" s="2549"/>
      <c r="P674" s="2549"/>
      <c r="Q674" s="2549"/>
      <c r="R674" s="2549"/>
      <c r="S674" s="2549"/>
      <c r="T674" s="2549"/>
      <c r="U674" s="2549"/>
      <c r="V674" s="2549"/>
      <c r="W674" s="2549"/>
      <c r="X674" s="2549"/>
      <c r="Y674" s="2549"/>
      <c r="Z674" s="2549"/>
      <c r="AA674" s="2549"/>
      <c r="AB674" s="2549"/>
      <c r="AC674" s="2549"/>
      <c r="AD674" s="2549"/>
      <c r="AE674" s="2549"/>
      <c r="AF674" s="2549"/>
      <c r="AG674" s="2549"/>
      <c r="AH674" s="2549"/>
      <c r="AI674" s="2549"/>
      <c r="AJ674" s="2549"/>
      <c r="AK674" s="2549"/>
      <c r="AL674" s="2549"/>
      <c r="AM674" s="2549"/>
    </row>
    <row r="675" spans="1:43">
      <c r="A675" s="2550"/>
      <c r="B675" s="2550"/>
      <c r="C675" s="2550"/>
      <c r="D675" s="2550"/>
      <c r="E675" s="2550"/>
      <c r="F675" s="2550"/>
      <c r="G675" s="2550"/>
      <c r="H675" s="2550"/>
      <c r="I675" s="2550"/>
      <c r="J675" s="2550"/>
      <c r="K675" s="2550"/>
      <c r="L675" s="2550"/>
      <c r="M675" s="2550"/>
      <c r="N675" s="2550"/>
      <c r="O675" s="2550"/>
      <c r="P675" s="2550"/>
      <c r="Q675" s="2550"/>
      <c r="R675" s="2550"/>
      <c r="S675" s="2550"/>
      <c r="T675" s="2550"/>
      <c r="U675" s="2550"/>
      <c r="V675" s="2550"/>
      <c r="W675" s="2550"/>
      <c r="X675" s="2550"/>
      <c r="Y675" s="2550"/>
      <c r="Z675" s="2550"/>
      <c r="AA675" s="2550"/>
      <c r="AB675" s="2550"/>
      <c r="AC675" s="2550"/>
      <c r="AD675" s="2550"/>
      <c r="AE675" s="2550"/>
      <c r="AF675" s="2550"/>
      <c r="AG675" s="2550"/>
      <c r="AH675" s="2550"/>
      <c r="AI675" s="2550"/>
      <c r="AJ675" s="2550"/>
      <c r="AK675" s="2550"/>
      <c r="AL675" s="2550"/>
      <c r="AM675" s="2550"/>
      <c r="AO675" s="749"/>
      <c r="AP675" s="749"/>
      <c r="AQ675" s="749"/>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49"/>
      <c r="AP676" s="749"/>
      <c r="AQ676" s="749"/>
    </row>
    <row r="677" spans="1:43">
      <c r="A677" s="2437" t="s">
        <v>2225</v>
      </c>
      <c r="B677" s="2437"/>
      <c r="C677" s="2437"/>
      <c r="D677" s="2437"/>
      <c r="E677" s="2437"/>
      <c r="F677" s="2437"/>
      <c r="G677" s="2437"/>
      <c r="H677" s="2437"/>
      <c r="I677" s="2437"/>
      <c r="J677" s="2437"/>
      <c r="K677" s="2437"/>
      <c r="L677" s="2437"/>
      <c r="M677" s="2437"/>
      <c r="N677" s="2437"/>
      <c r="O677" s="2437"/>
      <c r="P677" s="2437"/>
      <c r="Q677" s="2437"/>
      <c r="R677" s="2437"/>
      <c r="S677" s="2437"/>
      <c r="T677" s="2437"/>
      <c r="U677" s="2437"/>
      <c r="V677" s="2437"/>
      <c r="W677" s="2437"/>
      <c r="X677" s="2437"/>
      <c r="Y677" s="2437"/>
      <c r="Z677" s="2437"/>
      <c r="AA677" s="2437"/>
      <c r="AB677" s="2437"/>
      <c r="AC677" s="2437"/>
      <c r="AD677" s="2437"/>
      <c r="AE677" s="2437"/>
      <c r="AF677" s="2437"/>
      <c r="AG677" s="2437"/>
      <c r="AH677" s="2437"/>
      <c r="AI677" s="2437"/>
      <c r="AJ677" s="2437"/>
      <c r="AK677" s="2437"/>
      <c r="AL677" s="2437"/>
      <c r="AM677" s="2437"/>
      <c r="AP677" s="753"/>
      <c r="AQ677" s="749"/>
    </row>
    <row r="678" spans="1:43">
      <c r="A678" s="2437" t="s">
        <v>2226</v>
      </c>
      <c r="B678" s="2437"/>
      <c r="C678" s="2437"/>
      <c r="D678" s="2437"/>
      <c r="E678" s="2437"/>
      <c r="F678" s="2437"/>
      <c r="G678" s="2437"/>
      <c r="H678" s="2437"/>
      <c r="I678" s="2437"/>
      <c r="J678" s="2437"/>
      <c r="K678" s="2437"/>
      <c r="L678" s="2437"/>
      <c r="M678" s="2437"/>
      <c r="N678" s="2437"/>
      <c r="O678" s="2437"/>
      <c r="P678" s="2437"/>
      <c r="Q678" s="2437"/>
      <c r="R678" s="2437"/>
      <c r="S678" s="2437"/>
      <c r="T678" s="2437"/>
      <c r="U678" s="2437"/>
      <c r="V678" s="2437"/>
      <c r="W678" s="2437"/>
      <c r="X678" s="2437"/>
      <c r="Y678" s="2437"/>
      <c r="Z678" s="2437"/>
      <c r="AA678" s="2437"/>
      <c r="AB678" s="2437"/>
      <c r="AC678" s="2437"/>
      <c r="AD678" s="2437"/>
      <c r="AE678" s="2437"/>
      <c r="AF678" s="2437"/>
      <c r="AG678" s="2437"/>
      <c r="AH678" s="2437"/>
      <c r="AI678" s="2437"/>
      <c r="AJ678" s="2437"/>
      <c r="AK678" s="2437"/>
      <c r="AL678" s="2437"/>
      <c r="AM678" s="2437"/>
      <c r="AO678" s="754">
        <f>SUM(AO679:AO680)</f>
        <v>25</v>
      </c>
      <c r="AQ678" s="749"/>
    </row>
    <row r="679" spans="1:43">
      <c r="A679" s="438"/>
      <c r="B679" s="342"/>
      <c r="C679" s="342"/>
      <c r="D679" s="342"/>
      <c r="E679" s="342"/>
      <c r="F679" s="342"/>
      <c r="G679" s="342"/>
      <c r="H679" s="342"/>
      <c r="I679" s="342"/>
      <c r="J679" s="342"/>
      <c r="K679" s="342"/>
      <c r="L679" s="342"/>
      <c r="M679" s="342"/>
      <c r="N679" s="342"/>
      <c r="O679" s="342"/>
      <c r="P679" s="342"/>
      <c r="Q679" s="342"/>
      <c r="R679" s="342"/>
      <c r="S679" s="1060"/>
      <c r="T679" s="2422" t="s">
        <v>261</v>
      </c>
      <c r="U679" s="2103"/>
      <c r="V679" s="2103"/>
      <c r="W679" s="2103"/>
      <c r="X679" s="2103"/>
      <c r="Y679" s="2104"/>
      <c r="Z679" s="2422" t="s">
        <v>260</v>
      </c>
      <c r="AA679" s="2103"/>
      <c r="AB679" s="2103"/>
      <c r="AC679" s="2103"/>
      <c r="AD679" s="2103"/>
      <c r="AE679" s="2104"/>
      <c r="AF679" s="2422" t="s">
        <v>262</v>
      </c>
      <c r="AG679" s="2103"/>
      <c r="AH679" s="2103"/>
      <c r="AI679" s="2103"/>
      <c r="AJ679" s="2103"/>
      <c r="AK679" s="2104"/>
      <c r="AL679" s="1308"/>
      <c r="AM679" s="473"/>
      <c r="AO679" s="749">
        <f>IF(T686&gt;15,15,T686)</f>
        <v>15</v>
      </c>
      <c r="AP679" s="749"/>
      <c r="AQ679" s="749"/>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23"/>
      <c r="U680" s="2105"/>
      <c r="V680" s="2105"/>
      <c r="W680" s="2105"/>
      <c r="X680" s="2105"/>
      <c r="Y680" s="2106"/>
      <c r="Z680" s="2423"/>
      <c r="AA680" s="2105"/>
      <c r="AB680" s="2105"/>
      <c r="AC680" s="2105"/>
      <c r="AD680" s="2105"/>
      <c r="AE680" s="2106"/>
      <c r="AF680" s="2423"/>
      <c r="AG680" s="2105"/>
      <c r="AH680" s="2105"/>
      <c r="AI680" s="2105"/>
      <c r="AJ680" s="2105"/>
      <c r="AK680" s="2106"/>
      <c r="AL680" s="1308"/>
      <c r="AM680" s="473"/>
      <c r="AO680" s="749">
        <f>IF(T687&gt;10,10,T687)</f>
        <v>10</v>
      </c>
      <c r="AP680" s="749"/>
      <c r="AQ680" s="749"/>
    </row>
    <row r="681" spans="1:43">
      <c r="A681" s="959" t="s">
        <v>719</v>
      </c>
      <c r="B681" s="2418" t="s">
        <v>298</v>
      </c>
      <c r="C681" s="2418"/>
      <c r="D681" s="2418"/>
      <c r="E681" s="2418"/>
      <c r="F681" s="2418"/>
      <c r="G681" s="2418"/>
      <c r="H681" s="2418"/>
      <c r="I681" s="2418"/>
      <c r="J681" s="2418"/>
      <c r="K681" s="2418"/>
      <c r="L681" s="2418"/>
      <c r="M681" s="2418"/>
      <c r="N681" s="2418"/>
      <c r="O681" s="2418"/>
      <c r="P681" s="2418"/>
      <c r="Q681" s="2418"/>
      <c r="R681" s="2418"/>
      <c r="S681" s="2419"/>
      <c r="T681" s="2445">
        <f>SUM(T682:Y683)</f>
        <v>10</v>
      </c>
      <c r="U681" s="2445"/>
      <c r="V681" s="2445"/>
      <c r="W681" s="2445"/>
      <c r="X681" s="2445"/>
      <c r="Y681" s="2445"/>
      <c r="Z681" s="1780">
        <v>10</v>
      </c>
      <c r="AA681" s="1780"/>
      <c r="AB681" s="1780"/>
      <c r="AC681" s="1780"/>
      <c r="AD681" s="1780"/>
      <c r="AE681" s="1780"/>
      <c r="AF681" s="1780">
        <f>IF(T681&gt;Z681,Z681,T681)</f>
        <v>10</v>
      </c>
      <c r="AG681" s="1780"/>
      <c r="AH681" s="1780"/>
      <c r="AI681" s="1780"/>
      <c r="AJ681" s="1780"/>
      <c r="AK681" s="1780"/>
      <c r="AL681" s="1308"/>
      <c r="AM681" s="473"/>
    </row>
    <row r="682" spans="1:43">
      <c r="A682" s="961"/>
      <c r="B682" s="962"/>
      <c r="C682" s="970"/>
      <c r="D682" s="960" t="s">
        <v>233</v>
      </c>
      <c r="E682" s="2420" t="s">
        <v>263</v>
      </c>
      <c r="F682" s="2420"/>
      <c r="G682" s="2420"/>
      <c r="H682" s="2420"/>
      <c r="I682" s="2420"/>
      <c r="J682" s="2420"/>
      <c r="K682" s="2420"/>
      <c r="L682" s="2420"/>
      <c r="M682" s="2420"/>
      <c r="N682" s="2420"/>
      <c r="O682" s="2420"/>
      <c r="P682" s="2420"/>
      <c r="Q682" s="2420"/>
      <c r="R682" s="2420"/>
      <c r="S682" s="2421"/>
      <c r="T682" s="2424">
        <f>AJ31</f>
        <v>7</v>
      </c>
      <c r="U682" s="2424"/>
      <c r="V682" s="2424"/>
      <c r="W682" s="2424"/>
      <c r="X682" s="2424"/>
      <c r="Y682" s="2424"/>
      <c r="Z682" s="2449">
        <v>7</v>
      </c>
      <c r="AA682" s="2449"/>
      <c r="AB682" s="2449"/>
      <c r="AC682" s="2449"/>
      <c r="AD682" s="2449"/>
      <c r="AE682" s="2449"/>
      <c r="AF682" s="2551"/>
      <c r="AG682" s="2551"/>
      <c r="AH682" s="2551"/>
      <c r="AI682" s="2551"/>
      <c r="AJ682" s="2551"/>
      <c r="AK682" s="2551"/>
      <c r="AL682" s="1308"/>
      <c r="AM682" s="473"/>
    </row>
    <row r="683" spans="1:43">
      <c r="A683" s="964"/>
      <c r="B683" s="962"/>
      <c r="C683" s="963"/>
      <c r="D683" s="960" t="s">
        <v>477</v>
      </c>
      <c r="E683" s="2420" t="s">
        <v>264</v>
      </c>
      <c r="F683" s="2420"/>
      <c r="G683" s="2420"/>
      <c r="H683" s="2420"/>
      <c r="I683" s="2420"/>
      <c r="J683" s="2420"/>
      <c r="K683" s="2420"/>
      <c r="L683" s="2420"/>
      <c r="M683" s="2420"/>
      <c r="N683" s="2420"/>
      <c r="O683" s="2420"/>
      <c r="P683" s="2420"/>
      <c r="Q683" s="2420"/>
      <c r="R683" s="2420"/>
      <c r="S683" s="2421"/>
      <c r="T683" s="2424">
        <f>AJ47</f>
        <v>3</v>
      </c>
      <c r="U683" s="2424"/>
      <c r="V683" s="2424"/>
      <c r="W683" s="2424"/>
      <c r="X683" s="2424"/>
      <c r="Y683" s="2424"/>
      <c r="Z683" s="2449">
        <v>3</v>
      </c>
      <c r="AA683" s="2449"/>
      <c r="AB683" s="2449"/>
      <c r="AC683" s="2449"/>
      <c r="AD683" s="2449"/>
      <c r="AE683" s="2449"/>
      <c r="AF683" s="2551"/>
      <c r="AG683" s="2551"/>
      <c r="AH683" s="2551"/>
      <c r="AI683" s="2551"/>
      <c r="AJ683" s="2551"/>
      <c r="AK683" s="2551"/>
      <c r="AL683" s="1308"/>
      <c r="AM683" s="473"/>
      <c r="AO683" s="46">
        <f>IF(T690&gt;50,50,T690)</f>
        <v>50</v>
      </c>
    </row>
    <row r="684" spans="1:43">
      <c r="A684" s="959" t="s">
        <v>8</v>
      </c>
      <c r="B684" s="2418" t="s">
        <v>299</v>
      </c>
      <c r="C684" s="2418"/>
      <c r="D684" s="2418"/>
      <c r="E684" s="2418"/>
      <c r="F684" s="2418"/>
      <c r="G684" s="2418"/>
      <c r="H684" s="2418"/>
      <c r="I684" s="2418"/>
      <c r="J684" s="2418"/>
      <c r="K684" s="2418"/>
      <c r="L684" s="2418"/>
      <c r="M684" s="2418"/>
      <c r="N684" s="2418"/>
      <c r="O684" s="2418"/>
      <c r="P684" s="2418"/>
      <c r="Q684" s="2418"/>
      <c r="R684" s="2418"/>
      <c r="S684" s="2419"/>
      <c r="T684" s="2445">
        <f>AK73</f>
        <v>10</v>
      </c>
      <c r="U684" s="2445"/>
      <c r="V684" s="2445"/>
      <c r="W684" s="2445"/>
      <c r="X684" s="2445"/>
      <c r="Y684" s="2445"/>
      <c r="Z684" s="1780">
        <v>10</v>
      </c>
      <c r="AA684" s="1780"/>
      <c r="AB684" s="1780"/>
      <c r="AC684" s="1780"/>
      <c r="AD684" s="1780"/>
      <c r="AE684" s="1780"/>
      <c r="AF684" s="1780">
        <f>IF(T684&gt;Z684,Z684,T684)</f>
        <v>10</v>
      </c>
      <c r="AG684" s="1780"/>
      <c r="AH684" s="1780"/>
      <c r="AI684" s="1780"/>
      <c r="AJ684" s="1780"/>
      <c r="AK684" s="1780"/>
      <c r="AL684" s="1308"/>
      <c r="AM684" s="473"/>
    </row>
    <row r="685" spans="1:43">
      <c r="A685" s="959" t="s">
        <v>131</v>
      </c>
      <c r="B685" s="2418" t="s">
        <v>300</v>
      </c>
      <c r="C685" s="2418"/>
      <c r="D685" s="2418"/>
      <c r="E685" s="2418"/>
      <c r="F685" s="2418"/>
      <c r="G685" s="2418"/>
      <c r="H685" s="2418"/>
      <c r="I685" s="2418"/>
      <c r="J685" s="2418"/>
      <c r="K685" s="2418"/>
      <c r="L685" s="2418"/>
      <c r="M685" s="2418"/>
      <c r="N685" s="2418"/>
      <c r="O685" s="2418"/>
      <c r="P685" s="2418"/>
      <c r="Q685" s="2418"/>
      <c r="R685" s="2418"/>
      <c r="S685" s="2419"/>
      <c r="T685" s="2445">
        <f>AO678</f>
        <v>25</v>
      </c>
      <c r="U685" s="2445">
        <f>IF(AND(AND(A686&gt;15,15+A687),A687&gt;10,A686+10),A685,0)</f>
        <v>0</v>
      </c>
      <c r="V685" s="2445">
        <f>IF(AND(AND(B686&gt;15,15+B687),B687&gt;10,B686+10),#REF!,0)</f>
        <v>0</v>
      </c>
      <c r="W685" s="2445">
        <f>IF(AND(AND(C686&gt;15,15+C687),C687&gt;10,C686+10),B685,0)</f>
        <v>0</v>
      </c>
      <c r="X685" s="2445" t="e">
        <f>IF(AND(AND(D686&gt;15,15+D687),D687&gt;10,D686+10),D685,0)</f>
        <v>#VALUE!</v>
      </c>
      <c r="Y685" s="2445" t="e">
        <f>IF(AND(AND(E686&gt;15,15+E687),E687&gt;10,E686+10),E685,0)</f>
        <v>#VALUE!</v>
      </c>
      <c r="Z685" s="1780">
        <v>25</v>
      </c>
      <c r="AA685" s="1780"/>
      <c r="AB685" s="1780"/>
      <c r="AC685" s="1780"/>
      <c r="AD685" s="1780"/>
      <c r="AE685" s="1780"/>
      <c r="AF685" s="1780">
        <f>IF(T685&gt;Z685,Z685,T685)</f>
        <v>25</v>
      </c>
      <c r="AG685" s="1780"/>
      <c r="AH685" s="1780"/>
      <c r="AI685" s="1780"/>
      <c r="AJ685" s="1780"/>
      <c r="AK685" s="1780"/>
      <c r="AL685" s="1308"/>
      <c r="AM685" s="473"/>
    </row>
    <row r="686" spans="1:43">
      <c r="A686" s="959"/>
      <c r="B686" s="962"/>
      <c r="C686" s="963"/>
      <c r="D686" s="960" t="s">
        <v>1642</v>
      </c>
      <c r="E686" s="2420" t="s">
        <v>324</v>
      </c>
      <c r="F686" s="2420"/>
      <c r="G686" s="2420"/>
      <c r="H686" s="2420"/>
      <c r="I686" s="2420"/>
      <c r="J686" s="2420"/>
      <c r="K686" s="2420"/>
      <c r="L686" s="2420"/>
      <c r="M686" s="2420"/>
      <c r="N686" s="2420"/>
      <c r="O686" s="2420"/>
      <c r="P686" s="2420"/>
      <c r="Q686" s="2420"/>
      <c r="R686" s="2420"/>
      <c r="S686" s="2421"/>
      <c r="T686" s="2424">
        <f>AK285</f>
        <v>18</v>
      </c>
      <c r="U686" s="2424"/>
      <c r="V686" s="2424"/>
      <c r="W686" s="2424"/>
      <c r="X686" s="2424"/>
      <c r="Y686" s="2424"/>
      <c r="Z686" s="2449">
        <v>15</v>
      </c>
      <c r="AA686" s="2449"/>
      <c r="AB686" s="2449"/>
      <c r="AC686" s="2449"/>
      <c r="AD686" s="2449"/>
      <c r="AE686" s="2449"/>
      <c r="AF686" s="2551"/>
      <c r="AG686" s="2551"/>
      <c r="AH686" s="2551"/>
      <c r="AI686" s="2551"/>
      <c r="AJ686" s="2551"/>
      <c r="AK686" s="2551"/>
      <c r="AL686" s="1308"/>
      <c r="AM686" s="473"/>
    </row>
    <row r="687" spans="1:43">
      <c r="A687" s="965"/>
      <c r="B687" s="966"/>
      <c r="C687" s="967"/>
      <c r="D687" s="968" t="s">
        <v>1643</v>
      </c>
      <c r="E687" s="2420" t="s">
        <v>325</v>
      </c>
      <c r="F687" s="2420"/>
      <c r="G687" s="2420"/>
      <c r="H687" s="2420"/>
      <c r="I687" s="2420"/>
      <c r="J687" s="2420"/>
      <c r="K687" s="2420"/>
      <c r="L687" s="2420"/>
      <c r="M687" s="2420"/>
      <c r="N687" s="2420"/>
      <c r="O687" s="2420"/>
      <c r="P687" s="2420"/>
      <c r="Q687" s="2420"/>
      <c r="R687" s="2420"/>
      <c r="S687" s="2421"/>
      <c r="T687" s="2424">
        <f>AK476</f>
        <v>12</v>
      </c>
      <c r="U687" s="2424"/>
      <c r="V687" s="2424"/>
      <c r="W687" s="2424"/>
      <c r="X687" s="2424"/>
      <c r="Y687" s="2424"/>
      <c r="Z687" s="2449">
        <v>10</v>
      </c>
      <c r="AA687" s="2449"/>
      <c r="AB687" s="2449"/>
      <c r="AC687" s="2449"/>
      <c r="AD687" s="2449"/>
      <c r="AE687" s="2449"/>
      <c r="AF687" s="2551"/>
      <c r="AG687" s="2551"/>
      <c r="AH687" s="2551"/>
      <c r="AI687" s="2551"/>
      <c r="AJ687" s="2551"/>
      <c r="AK687" s="2551"/>
      <c r="AL687" s="1308"/>
      <c r="AM687" s="473"/>
    </row>
    <row r="688" spans="1:43" hidden="1">
      <c r="A688" s="959" t="s">
        <v>134</v>
      </c>
      <c r="B688" s="2418" t="s">
        <v>599</v>
      </c>
      <c r="C688" s="2418"/>
      <c r="D688" s="2418"/>
      <c r="E688" s="2418"/>
      <c r="F688" s="2418"/>
      <c r="G688" s="2418"/>
      <c r="H688" s="2418"/>
      <c r="I688" s="2418"/>
      <c r="J688" s="2418"/>
      <c r="K688" s="2418"/>
      <c r="L688" s="2418"/>
      <c r="M688" s="2418"/>
      <c r="N688" s="2418"/>
      <c r="O688" s="2418"/>
      <c r="P688" s="2418"/>
      <c r="Q688" s="2418"/>
      <c r="R688" s="2418"/>
      <c r="S688" s="2419"/>
      <c r="T688" s="2445"/>
      <c r="U688" s="2445"/>
      <c r="V688" s="2445"/>
      <c r="W688" s="2445"/>
      <c r="X688" s="2445"/>
      <c r="Y688" s="2445"/>
      <c r="Z688" s="1780"/>
      <c r="AA688" s="1780"/>
      <c r="AB688" s="1780"/>
      <c r="AC688" s="1780"/>
      <c r="AD688" s="1780"/>
      <c r="AE688" s="1780"/>
      <c r="AF688" s="1780"/>
      <c r="AG688" s="1780"/>
      <c r="AH688" s="1780"/>
      <c r="AI688" s="1780"/>
      <c r="AJ688" s="1780"/>
      <c r="AK688" s="1780"/>
      <c r="AL688" s="1308"/>
      <c r="AM688" s="473"/>
    </row>
    <row r="689" spans="1:39">
      <c r="A689" s="1391" t="s">
        <v>134</v>
      </c>
      <c r="B689" s="2418" t="s">
        <v>600</v>
      </c>
      <c r="C689" s="2418"/>
      <c r="D689" s="2418"/>
      <c r="E689" s="2418"/>
      <c r="F689" s="2418"/>
      <c r="G689" s="2418"/>
      <c r="H689" s="2418"/>
      <c r="I689" s="2418"/>
      <c r="J689" s="2418"/>
      <c r="K689" s="2418"/>
      <c r="L689" s="2418"/>
      <c r="M689" s="2418"/>
      <c r="N689" s="2418"/>
      <c r="O689" s="2418"/>
      <c r="P689" s="2418"/>
      <c r="Q689" s="2418"/>
      <c r="R689" s="2418"/>
      <c r="S689" s="2419"/>
      <c r="T689" s="2541">
        <f>IF(SUM(T690:Y691)&gt;52,52,SUM(T690:Y691))</f>
        <v>52</v>
      </c>
      <c r="U689" s="2542"/>
      <c r="V689" s="2542"/>
      <c r="W689" s="2542"/>
      <c r="X689" s="2542"/>
      <c r="Y689" s="2542"/>
      <c r="Z689" s="2542">
        <v>52</v>
      </c>
      <c r="AA689" s="2542"/>
      <c r="AB689" s="2542"/>
      <c r="AC689" s="2542"/>
      <c r="AD689" s="2542"/>
      <c r="AE689" s="2542"/>
      <c r="AF689" s="2542">
        <f>$AO$683+$T$691</f>
        <v>52</v>
      </c>
      <c r="AG689" s="2542"/>
      <c r="AH689" s="2542"/>
      <c r="AI689" s="2542"/>
      <c r="AJ689" s="2542"/>
      <c r="AK689" s="2542"/>
      <c r="AL689" s="1308"/>
      <c r="AM689" s="473"/>
    </row>
    <row r="690" spans="1:39">
      <c r="A690" s="969"/>
      <c r="B690" s="971"/>
      <c r="C690" s="972"/>
      <c r="D690" s="973" t="s">
        <v>1644</v>
      </c>
      <c r="E690" s="2420" t="s">
        <v>200</v>
      </c>
      <c r="F690" s="2420"/>
      <c r="G690" s="2420"/>
      <c r="H690" s="2420"/>
      <c r="I690" s="2420"/>
      <c r="J690" s="2420"/>
      <c r="K690" s="2420"/>
      <c r="L690" s="2420"/>
      <c r="M690" s="2420"/>
      <c r="N690" s="2420"/>
      <c r="O690" s="2420"/>
      <c r="P690" s="2420"/>
      <c r="Q690" s="2420"/>
      <c r="R690" s="2420"/>
      <c r="S690" s="2421"/>
      <c r="T690" s="2446">
        <f>AC592</f>
        <v>62.5</v>
      </c>
      <c r="U690" s="2447"/>
      <c r="V690" s="2447"/>
      <c r="W690" s="2447"/>
      <c r="X690" s="2447"/>
      <c r="Y690" s="2448"/>
      <c r="Z690" s="2446">
        <v>50</v>
      </c>
      <c r="AA690" s="2447"/>
      <c r="AB690" s="2447"/>
      <c r="AC690" s="2447"/>
      <c r="AD690" s="2447"/>
      <c r="AE690" s="2448"/>
      <c r="AF690" s="2546"/>
      <c r="AG690" s="2547"/>
      <c r="AH690" s="2547"/>
      <c r="AI690" s="2547"/>
      <c r="AJ690" s="2547"/>
      <c r="AK690" s="2548"/>
      <c r="AL690" s="1308"/>
      <c r="AM690" s="46"/>
    </row>
    <row r="691" spans="1:39">
      <c r="A691" s="974"/>
      <c r="B691" s="962"/>
      <c r="C691" s="963"/>
      <c r="D691" s="960" t="s">
        <v>1645</v>
      </c>
      <c r="E691" s="2420" t="s">
        <v>297</v>
      </c>
      <c r="F691" s="2420"/>
      <c r="G691" s="2420"/>
      <c r="H691" s="2420"/>
      <c r="I691" s="2420"/>
      <c r="J691" s="2420"/>
      <c r="K691" s="2420"/>
      <c r="L691" s="2420"/>
      <c r="M691" s="2420"/>
      <c r="N691" s="2420"/>
      <c r="O691" s="2420"/>
      <c r="P691" s="2420"/>
      <c r="Q691" s="2420"/>
      <c r="R691" s="2420"/>
      <c r="S691" s="2421"/>
      <c r="T691" s="2383">
        <f>IF(AJ616&gt;0,2,0)</f>
        <v>2</v>
      </c>
      <c r="U691" s="2384"/>
      <c r="V691" s="2384"/>
      <c r="W691" s="2384"/>
      <c r="X691" s="2384"/>
      <c r="Y691" s="2385"/>
      <c r="Z691" s="2360">
        <v>2</v>
      </c>
      <c r="AA691" s="2361"/>
      <c r="AB691" s="2361"/>
      <c r="AC691" s="2361"/>
      <c r="AD691" s="2361"/>
      <c r="AE691" s="2362"/>
      <c r="AF691" s="2562"/>
      <c r="AG691" s="2563"/>
      <c r="AH691" s="2563"/>
      <c r="AI691" s="2563"/>
      <c r="AJ691" s="2563"/>
      <c r="AK691" s="2564"/>
      <c r="AL691" s="1308"/>
      <c r="AM691" s="46"/>
    </row>
    <row r="692" spans="1:39">
      <c r="A692" s="969" t="s">
        <v>135</v>
      </c>
      <c r="B692" s="2418" t="s">
        <v>601</v>
      </c>
      <c r="C692" s="2418"/>
      <c r="D692" s="2418"/>
      <c r="E692" s="2418"/>
      <c r="F692" s="2418"/>
      <c r="G692" s="2418"/>
      <c r="H692" s="2418"/>
      <c r="I692" s="2418"/>
      <c r="J692" s="2418"/>
      <c r="K692" s="2418"/>
      <c r="L692" s="2418"/>
      <c r="M692" s="2418"/>
      <c r="N692" s="2418"/>
      <c r="O692" s="2418"/>
      <c r="P692" s="2418"/>
      <c r="Q692" s="2418"/>
      <c r="R692" s="2418"/>
      <c r="S692" s="2419"/>
      <c r="T692" s="2445">
        <f>AK643</f>
        <v>10</v>
      </c>
      <c r="U692" s="2445"/>
      <c r="V692" s="2445"/>
      <c r="W692" s="2445"/>
      <c r="X692" s="2445"/>
      <c r="Y692" s="2445"/>
      <c r="Z692" s="1780">
        <v>10</v>
      </c>
      <c r="AA692" s="1780"/>
      <c r="AB692" s="1780"/>
      <c r="AC692" s="1780"/>
      <c r="AD692" s="1780"/>
      <c r="AE692" s="1780"/>
      <c r="AF692" s="2114">
        <f>IF(T692&gt;Z692,Z692,T692)</f>
        <v>10</v>
      </c>
      <c r="AG692" s="2024"/>
      <c r="AH692" s="2024"/>
      <c r="AI692" s="2024"/>
      <c r="AJ692" s="2024"/>
      <c r="AK692" s="2025"/>
      <c r="AL692" s="1308"/>
      <c r="AM692" s="205"/>
    </row>
    <row r="693" spans="1:39">
      <c r="A693" s="969" t="s">
        <v>137</v>
      </c>
      <c r="B693" s="2418" t="s">
        <v>1089</v>
      </c>
      <c r="C693" s="2418"/>
      <c r="D693" s="2418"/>
      <c r="E693" s="2418"/>
      <c r="F693" s="2418"/>
      <c r="G693" s="2418"/>
      <c r="H693" s="2418"/>
      <c r="I693" s="2418"/>
      <c r="J693" s="2418"/>
      <c r="K693" s="2418"/>
      <c r="L693" s="2418"/>
      <c r="M693" s="2418"/>
      <c r="N693" s="2418"/>
      <c r="O693" s="2418"/>
      <c r="P693" s="2418"/>
      <c r="Q693" s="2418"/>
      <c r="R693" s="2418"/>
      <c r="S693" s="2419"/>
      <c r="T693" s="2543">
        <f>IF(AK671&gt;2,2,AK671)</f>
        <v>2</v>
      </c>
      <c r="U693" s="2544"/>
      <c r="V693" s="2544"/>
      <c r="W693" s="2544"/>
      <c r="X693" s="2544"/>
      <c r="Y693" s="2545"/>
      <c r="Z693" s="2114">
        <v>2</v>
      </c>
      <c r="AA693" s="2024"/>
      <c r="AB693" s="2024"/>
      <c r="AC693" s="2024"/>
      <c r="AD693" s="2024"/>
      <c r="AE693" s="2025"/>
      <c r="AF693" s="2114">
        <f>IF(T693&gt;Z693,Z693,T693)</f>
        <v>2</v>
      </c>
      <c r="AG693" s="2560"/>
      <c r="AH693" s="2560"/>
      <c r="AI693" s="2560"/>
      <c r="AJ693" s="2560"/>
      <c r="AK693" s="2561"/>
      <c r="AL693" s="358"/>
      <c r="AM693" s="205"/>
    </row>
    <row r="694" spans="1:39">
      <c r="A694" s="2417" t="s">
        <v>327</v>
      </c>
      <c r="B694" s="2418"/>
      <c r="C694" s="2418"/>
      <c r="D694" s="2418"/>
      <c r="E694" s="2418"/>
      <c r="F694" s="2418"/>
      <c r="G694" s="2418"/>
      <c r="H694" s="2418"/>
      <c r="I694" s="2418"/>
      <c r="J694" s="2418"/>
      <c r="K694" s="2418"/>
      <c r="L694" s="2418"/>
      <c r="M694" s="2418"/>
      <c r="N694" s="2418"/>
      <c r="O694" s="2418"/>
      <c r="P694" s="2418"/>
      <c r="Q694" s="2418"/>
      <c r="R694" s="2418"/>
      <c r="S694" s="2419"/>
      <c r="T694" s="2039"/>
      <c r="U694" s="2039"/>
      <c r="V694" s="2039"/>
      <c r="W694" s="2039"/>
      <c r="X694" s="2039"/>
      <c r="Y694" s="2039"/>
      <c r="Z694" s="2449" t="s">
        <v>326</v>
      </c>
      <c r="AA694" s="2449"/>
      <c r="AB694" s="2449"/>
      <c r="AC694" s="2449"/>
      <c r="AD694" s="2449"/>
      <c r="AE694" s="2449"/>
      <c r="AF694" s="2114">
        <f>IF(T694&gt;0,T694,0)</f>
        <v>0</v>
      </c>
      <c r="AG694" s="2024"/>
      <c r="AH694" s="2024"/>
      <c r="AI694" s="2024"/>
      <c r="AJ694" s="2024"/>
      <c r="AK694" s="2025"/>
      <c r="AL694" s="1299"/>
      <c r="AM694" s="205"/>
    </row>
    <row r="695" spans="1:39" ht="15.75">
      <c r="A695" s="2431" t="s">
        <v>788</v>
      </c>
      <c r="B695" s="2432"/>
      <c r="C695" s="2432"/>
      <c r="D695" s="2432"/>
      <c r="E695" s="2432"/>
      <c r="F695" s="2432"/>
      <c r="G695" s="2432"/>
      <c r="H695" s="2432"/>
      <c r="I695" s="2432"/>
      <c r="J695" s="2432"/>
      <c r="K695" s="2432"/>
      <c r="L695" s="2432"/>
      <c r="M695" s="2432"/>
      <c r="N695" s="2432"/>
      <c r="O695" s="2432"/>
      <c r="P695" s="2432"/>
      <c r="Q695" s="2432"/>
      <c r="R695" s="2432"/>
      <c r="S695" s="2432"/>
      <c r="T695" s="2432"/>
      <c r="U695" s="2432"/>
      <c r="V695" s="2432"/>
      <c r="W695" s="2432"/>
      <c r="X695" s="2432"/>
      <c r="Y695" s="2432"/>
      <c r="Z695" s="2432"/>
      <c r="AA695" s="2432"/>
      <c r="AB695" s="2432"/>
      <c r="AC695" s="2432"/>
      <c r="AD695" s="2432"/>
      <c r="AE695" s="2433"/>
      <c r="AF695" s="2552">
        <f>SUM(AF681:AK693)-AF694</f>
        <v>109</v>
      </c>
      <c r="AG695" s="2553"/>
      <c r="AH695" s="2553"/>
      <c r="AI695" s="2553"/>
      <c r="AJ695" s="2553"/>
      <c r="AK695" s="2554"/>
      <c r="AL695" s="1309"/>
      <c r="AM695" s="46"/>
    </row>
    <row r="696" spans="1:39" ht="15.75">
      <c r="A696" s="2434"/>
      <c r="B696" s="2435"/>
      <c r="C696" s="2435"/>
      <c r="D696" s="2435"/>
      <c r="E696" s="2435"/>
      <c r="F696" s="2435"/>
      <c r="G696" s="2435"/>
      <c r="H696" s="2435"/>
      <c r="I696" s="2435"/>
      <c r="J696" s="2435"/>
      <c r="K696" s="2435"/>
      <c r="L696" s="2435"/>
      <c r="M696" s="2435"/>
      <c r="N696" s="2435"/>
      <c r="O696" s="2435"/>
      <c r="P696" s="2435"/>
      <c r="Q696" s="2435"/>
      <c r="R696" s="2435"/>
      <c r="S696" s="2435"/>
      <c r="T696" s="2435"/>
      <c r="U696" s="2435"/>
      <c r="V696" s="2435"/>
      <c r="W696" s="2435"/>
      <c r="X696" s="2435"/>
      <c r="Y696" s="2435"/>
      <c r="Z696" s="2435"/>
      <c r="AA696" s="2435"/>
      <c r="AB696" s="2435"/>
      <c r="AC696" s="2435"/>
      <c r="AD696" s="2435"/>
      <c r="AE696" s="2436"/>
      <c r="AF696" s="2555"/>
      <c r="AG696" s="2556"/>
      <c r="AH696" s="2556"/>
      <c r="AI696" s="2556"/>
      <c r="AJ696" s="2556"/>
      <c r="AK696" s="2557"/>
      <c r="AL696" s="1309"/>
      <c r="AM696" s="46"/>
    </row>
    <row r="697" spans="1:39">
      <c r="A697" s="1629" t="s">
        <v>7</v>
      </c>
      <c r="B697" s="1629"/>
      <c r="C697" s="1629"/>
      <c r="D697" s="1629"/>
      <c r="E697" s="1629"/>
      <c r="F697" s="1629"/>
      <c r="G697" s="1629"/>
      <c r="H697" s="1629"/>
      <c r="I697" s="1629"/>
      <c r="J697" s="1629"/>
      <c r="K697" s="1629"/>
      <c r="L697" s="1629"/>
      <c r="M697" s="1629"/>
      <c r="N697" s="1629"/>
      <c r="O697" s="1629"/>
      <c r="P697" s="1629"/>
      <c r="Q697" s="1629"/>
      <c r="R697" s="1629"/>
      <c r="S697" s="1629"/>
      <c r="T697" s="1629"/>
      <c r="U697" s="1629"/>
      <c r="V697" s="1629"/>
      <c r="W697" s="1629"/>
      <c r="X697" s="1629"/>
      <c r="Y697" s="1629"/>
      <c r="Z697" s="1629"/>
      <c r="AA697" s="1629"/>
      <c r="AB697" s="1629"/>
      <c r="AC697" s="1629"/>
      <c r="AD697" s="1629"/>
      <c r="AE697" s="1629"/>
      <c r="AF697" s="1629"/>
      <c r="AG697" s="1629"/>
      <c r="AH697" s="1629"/>
      <c r="AI697" s="1629"/>
      <c r="AJ697" s="1629"/>
      <c r="AK697" s="1629"/>
      <c r="AL697" s="1629"/>
      <c r="AM697" s="2610"/>
    </row>
    <row r="698" spans="1:39" ht="12.6" customHeight="1">
      <c r="A698" s="1629"/>
      <c r="B698" s="1629"/>
      <c r="C698" s="1629"/>
      <c r="D698" s="1629"/>
      <c r="E698" s="1629"/>
      <c r="F698" s="1629"/>
      <c r="G698" s="1629"/>
      <c r="H698" s="1629"/>
      <c r="I698" s="1629"/>
      <c r="J698" s="1629"/>
      <c r="K698" s="1629"/>
      <c r="L698" s="1629"/>
      <c r="M698" s="1629"/>
      <c r="N698" s="1629"/>
      <c r="O698" s="1629"/>
      <c r="P698" s="1629"/>
      <c r="Q698" s="1629"/>
      <c r="R698" s="1629"/>
      <c r="S698" s="1629"/>
      <c r="T698" s="1629"/>
      <c r="U698" s="1629"/>
      <c r="V698" s="1629"/>
      <c r="W698" s="1629"/>
      <c r="X698" s="1629"/>
      <c r="Y698" s="1629"/>
      <c r="Z698" s="1629"/>
      <c r="AA698" s="1629"/>
      <c r="AB698" s="1629"/>
      <c r="AC698" s="1629"/>
      <c r="AD698" s="1629"/>
      <c r="AE698" s="1629"/>
      <c r="AF698" s="1629"/>
      <c r="AG698" s="1629"/>
      <c r="AH698" s="1629"/>
      <c r="AI698" s="1629"/>
      <c r="AJ698" s="1629"/>
      <c r="AK698" s="1629"/>
      <c r="AL698" s="1629"/>
      <c r="AM698" s="2610"/>
    </row>
    <row r="699" spans="1:39" ht="56.25" customHeight="1">
      <c r="A699" s="1629"/>
      <c r="B699" s="1629"/>
      <c r="C699" s="1629"/>
      <c r="D699" s="1629"/>
      <c r="E699" s="1629"/>
      <c r="F699" s="1629"/>
      <c r="G699" s="1629"/>
      <c r="H699" s="1629"/>
      <c r="I699" s="1629"/>
      <c r="J699" s="1629"/>
      <c r="K699" s="1629"/>
      <c r="L699" s="1629"/>
      <c r="M699" s="1629"/>
      <c r="N699" s="1629"/>
      <c r="O699" s="1629"/>
      <c r="P699" s="1629"/>
      <c r="Q699" s="1629"/>
      <c r="R699" s="1629"/>
      <c r="S699" s="1629"/>
      <c r="T699" s="1629"/>
      <c r="U699" s="1629"/>
      <c r="V699" s="1629"/>
      <c r="W699" s="1629"/>
      <c r="X699" s="1629"/>
      <c r="Y699" s="1629"/>
      <c r="Z699" s="1629"/>
      <c r="AA699" s="1629"/>
      <c r="AB699" s="1629"/>
      <c r="AC699" s="1629"/>
      <c r="AD699" s="1629"/>
      <c r="AE699" s="1629"/>
      <c r="AF699" s="1629"/>
      <c r="AG699" s="1629"/>
      <c r="AH699" s="1629"/>
      <c r="AI699" s="1629"/>
      <c r="AJ699" s="1629"/>
      <c r="AK699" s="1629"/>
      <c r="AL699" s="1629"/>
      <c r="AM699" s="2610"/>
    </row>
    <row r="700" spans="1:39" ht="12.6" hidden="1" customHeight="1">
      <c r="A700" s="1629"/>
      <c r="B700" s="1629"/>
      <c r="C700" s="1629"/>
      <c r="D700" s="1629"/>
      <c r="E700" s="1629"/>
      <c r="F700" s="1629"/>
      <c r="G700" s="1629"/>
      <c r="H700" s="1629"/>
      <c r="I700" s="1629"/>
      <c r="J700" s="1629"/>
      <c r="K700" s="1629"/>
      <c r="L700" s="1629"/>
      <c r="M700" s="1629"/>
      <c r="N700" s="1629"/>
      <c r="O700" s="1629"/>
      <c r="P700" s="1629"/>
      <c r="Q700" s="1629"/>
      <c r="R700" s="1629"/>
      <c r="S700" s="1629"/>
      <c r="T700" s="1629"/>
      <c r="U700" s="1629"/>
      <c r="V700" s="1629"/>
      <c r="W700" s="1629"/>
      <c r="X700" s="1629"/>
      <c r="Y700" s="1629"/>
      <c r="Z700" s="1629"/>
      <c r="AA700" s="1629"/>
      <c r="AB700" s="1629"/>
      <c r="AC700" s="1629"/>
      <c r="AD700" s="1629"/>
      <c r="AE700" s="1629"/>
      <c r="AF700" s="1629"/>
      <c r="AG700" s="1629"/>
      <c r="AH700" s="1629"/>
      <c r="AI700" s="1629"/>
      <c r="AJ700" s="1629"/>
      <c r="AK700" s="1629"/>
      <c r="AL700" s="1629"/>
      <c r="AM700" s="2610"/>
    </row>
    <row r="701" spans="1:39" ht="12.6" hidden="1" customHeight="1">
      <c r="A701" s="1629"/>
      <c r="B701" s="1629"/>
      <c r="C701" s="1629"/>
      <c r="D701" s="1629"/>
      <c r="E701" s="1629"/>
      <c r="F701" s="1629"/>
      <c r="G701" s="1629"/>
      <c r="H701" s="1629"/>
      <c r="I701" s="1629"/>
      <c r="J701" s="1629"/>
      <c r="K701" s="1629"/>
      <c r="L701" s="1629"/>
      <c r="M701" s="1629"/>
      <c r="N701" s="1629"/>
      <c r="O701" s="1629"/>
      <c r="P701" s="1629"/>
      <c r="Q701" s="1629"/>
      <c r="R701" s="1629"/>
      <c r="S701" s="1629"/>
      <c r="T701" s="1629"/>
      <c r="U701" s="1629"/>
      <c r="V701" s="1629"/>
      <c r="W701" s="1629"/>
      <c r="X701" s="1629"/>
      <c r="Y701" s="1629"/>
      <c r="Z701" s="1629"/>
      <c r="AA701" s="1629"/>
      <c r="AB701" s="1629"/>
      <c r="AC701" s="1629"/>
      <c r="AD701" s="1629"/>
      <c r="AE701" s="1629"/>
      <c r="AF701" s="1629"/>
      <c r="AG701" s="1629"/>
      <c r="AH701" s="1629"/>
      <c r="AI701" s="1629"/>
      <c r="AJ701" s="1629"/>
      <c r="AK701" s="1629"/>
      <c r="AL701" s="1629"/>
      <c r="AM701" s="2610"/>
    </row>
    <row r="702" spans="1:39" ht="12.6" hidden="1" customHeight="1">
      <c r="A702" s="1629"/>
      <c r="B702" s="1629"/>
      <c r="C702" s="1629"/>
      <c r="D702" s="1629"/>
      <c r="E702" s="1629"/>
      <c r="F702" s="1629"/>
      <c r="G702" s="1629"/>
      <c r="H702" s="1629"/>
      <c r="I702" s="1629"/>
      <c r="J702" s="1629"/>
      <c r="K702" s="1629"/>
      <c r="L702" s="1629"/>
      <c r="M702" s="1629"/>
      <c r="N702" s="1629"/>
      <c r="O702" s="1629"/>
      <c r="P702" s="1629"/>
      <c r="Q702" s="1629"/>
      <c r="R702" s="1629"/>
      <c r="S702" s="1629"/>
      <c r="T702" s="1629"/>
      <c r="U702" s="1629"/>
      <c r="V702" s="1629"/>
      <c r="W702" s="1629"/>
      <c r="X702" s="1629"/>
      <c r="Y702" s="1629"/>
      <c r="Z702" s="1629"/>
      <c r="AA702" s="1629"/>
      <c r="AB702" s="1629"/>
      <c r="AC702" s="1629"/>
      <c r="AD702" s="1629"/>
      <c r="AE702" s="1629"/>
      <c r="AF702" s="1629"/>
      <c r="AG702" s="1629"/>
      <c r="AH702" s="1629"/>
      <c r="AI702" s="1629"/>
      <c r="AJ702" s="1629"/>
      <c r="AK702" s="1629"/>
      <c r="AL702" s="1629"/>
      <c r="AM702" s="2610"/>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formula1>"N/A, Yes"</formula1>
    </dataValidation>
    <dataValidation type="whole" allowBlank="1" showInputMessage="1" showErrorMessage="1" error="Please enter whole numbers only" sqref="E583:E591">
      <formula1>0</formula1>
      <formula2>100000000</formula2>
    </dataValidation>
    <dataValidation type="list" allowBlank="1" showInputMessage="1" showErrorMessage="1" sqref="G520:AF520">
      <formula1>$AO$495:$AO$498</formula1>
    </dataValidation>
    <dataValidation type="list" allowBlank="1" showInputMessage="1" showErrorMessage="1" sqref="H256:I256 H142:I142 H154:I154 H206:I206 H218:I218 H230:I230 H244:I244">
      <formula1>$AO$101:$AO$103</formula1>
    </dataValidation>
    <dataValidation type="list" allowBlank="1" showInputMessage="1" showErrorMessage="1" sqref="H271:I271">
      <formula1>$AP$216:$AP$218</formula1>
    </dataValidation>
    <dataValidation type="list" showInputMessage="1" showErrorMessage="1" sqref="AA303:AK303 H303:R303 AA312:AK312 H312:R312 AA321:AK321 H321:R321 AA330:AK330 H330:R330 H294:R294 AA294:AK294">
      <formula1>$AP$205:$AP$215</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V494:X494">
      <formula1>$AO$468:$AO$470</formula1>
    </dataValidation>
    <dataValidation type="list" allowBlank="1" showInputMessage="1" showErrorMessage="1" sqref="V503:X503">
      <formula1>$AW$468:$AW$471</formula1>
    </dataValidation>
    <dataValidation type="list" allowBlank="1" showInputMessage="1" showErrorMessage="1" sqref="V505:X505">
      <formula1>$BA$468:$BA$470</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87:Z487">
      <formula1>$AO$458:$AO$466</formula1>
    </dataValidation>
    <dataValidation type="list" allowBlank="1" showInputMessage="1" showErrorMessage="1" sqref="F510:Z510">
      <formula1>$AO$478:$AO$486</formula1>
    </dataValidation>
    <dataValidation type="list" allowBlank="1" showInputMessage="1" showErrorMessage="1" sqref="F515:H515">
      <formula1>$AO$488:$AO$490</formula1>
    </dataValidation>
    <dataValidation type="list" allowBlank="1" showInputMessage="1" showErrorMessage="1" sqref="V499:X499">
      <formula1>$AO$472:$AO$474</formula1>
    </dataValidation>
    <dataValidation type="whole" allowBlank="1" showInputMessage="1" showErrorMessage="1" sqref="AJ616:AK616">
      <formula1>0</formula1>
      <formula2>2</formula2>
    </dataValidation>
    <dataValidation type="list" allowBlank="1" showInputMessage="1" showErrorMessage="1" sqref="F531">
      <formula1>$AO$501:$AO$504</formula1>
    </dataValidation>
    <dataValidation type="list" allowBlank="1" showInputMessage="1" showErrorMessage="1" sqref="H281:I281">
      <formula1>$AO$276:$AO$277</formula1>
    </dataValidation>
    <dataValidation type="list" allowBlank="1" showInputMessage="1" showErrorMessage="1" sqref="V492:X492">
      <formula1>$AR$468:$AR$470</formula1>
    </dataValidation>
    <dataValidation type="list" showInputMessage="1" showErrorMessage="1" sqref="B71:K71">
      <formula1>$AP$45:$AP$50</formula1>
    </dataValidation>
    <dataValidation type="list" allowBlank="1" showInputMessage="1" showErrorMessage="1" sqref="C35:AD35">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topLeftCell="A7" zoomScaleNormal="100" zoomScaleSheetLayoutView="80" workbookViewId="0">
      <selection activeCell="L22" sqref="L22"/>
    </sheetView>
  </sheetViews>
  <sheetFormatPr defaultColWidth="9" defaultRowHeight="14.25" zeroHeight="1"/>
  <cols>
    <col min="1" max="2" width="2.42578125" style="449" customWidth="1"/>
    <col min="3" max="3" width="3.85546875" style="449" customWidth="1"/>
    <col min="4" max="4" width="15.42578125" style="449" customWidth="1"/>
    <col min="5" max="5" width="32.42578125" style="449" customWidth="1"/>
    <col min="6" max="8" width="15.42578125" style="449" customWidth="1"/>
    <col min="9" max="9" width="40.42578125" style="449" customWidth="1"/>
    <col min="10" max="10" width="30.42578125" style="449" customWidth="1"/>
    <col min="11" max="13" width="2.42578125" style="449" customWidth="1"/>
    <col min="14" max="14" width="29.7109375" style="449" customWidth="1"/>
    <col min="15" max="24" width="2.42578125" style="449" customWidth="1"/>
    <col min="25" max="33" width="9" style="449" customWidth="1"/>
    <col min="34" max="16384" width="9" style="449"/>
  </cols>
  <sheetData>
    <row r="1" spans="1:33" ht="15">
      <c r="A1" s="2619" t="s">
        <v>129</v>
      </c>
      <c r="B1" s="2619"/>
      <c r="C1" s="2619"/>
      <c r="D1" s="2619"/>
      <c r="E1" s="2619"/>
      <c r="F1" s="2619"/>
      <c r="G1" s="2619"/>
      <c r="H1" s="2619"/>
      <c r="I1" s="2619"/>
      <c r="J1" s="2619"/>
      <c r="K1" s="2619"/>
      <c r="L1" s="448"/>
      <c r="M1" s="448"/>
      <c r="N1" s="448"/>
      <c r="O1" s="448"/>
      <c r="P1" s="448"/>
      <c r="Q1" s="448"/>
      <c r="R1" s="448"/>
      <c r="S1" s="448"/>
      <c r="T1" s="448"/>
      <c r="U1" s="448"/>
      <c r="V1" s="448"/>
      <c r="W1" s="448"/>
      <c r="X1" s="448"/>
      <c r="Y1" s="448"/>
      <c r="Z1" s="448"/>
      <c r="AA1" s="448"/>
      <c r="AB1" s="448"/>
      <c r="AC1" s="448"/>
      <c r="AD1" s="448"/>
      <c r="AE1" s="448"/>
      <c r="AF1" s="448"/>
      <c r="AG1" s="448"/>
    </row>
    <row r="2" spans="1:33" ht="15">
      <c r="A2" s="2619"/>
      <c r="B2" s="2619"/>
      <c r="C2" s="2619"/>
      <c r="D2" s="2619"/>
      <c r="E2" s="2619"/>
      <c r="F2" s="2619"/>
      <c r="G2" s="2619"/>
      <c r="H2" s="2619"/>
      <c r="I2" s="2619"/>
      <c r="J2" s="2619"/>
      <c r="K2" s="2619"/>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631" t="s">
        <v>654</v>
      </c>
      <c r="D4" s="2631"/>
      <c r="E4" s="2631"/>
      <c r="F4" s="2631"/>
      <c r="G4" s="2631"/>
      <c r="H4" s="2631"/>
      <c r="I4" s="2631"/>
      <c r="J4" s="2631"/>
    </row>
    <row r="5" spans="1:33">
      <c r="C5" s="2631"/>
      <c r="D5" s="2631"/>
      <c r="E5" s="2631"/>
      <c r="F5" s="2631"/>
      <c r="G5" s="2631"/>
      <c r="H5" s="2631"/>
      <c r="I5" s="2631"/>
      <c r="J5" s="2631"/>
    </row>
    <row r="6" spans="1:33">
      <c r="C6" s="461"/>
      <c r="D6" s="461"/>
      <c r="E6" s="461"/>
      <c r="F6" s="461"/>
      <c r="G6" s="461"/>
      <c r="H6" s="461"/>
      <c r="I6" s="461"/>
      <c r="J6" s="461"/>
    </row>
    <row r="7" spans="1:33">
      <c r="C7" s="462" t="s">
        <v>814</v>
      </c>
      <c r="D7" s="461"/>
      <c r="E7" s="2626" t="str">
        <f>Application!H15</f>
        <v>Silvercrest, Inc.</v>
      </c>
      <c r="F7" s="2626"/>
      <c r="G7" s="2626"/>
      <c r="H7" s="461"/>
      <c r="I7" s="462" t="s">
        <v>1948</v>
      </c>
      <c r="J7" s="1093">
        <f>Application!AG433+Application!AG431</f>
        <v>59</v>
      </c>
    </row>
    <row r="8" spans="1:33">
      <c r="C8" s="462" t="s">
        <v>815</v>
      </c>
      <c r="D8" s="461"/>
      <c r="E8" s="2626" t="str">
        <f>Application!H17</f>
        <v xml:space="preserve">Avalon Commons - Phase I </v>
      </c>
      <c r="F8" s="2626"/>
      <c r="G8" s="2626"/>
      <c r="H8" s="461"/>
      <c r="I8" s="462" t="s">
        <v>1949</v>
      </c>
      <c r="J8" s="1096">
        <f>Application!$CQ$650</f>
        <v>129</v>
      </c>
    </row>
    <row r="9" spans="1:33" ht="14.25" customHeight="1">
      <c r="C9" s="462" t="s">
        <v>816</v>
      </c>
      <c r="D9" s="461"/>
      <c r="E9" s="2632" t="str">
        <f>Application!D214</f>
        <v>Large Family</v>
      </c>
      <c r="F9" s="2632"/>
      <c r="G9" s="2632"/>
      <c r="H9" s="461"/>
      <c r="I9" s="462" t="s">
        <v>1950</v>
      </c>
      <c r="J9" s="1547"/>
      <c r="N9" s="1092"/>
    </row>
    <row r="10" spans="1:33" ht="26.85" customHeight="1">
      <c r="C10" s="2631" t="s">
        <v>1947</v>
      </c>
      <c r="D10" s="2631"/>
      <c r="E10" s="2633" t="str">
        <f>Application!$E$217</f>
        <v>N/A</v>
      </c>
      <c r="F10" s="2633"/>
      <c r="G10" s="2633"/>
      <c r="H10" s="1090"/>
      <c r="I10" s="1095" t="s">
        <v>1951</v>
      </c>
      <c r="J10" s="1094">
        <f>IF(J9&gt;0,J8-J9,J8)</f>
        <v>129</v>
      </c>
      <c r="N10" s="1092"/>
    </row>
    <row r="11" spans="1:33">
      <c r="C11" s="451"/>
      <c r="N11" s="1092"/>
    </row>
    <row r="12" spans="1:33" ht="15" customHeight="1">
      <c r="C12" s="2620" t="s">
        <v>960</v>
      </c>
      <c r="D12" s="2621"/>
      <c r="E12" s="2622"/>
      <c r="F12" s="2627" t="s">
        <v>1219</v>
      </c>
      <c r="G12" s="2627" t="s">
        <v>961</v>
      </c>
      <c r="H12" s="2629" t="s">
        <v>2068</v>
      </c>
      <c r="I12" s="2627" t="s">
        <v>1220</v>
      </c>
      <c r="J12" s="2627" t="s">
        <v>2067</v>
      </c>
      <c r="N12" s="1092"/>
    </row>
    <row r="13" spans="1:33" ht="68.25" customHeight="1">
      <c r="C13" s="2623"/>
      <c r="D13" s="2624"/>
      <c r="E13" s="2625"/>
      <c r="F13" s="2628"/>
      <c r="G13" s="2628"/>
      <c r="H13" s="2630"/>
      <c r="I13" s="2628"/>
      <c r="J13" s="2628"/>
    </row>
    <row r="14" spans="1:33" ht="15" customHeight="1">
      <c r="C14" s="1108" t="s">
        <v>2209</v>
      </c>
      <c r="D14" s="1109"/>
      <c r="E14" s="1109"/>
      <c r="F14" s="1106"/>
      <c r="G14" s="1106"/>
      <c r="H14" s="1107"/>
      <c r="I14" s="1107"/>
      <c r="J14" s="1107"/>
    </row>
    <row r="15" spans="1:33">
      <c r="C15" s="452" t="s">
        <v>962</v>
      </c>
      <c r="D15" s="449" t="s">
        <v>972</v>
      </c>
      <c r="F15" s="458">
        <v>0.25</v>
      </c>
      <c r="G15" s="459">
        <v>15965</v>
      </c>
      <c r="H15" s="641" t="s">
        <v>2464</v>
      </c>
      <c r="I15" s="641" t="s">
        <v>2465</v>
      </c>
      <c r="J15" s="641" t="s">
        <v>2466</v>
      </c>
    </row>
    <row r="16" spans="1:33">
      <c r="C16" s="452" t="s">
        <v>963</v>
      </c>
      <c r="D16" s="449" t="s">
        <v>973</v>
      </c>
      <c r="F16" s="458"/>
      <c r="G16" s="638"/>
      <c r="H16" s="641"/>
      <c r="I16" s="641"/>
      <c r="J16" s="641"/>
    </row>
    <row r="17" spans="3:10">
      <c r="C17" s="452" t="s">
        <v>964</v>
      </c>
      <c r="D17" s="449" t="s">
        <v>1118</v>
      </c>
      <c r="F17" s="458" t="s">
        <v>2468</v>
      </c>
      <c r="G17" s="638">
        <v>5040</v>
      </c>
      <c r="H17" s="641" t="s">
        <v>2467</v>
      </c>
      <c r="I17" s="641" t="s">
        <v>2465</v>
      </c>
      <c r="J17" s="641" t="s">
        <v>2466</v>
      </c>
    </row>
    <row r="18" spans="3:10">
      <c r="C18" s="452" t="s">
        <v>965</v>
      </c>
      <c r="D18" s="450" t="s">
        <v>1119</v>
      </c>
      <c r="E18" s="450"/>
      <c r="F18" s="458"/>
      <c r="G18" s="638"/>
      <c r="H18" s="641"/>
      <c r="I18" s="641"/>
      <c r="J18" s="641"/>
    </row>
    <row r="19" spans="3:10">
      <c r="C19" s="452" t="s">
        <v>966</v>
      </c>
      <c r="D19" s="450" t="s">
        <v>386</v>
      </c>
      <c r="E19" s="450"/>
      <c r="F19" s="458"/>
      <c r="G19" s="638"/>
      <c r="H19" s="641"/>
      <c r="I19" s="641"/>
      <c r="J19" s="641"/>
    </row>
    <row r="20" spans="3:10">
      <c r="C20" s="452" t="s">
        <v>967</v>
      </c>
      <c r="D20" s="450" t="s">
        <v>387</v>
      </c>
      <c r="E20" s="1120"/>
      <c r="F20" s="1119"/>
      <c r="G20" s="638"/>
      <c r="H20" s="641"/>
      <c r="I20" s="641"/>
      <c r="J20" s="641"/>
    </row>
    <row r="21" spans="3:10">
      <c r="C21" s="1097"/>
      <c r="D21" s="1098"/>
      <c r="E21" s="1099"/>
      <c r="F21" s="1119"/>
      <c r="G21" s="638"/>
      <c r="H21" s="641"/>
      <c r="I21" s="641"/>
      <c r="J21" s="641"/>
    </row>
    <row r="22" spans="3:10">
      <c r="C22" s="1110" t="s">
        <v>1891</v>
      </c>
      <c r="D22" s="1111"/>
      <c r="E22" s="1111"/>
      <c r="F22" s="1112"/>
      <c r="G22" s="1113"/>
      <c r="H22" s="1114"/>
      <c r="I22" s="1114"/>
      <c r="J22" s="1114"/>
    </row>
    <row r="23" spans="3:10">
      <c r="C23" s="452" t="s">
        <v>968</v>
      </c>
      <c r="D23" s="450" t="s">
        <v>1120</v>
      </c>
      <c r="E23" s="450"/>
      <c r="F23" s="458"/>
      <c r="G23" s="638"/>
      <c r="H23" s="641"/>
      <c r="I23" s="641"/>
      <c r="J23" s="641"/>
    </row>
    <row r="24" spans="3:10">
      <c r="C24" s="452" t="s">
        <v>969</v>
      </c>
      <c r="D24" s="450" t="s">
        <v>1121</v>
      </c>
      <c r="E24" s="450"/>
      <c r="F24" s="458"/>
      <c r="G24" s="638"/>
      <c r="H24" s="641"/>
      <c r="I24" s="641"/>
      <c r="J24" s="641"/>
    </row>
    <row r="25" spans="3:10">
      <c r="C25" s="452" t="s">
        <v>970</v>
      </c>
      <c r="D25" s="449" t="s">
        <v>1118</v>
      </c>
      <c r="E25" s="450"/>
      <c r="F25" s="458"/>
      <c r="G25" s="638"/>
      <c r="H25" s="641"/>
      <c r="I25" s="641"/>
      <c r="J25" s="641"/>
    </row>
    <row r="26" spans="3:10">
      <c r="C26" s="452" t="s">
        <v>1122</v>
      </c>
      <c r="D26" s="450" t="s">
        <v>1965</v>
      </c>
      <c r="E26" s="450"/>
      <c r="F26" s="458"/>
      <c r="G26" s="638"/>
      <c r="H26" s="641"/>
      <c r="I26" s="641"/>
      <c r="J26" s="641"/>
    </row>
    <row r="27" spans="3:10">
      <c r="C27" s="452" t="s">
        <v>1123</v>
      </c>
      <c r="D27" s="450" t="s">
        <v>386</v>
      </c>
      <c r="E27" s="450"/>
      <c r="F27" s="458"/>
      <c r="G27" s="638"/>
      <c r="H27" s="641"/>
      <c r="I27" s="641"/>
      <c r="J27" s="641"/>
    </row>
    <row r="28" spans="3:10">
      <c r="C28" s="452" t="s">
        <v>1124</v>
      </c>
      <c r="D28" s="450" t="s">
        <v>387</v>
      </c>
      <c r="E28" s="450"/>
      <c r="F28" s="458"/>
      <c r="G28" s="638"/>
      <c r="H28" s="641"/>
      <c r="I28" s="641"/>
      <c r="J28" s="641"/>
    </row>
    <row r="29" spans="3:10">
      <c r="C29" s="1121"/>
      <c r="D29" s="451"/>
      <c r="E29" s="451"/>
      <c r="F29" s="458"/>
      <c r="G29" s="638"/>
      <c r="H29" s="641"/>
      <c r="I29" s="641"/>
      <c r="J29" s="641"/>
    </row>
    <row r="30" spans="3:10" ht="15">
      <c r="C30" s="1115" t="s">
        <v>971</v>
      </c>
      <c r="D30" s="1111"/>
      <c r="E30" s="1111"/>
      <c r="F30" s="1116"/>
      <c r="G30" s="1117"/>
      <c r="H30" s="1118"/>
      <c r="I30" s="1118"/>
      <c r="J30" s="1118"/>
    </row>
    <row r="31" spans="3:10">
      <c r="C31" s="452"/>
      <c r="D31" s="457"/>
      <c r="E31" s="457" t="s">
        <v>2535</v>
      </c>
      <c r="F31" s="458"/>
      <c r="G31" s="638">
        <v>2595</v>
      </c>
      <c r="H31" s="641" t="s">
        <v>2464</v>
      </c>
      <c r="I31" s="641" t="s">
        <v>2465</v>
      </c>
      <c r="J31" s="641" t="s">
        <v>2466</v>
      </c>
    </row>
    <row r="32" spans="3:10">
      <c r="C32" s="452"/>
      <c r="D32" s="457" t="s">
        <v>2536</v>
      </c>
      <c r="E32" s="457"/>
      <c r="F32" s="458"/>
      <c r="G32" s="638">
        <v>44150</v>
      </c>
      <c r="H32" s="641" t="s">
        <v>2464</v>
      </c>
      <c r="I32" s="641" t="s">
        <v>2532</v>
      </c>
      <c r="J32" s="641" t="s">
        <v>2533</v>
      </c>
    </row>
    <row r="33" spans="3:10">
      <c r="C33" s="452"/>
      <c r="D33" s="457" t="s">
        <v>2536</v>
      </c>
      <c r="E33" s="457"/>
      <c r="F33" s="458"/>
      <c r="G33" s="638">
        <v>79583</v>
      </c>
      <c r="H33" s="641" t="s">
        <v>2537</v>
      </c>
      <c r="I33" s="641" t="s">
        <v>2532</v>
      </c>
      <c r="J33" s="641" t="s">
        <v>2533</v>
      </c>
    </row>
    <row r="34" spans="3:10">
      <c r="C34" s="452"/>
      <c r="F34" s="453"/>
      <c r="G34" s="453"/>
      <c r="H34" s="453"/>
      <c r="I34" s="453"/>
      <c r="J34" s="453"/>
    </row>
    <row r="35" spans="3:10" ht="15">
      <c r="C35" s="454" t="s">
        <v>974</v>
      </c>
      <c r="D35" s="455"/>
      <c r="E35" s="455"/>
      <c r="F35" s="639"/>
      <c r="G35" s="456">
        <f>SUM(G15:G33)</f>
        <v>147333</v>
      </c>
      <c r="H35" s="640"/>
      <c r="I35" s="640"/>
      <c r="J35" s="640"/>
    </row>
    <row r="36" spans="3:10"/>
    <row r="37" spans="3:10" ht="16.5">
      <c r="C37" s="447" t="s">
        <v>1966</v>
      </c>
    </row>
    <row r="38" spans="3:10" s="460" customFormat="1" ht="17.25" customHeight="1">
      <c r="C38" s="475" t="s">
        <v>2069</v>
      </c>
    </row>
    <row r="39" spans="3:10" s="460" customFormat="1" ht="15">
      <c r="C39" s="460" t="s">
        <v>2070</v>
      </c>
    </row>
    <row r="40" spans="3:10" s="460" customFormat="1"/>
    <row r="41" spans="3:10" s="460" customFormat="1"/>
    <row r="42" spans="3:10" s="460" customFormat="1" hidden="1"/>
    <row r="43" spans="3:10" s="460" customFormat="1" hidden="1"/>
    <row r="44" spans="3:10" s="460" customFormat="1" hidden="1"/>
    <row r="45" spans="3:10" s="460" customFormat="1" hidden="1"/>
    <row r="46" spans="3:10" s="460" customFormat="1" hidden="1"/>
    <row r="47" spans="3:10" s="460" customFormat="1" hidden="1"/>
    <row r="48" spans="3:10" s="460" customFormat="1" hidden="1"/>
    <row r="49" s="460" customFormat="1" hidden="1"/>
    <row r="50" s="460" customFormat="1" hidden="1"/>
    <row r="51" s="460" customFormat="1" hidden="1"/>
    <row r="52" s="460" customFormat="1" hidden="1"/>
    <row r="53" s="460"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4"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21</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Sheila Scheitrum</cp:lastModifiedBy>
  <cp:lastPrinted>2021-06-30T23:51:18Z</cp:lastPrinted>
  <dcterms:created xsi:type="dcterms:W3CDTF">2007-12-27T18:26:28Z</dcterms:created>
  <dcterms:modified xsi:type="dcterms:W3CDTF">2021-07-01T22:26:35Z</dcterms:modified>
</cp:coreProperties>
</file>