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S:\Ventana al Sur - San Diego - Santiago\3.2 CTCAC (VaS)\Ready For Review\Reviewed\"/>
    </mc:Choice>
  </mc:AlternateContent>
  <xr:revisionPtr revIDLastSave="0" documentId="13_ncr:1_{BB1C401D-7077-4529-8E3C-7690CD0E48DB}" xr6:coauthVersionLast="47" xr6:coauthVersionMax="47" xr10:uidLastSave="{00000000-0000-0000-0000-000000000000}"/>
  <bookViews>
    <workbookView xWindow="28680" yWindow="-120" windowWidth="29040" windowHeight="15840" tabRatio="904"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711" i="3" l="1"/>
  <c r="O710" i="3"/>
  <c r="O708" i="3"/>
  <c r="O707" i="3"/>
  <c r="O706" i="3"/>
  <c r="AB49" i="5" l="1"/>
  <c r="F30" i="4" l="1"/>
  <c r="G30" i="4"/>
  <c r="H30" i="4"/>
  <c r="I98" i="4"/>
  <c r="J98" i="4"/>
  <c r="H579" i="3"/>
  <c r="AA579" i="3"/>
  <c r="AG441" i="3"/>
  <c r="AG436" i="3"/>
  <c r="H335" i="3"/>
  <c r="E91" i="25"/>
  <c r="E90" i="25"/>
  <c r="E43" i="25"/>
  <c r="E42" i="25"/>
  <c r="E61" i="9"/>
  <c r="AF632" i="3"/>
  <c r="AF634" i="3"/>
  <c r="E40" i="9"/>
  <c r="A40" i="9"/>
  <c r="I27" i="9"/>
  <c r="K27" i="9" s="1"/>
  <c r="M27" i="9" s="1"/>
  <c r="O27" i="9" s="1"/>
  <c r="Q27" i="9" s="1"/>
  <c r="S27" i="9" s="1"/>
  <c r="U27" i="9" s="1"/>
  <c r="W27" i="9" s="1"/>
  <c r="Y27" i="9" s="1"/>
  <c r="AA27" i="9" s="1"/>
  <c r="AC27" i="9" s="1"/>
  <c r="AE27" i="9" s="1"/>
  <c r="AG27" i="9" s="1"/>
  <c r="AI27" i="9" s="1"/>
  <c r="AK27" i="9" s="1"/>
  <c r="AM27" i="9" s="1"/>
  <c r="AO27" i="9" s="1"/>
  <c r="AQ27" i="9" s="1"/>
  <c r="AS27" i="9" s="1"/>
  <c r="AU27" i="9" s="1"/>
  <c r="AW27" i="9" s="1"/>
  <c r="AY27" i="9" s="1"/>
  <c r="BA27" i="9" s="1"/>
  <c r="BC27" i="9" s="1"/>
  <c r="BE27" i="9" s="1"/>
  <c r="BG27" i="9" s="1"/>
  <c r="BI27" i="9" s="1"/>
  <c r="BK27" i="9" s="1"/>
  <c r="BM27" i="9" s="1"/>
  <c r="BO27" i="9" s="1"/>
  <c r="BQ27" i="9" s="1"/>
  <c r="BS27" i="9" s="1"/>
  <c r="BU27" i="9" s="1"/>
  <c r="BW27" i="9" s="1"/>
  <c r="BY27" i="9" s="1"/>
  <c r="CA27" i="9" s="1"/>
  <c r="CC27" i="9" s="1"/>
  <c r="CE27" i="9" s="1"/>
  <c r="CG27" i="9" s="1"/>
  <c r="CI27" i="9" s="1"/>
  <c r="CK27" i="9" s="1"/>
  <c r="CM27" i="9" s="1"/>
  <c r="CO27" i="9" s="1"/>
  <c r="CQ27" i="9" s="1"/>
  <c r="CS27" i="9" s="1"/>
  <c r="CU27" i="9" s="1"/>
  <c r="CW27" i="9" s="1"/>
  <c r="CY27" i="9" s="1"/>
  <c r="DA27" i="9" s="1"/>
  <c r="DC27" i="9" s="1"/>
  <c r="DE27" i="9" s="1"/>
  <c r="DG27" i="9" s="1"/>
  <c r="DI27" i="9" s="1"/>
  <c r="DK27" i="9" s="1"/>
  <c r="DM27" i="9" s="1"/>
  <c r="DO27" i="9" s="1"/>
  <c r="DQ27" i="9" s="1"/>
  <c r="DS27" i="9" s="1"/>
  <c r="DU27" i="9" s="1"/>
  <c r="DW27" i="9" s="1"/>
  <c r="DY27" i="9" s="1"/>
  <c r="EA27" i="9" s="1"/>
  <c r="EC27" i="9" s="1"/>
  <c r="EE27" i="9" s="1"/>
  <c r="EG27" i="9" s="1"/>
  <c r="EI27" i="9" s="1"/>
  <c r="EK27" i="9" s="1"/>
  <c r="EM27" i="9" s="1"/>
  <c r="EO27" i="9" s="1"/>
  <c r="EQ27" i="9" s="1"/>
  <c r="ES27" i="9" s="1"/>
  <c r="EU27" i="9" s="1"/>
  <c r="EW27" i="9" s="1"/>
  <c r="EY27" i="9" s="1"/>
  <c r="FA27" i="9" s="1"/>
  <c r="FC27" i="9" s="1"/>
  <c r="FE27" i="9" s="1"/>
  <c r="FG27" i="9" s="1"/>
  <c r="FI27" i="9" s="1"/>
  <c r="FK27" i="9" s="1"/>
  <c r="FM27" i="9" s="1"/>
  <c r="FO27" i="9" s="1"/>
  <c r="FQ27" i="9" s="1"/>
  <c r="FS27" i="9" s="1"/>
  <c r="FU27" i="9" s="1"/>
  <c r="FW27" i="9" s="1"/>
  <c r="FY27" i="9" s="1"/>
  <c r="GA27" i="9" s="1"/>
  <c r="GC27" i="9" s="1"/>
  <c r="GE27" i="9" s="1"/>
  <c r="GG27" i="9" s="1"/>
  <c r="GI27" i="9" s="1"/>
  <c r="GK27" i="9" s="1"/>
  <c r="GM27" i="9" s="1"/>
  <c r="GO27" i="9" s="1"/>
  <c r="GQ27" i="9" s="1"/>
  <c r="GS27" i="9" s="1"/>
  <c r="GU27" i="9" s="1"/>
  <c r="GW27" i="9" s="1"/>
  <c r="GY27" i="9" s="1"/>
  <c r="HA27" i="9" s="1"/>
  <c r="HC27" i="9" s="1"/>
  <c r="HE27" i="9" s="1"/>
  <c r="HG27" i="9" s="1"/>
  <c r="HI27" i="9" s="1"/>
  <c r="HK27" i="9" s="1"/>
  <c r="HM27" i="9" s="1"/>
  <c r="HO27" i="9" s="1"/>
  <c r="HQ27" i="9" s="1"/>
  <c r="HS27" i="9" s="1"/>
  <c r="HU27" i="9" s="1"/>
  <c r="HW27" i="9" s="1"/>
  <c r="HY27" i="9" s="1"/>
  <c r="IA27" i="9" s="1"/>
  <c r="IC27" i="9" s="1"/>
  <c r="IE27" i="9" s="1"/>
  <c r="IG27" i="9" s="1"/>
  <c r="II27" i="9" s="1"/>
  <c r="IK27" i="9" s="1"/>
  <c r="IM27" i="9" s="1"/>
  <c r="IO27" i="9"/>
  <c r="IQ27" i="9" s="1"/>
  <c r="IS27" i="9" s="1"/>
  <c r="IU27" i="9" s="1"/>
  <c r="IW27" i="9" s="1"/>
  <c r="IY27" i="9" s="1"/>
  <c r="JA27" i="9" s="1"/>
  <c r="JC27" i="9" s="1"/>
  <c r="JE27" i="9" s="1"/>
  <c r="JG27" i="9" s="1"/>
  <c r="JI27" i="9" s="1"/>
  <c r="JK27" i="9" s="1"/>
  <c r="JM27" i="9" s="1"/>
  <c r="JO27" i="9" s="1"/>
  <c r="JQ27" i="9" s="1"/>
  <c r="JS27" i="9" s="1"/>
  <c r="JU27" i="9" s="1"/>
  <c r="JW27" i="9" s="1"/>
  <c r="JY27" i="9" s="1"/>
  <c r="KA27" i="9" s="1"/>
  <c r="KC27" i="9" s="1"/>
  <c r="KE27" i="9" s="1"/>
  <c r="KG27" i="9" s="1"/>
  <c r="KI27" i="9" s="1"/>
  <c r="KK27" i="9" s="1"/>
  <c r="KM27" i="9" s="1"/>
  <c r="KO27" i="9" s="1"/>
  <c r="KQ27" i="9" s="1"/>
  <c r="KS27" i="9" s="1"/>
  <c r="KU27" i="9" s="1"/>
  <c r="KW27" i="9" s="1"/>
  <c r="KY27" i="9" s="1"/>
  <c r="LA27" i="9" s="1"/>
  <c r="LC27" i="9" s="1"/>
  <c r="LE27" i="9" s="1"/>
  <c r="LG27" i="9" s="1"/>
  <c r="LI27" i="9" s="1"/>
  <c r="LK27" i="9" s="1"/>
  <c r="LM27" i="9" s="1"/>
  <c r="LO27" i="9" s="1"/>
  <c r="LQ27" i="9" s="1"/>
  <c r="LS27" i="9" s="1"/>
  <c r="LU27" i="9" s="1"/>
  <c r="LW27" i="9" s="1"/>
  <c r="LY27" i="9" s="1"/>
  <c r="MA27" i="9" s="1"/>
  <c r="MC27" i="9" s="1"/>
  <c r="ME27" i="9" s="1"/>
  <c r="MG27" i="9" s="1"/>
  <c r="MI27" i="9" s="1"/>
  <c r="MK27" i="9" s="1"/>
  <c r="MM27" i="9" s="1"/>
  <c r="MO27" i="9" s="1"/>
  <c r="MQ27" i="9" s="1"/>
  <c r="MS27" i="9" s="1"/>
  <c r="MU27" i="9" s="1"/>
  <c r="MW27" i="9" s="1"/>
  <c r="MY27" i="9" s="1"/>
  <c r="NA27" i="9" s="1"/>
  <c r="NC27" i="9" s="1"/>
  <c r="NE27" i="9" s="1"/>
  <c r="NG27" i="9" s="1"/>
  <c r="NI27" i="9" s="1"/>
  <c r="NK27" i="9" s="1"/>
  <c r="NM27" i="9" s="1"/>
  <c r="NO27" i="9" s="1"/>
  <c r="NQ27" i="9" s="1"/>
  <c r="NS27" i="9" s="1"/>
  <c r="NU27" i="9" s="1"/>
  <c r="NW27" i="9" s="1"/>
  <c r="NY27" i="9" s="1"/>
  <c r="OA27" i="9" s="1"/>
  <c r="OC27" i="9" s="1"/>
  <c r="OE27" i="9" s="1"/>
  <c r="OG27" i="9" s="1"/>
  <c r="OI27" i="9" s="1"/>
  <c r="OK27" i="9" s="1"/>
  <c r="OM27" i="9" s="1"/>
  <c r="OO27" i="9" s="1"/>
  <c r="OQ27" i="9" s="1"/>
  <c r="OS27" i="9" s="1"/>
  <c r="OU27" i="9" s="1"/>
  <c r="OW27" i="9" s="1"/>
  <c r="OY27" i="9" s="1"/>
  <c r="PA27" i="9" s="1"/>
  <c r="PC27" i="9" s="1"/>
  <c r="PE27" i="9" s="1"/>
  <c r="PG27" i="9" s="1"/>
  <c r="PI27" i="9" s="1"/>
  <c r="PK27" i="9" s="1"/>
  <c r="PM27" i="9" s="1"/>
  <c r="PO27" i="9" s="1"/>
  <c r="PQ27" i="9" s="1"/>
  <c r="PS27" i="9" s="1"/>
  <c r="PU27" i="9" s="1"/>
  <c r="PW27" i="9" s="1"/>
  <c r="PY27" i="9" s="1"/>
  <c r="QA27" i="9" s="1"/>
  <c r="QC27" i="9" s="1"/>
  <c r="QE27" i="9" s="1"/>
  <c r="QG27" i="9" s="1"/>
  <c r="QI27" i="9" s="1"/>
  <c r="QK27" i="9" s="1"/>
  <c r="QM27" i="9" s="1"/>
  <c r="QO27" i="9" s="1"/>
  <c r="QQ27" i="9" s="1"/>
  <c r="QS27" i="9" s="1"/>
  <c r="QU27" i="9" s="1"/>
  <c r="QW27" i="9" s="1"/>
  <c r="QY27" i="9" s="1"/>
  <c r="RA27" i="9" s="1"/>
  <c r="RC27" i="9" s="1"/>
  <c r="RE27" i="9" s="1"/>
  <c r="RG27" i="9" s="1"/>
  <c r="RI27" i="9" s="1"/>
  <c r="RK27" i="9" s="1"/>
  <c r="RM27" i="9" s="1"/>
  <c r="RO27" i="9" s="1"/>
  <c r="RQ27" i="9" s="1"/>
  <c r="RS27" i="9" s="1"/>
  <c r="RU27" i="9" s="1"/>
  <c r="RW27" i="9" s="1"/>
  <c r="RY27" i="9" s="1"/>
  <c r="SA27" i="9" s="1"/>
  <c r="SC27" i="9" s="1"/>
  <c r="SE27" i="9" s="1"/>
  <c r="SG27" i="9" s="1"/>
  <c r="SI27" i="9" s="1"/>
  <c r="SK27" i="9" s="1"/>
  <c r="SM27" i="9" s="1"/>
  <c r="SO27" i="9" s="1"/>
  <c r="SQ27" i="9" s="1"/>
  <c r="SS27" i="9" s="1"/>
  <c r="SU27" i="9" s="1"/>
  <c r="SW27" i="9" s="1"/>
  <c r="SY27" i="9" s="1"/>
  <c r="TA27" i="9" s="1"/>
  <c r="TC27" i="9" s="1"/>
  <c r="TE27" i="9" s="1"/>
  <c r="TG27" i="9" s="1"/>
  <c r="TI27" i="9" s="1"/>
  <c r="TK27" i="9" s="1"/>
  <c r="TM27" i="9" s="1"/>
  <c r="TO27" i="9" s="1"/>
  <c r="TQ27" i="9" s="1"/>
  <c r="TS27" i="9" s="1"/>
  <c r="TU27" i="9" s="1"/>
  <c r="TW27" i="9" s="1"/>
  <c r="TY27" i="9" s="1"/>
  <c r="UA27" i="9" s="1"/>
  <c r="UC27" i="9" s="1"/>
  <c r="UE27" i="9" s="1"/>
  <c r="UG27" i="9" s="1"/>
  <c r="UI27" i="9" s="1"/>
  <c r="UK27" i="9" s="1"/>
  <c r="UM27" i="9" s="1"/>
  <c r="UO27" i="9" s="1"/>
  <c r="UQ27" i="9" s="1"/>
  <c r="US27" i="9" s="1"/>
  <c r="UU27" i="9" s="1"/>
  <c r="UW27" i="9" s="1"/>
  <c r="UY27" i="9" s="1"/>
  <c r="VA27" i="9" s="1"/>
  <c r="VC27" i="9" s="1"/>
  <c r="VE27" i="9" s="1"/>
  <c r="VG27" i="9" s="1"/>
  <c r="VI27" i="9" s="1"/>
  <c r="VK27" i="9" s="1"/>
  <c r="VM27" i="9" s="1"/>
  <c r="VO27" i="9" s="1"/>
  <c r="VQ27" i="9" s="1"/>
  <c r="VS27" i="9" s="1"/>
  <c r="VU27" i="9" s="1"/>
  <c r="VW27" i="9" s="1"/>
  <c r="VY27" i="9" s="1"/>
  <c r="WA27" i="9" s="1"/>
  <c r="WC27" i="9" s="1"/>
  <c r="WE27" i="9" s="1"/>
  <c r="WG27" i="9" s="1"/>
  <c r="WI27" i="9" s="1"/>
  <c r="WK27" i="9" s="1"/>
  <c r="WM27" i="9" s="1"/>
  <c r="WO27" i="9" s="1"/>
  <c r="WQ27" i="9" s="1"/>
  <c r="WS27" i="9" s="1"/>
  <c r="WU27" i="9" s="1"/>
  <c r="WW27" i="9" s="1"/>
  <c r="WY27" i="9" s="1"/>
  <c r="XA27" i="9" s="1"/>
  <c r="XC27" i="9" s="1"/>
  <c r="XE27" i="9" s="1"/>
  <c r="XG27" i="9" s="1"/>
  <c r="XI27" i="9" s="1"/>
  <c r="XK27" i="9" s="1"/>
  <c r="XM27" i="9" s="1"/>
  <c r="XO27" i="9" s="1"/>
  <c r="XQ27" i="9" s="1"/>
  <c r="XS27" i="9" s="1"/>
  <c r="XU27" i="9" s="1"/>
  <c r="XW27" i="9" s="1"/>
  <c r="XY27" i="9" s="1"/>
  <c r="YA27" i="9" s="1"/>
  <c r="YC27" i="9" s="1"/>
  <c r="YE27" i="9" s="1"/>
  <c r="YG27" i="9" s="1"/>
  <c r="YI27" i="9" s="1"/>
  <c r="YK27" i="9" s="1"/>
  <c r="YM27" i="9" s="1"/>
  <c r="YO27" i="9" s="1"/>
  <c r="YQ27" i="9" s="1"/>
  <c r="YS27" i="9" s="1"/>
  <c r="YU27" i="9" s="1"/>
  <c r="YW27" i="9" s="1"/>
  <c r="YY27" i="9" s="1"/>
  <c r="ZA27" i="9" s="1"/>
  <c r="ZC27" i="9" s="1"/>
  <c r="ZE27" i="9" s="1"/>
  <c r="ZG27" i="9" s="1"/>
  <c r="ZI27" i="9" s="1"/>
  <c r="ZK27" i="9" s="1"/>
  <c r="ZM27" i="9" s="1"/>
  <c r="ZO27" i="9" s="1"/>
  <c r="ZQ27" i="9" s="1"/>
  <c r="ZS27" i="9" s="1"/>
  <c r="ZU27" i="9" s="1"/>
  <c r="ZW27" i="9" s="1"/>
  <c r="ZY27" i="9" s="1"/>
  <c r="AAA27" i="9" s="1"/>
  <c r="AAC27" i="9" s="1"/>
  <c r="AAE27" i="9" s="1"/>
  <c r="AAG27" i="9" s="1"/>
  <c r="AAI27" i="9" s="1"/>
  <c r="AAK27" i="9" s="1"/>
  <c r="AAM27" i="9" s="1"/>
  <c r="AAO27" i="9" s="1"/>
  <c r="AAQ27" i="9" s="1"/>
  <c r="AAS27" i="9" s="1"/>
  <c r="AAU27" i="9" s="1"/>
  <c r="AAW27" i="9" s="1"/>
  <c r="AAY27" i="9" s="1"/>
  <c r="ABA27" i="9" s="1"/>
  <c r="ABC27" i="9" s="1"/>
  <c r="ABE27" i="9" s="1"/>
  <c r="ABG27" i="9" s="1"/>
  <c r="ABI27" i="9" s="1"/>
  <c r="ABK27" i="9" s="1"/>
  <c r="ABM27" i="9" s="1"/>
  <c r="ABO27" i="9" s="1"/>
  <c r="ABQ27" i="9" s="1"/>
  <c r="ABS27" i="9" s="1"/>
  <c r="ABU27" i="9" s="1"/>
  <c r="ABW27" i="9" s="1"/>
  <c r="ABY27" i="9" s="1"/>
  <c r="ACA27" i="9" s="1"/>
  <c r="ACC27" i="9" s="1"/>
  <c r="ACE27" i="9" s="1"/>
  <c r="ACG27" i="9" s="1"/>
  <c r="ACI27" i="9" s="1"/>
  <c r="ACK27" i="9" s="1"/>
  <c r="ACM27" i="9" s="1"/>
  <c r="ACO27" i="9" s="1"/>
  <c r="ACQ27" i="9" s="1"/>
  <c r="ACS27" i="9" s="1"/>
  <c r="ACU27" i="9" s="1"/>
  <c r="ACW27" i="9" s="1"/>
  <c r="ACY27" i="9" s="1"/>
  <c r="ADA27" i="9" s="1"/>
  <c r="ADC27" i="9" s="1"/>
  <c r="ADE27" i="9" s="1"/>
  <c r="ADG27" i="9" s="1"/>
  <c r="ADI27" i="9" s="1"/>
  <c r="ADK27" i="9" s="1"/>
  <c r="ADM27" i="9" s="1"/>
  <c r="ADO27" i="9" s="1"/>
  <c r="ADQ27" i="9" s="1"/>
  <c r="ADS27" i="9" s="1"/>
  <c r="ADU27" i="9" s="1"/>
  <c r="ADW27" i="9" s="1"/>
  <c r="ADY27" i="9" s="1"/>
  <c r="AEA27" i="9" s="1"/>
  <c r="AEC27" i="9" s="1"/>
  <c r="AEE27" i="9" s="1"/>
  <c r="AEG27" i="9" s="1"/>
  <c r="AEI27" i="9" s="1"/>
  <c r="AEK27" i="9" s="1"/>
  <c r="AEM27" i="9" s="1"/>
  <c r="AEO27" i="9" s="1"/>
  <c r="AEQ27" i="9" s="1"/>
  <c r="AES27" i="9" s="1"/>
  <c r="AEU27" i="9" s="1"/>
  <c r="AEW27" i="9" s="1"/>
  <c r="AEY27" i="9" s="1"/>
  <c r="AFA27" i="9" s="1"/>
  <c r="AFC27" i="9" s="1"/>
  <c r="AFE27" i="9" s="1"/>
  <c r="AFG27" i="9" s="1"/>
  <c r="AFI27" i="9" s="1"/>
  <c r="AFK27" i="9" s="1"/>
  <c r="AFM27" i="9" s="1"/>
  <c r="AFO27" i="9" s="1"/>
  <c r="AFQ27" i="9" s="1"/>
  <c r="AFS27" i="9" s="1"/>
  <c r="AFU27" i="9" s="1"/>
  <c r="AFW27" i="9" s="1"/>
  <c r="AFY27" i="9" s="1"/>
  <c r="AGA27" i="9" s="1"/>
  <c r="AGC27" i="9" s="1"/>
  <c r="AGE27" i="9" s="1"/>
  <c r="AGG27" i="9" s="1"/>
  <c r="AGI27" i="9" s="1"/>
  <c r="AGK27" i="9" s="1"/>
  <c r="AGM27" i="9" s="1"/>
  <c r="AGO27" i="9" s="1"/>
  <c r="AGQ27" i="9" s="1"/>
  <c r="AGS27" i="9" s="1"/>
  <c r="AGU27" i="9" s="1"/>
  <c r="AGW27" i="9" s="1"/>
  <c r="AGY27" i="9" s="1"/>
  <c r="AHA27" i="9"/>
  <c r="AHC27" i="9" s="1"/>
  <c r="AHE27" i="9" s="1"/>
  <c r="AHG27" i="9" s="1"/>
  <c r="AHI27" i="9" s="1"/>
  <c r="AHK27" i="9" s="1"/>
  <c r="AHM27" i="9" s="1"/>
  <c r="AHO27" i="9" s="1"/>
  <c r="AHQ27" i="9" s="1"/>
  <c r="AHS27" i="9" s="1"/>
  <c r="AHU27" i="9" s="1"/>
  <c r="AHW27" i="9" s="1"/>
  <c r="AHY27" i="9" s="1"/>
  <c r="AIA27" i="9" s="1"/>
  <c r="AIC27" i="9" s="1"/>
  <c r="AIE27" i="9" s="1"/>
  <c r="AIG27" i="9" s="1"/>
  <c r="AII27" i="9" s="1"/>
  <c r="AIK27" i="9" s="1"/>
  <c r="AIM27" i="9" s="1"/>
  <c r="AIO27" i="9" s="1"/>
  <c r="AIQ27" i="9" s="1"/>
  <c r="AIS27" i="9" s="1"/>
  <c r="AIU27" i="9" s="1"/>
  <c r="AIW27" i="9" s="1"/>
  <c r="AIY27" i="9" s="1"/>
  <c r="AJA27" i="9" s="1"/>
  <c r="AJC27" i="9" s="1"/>
  <c r="AJE27" i="9" s="1"/>
  <c r="AJG27" i="9" s="1"/>
  <c r="AJI27" i="9" s="1"/>
  <c r="AJK27" i="9" s="1"/>
  <c r="AJM27" i="9" s="1"/>
  <c r="AJO27" i="9" s="1"/>
  <c r="AJQ27" i="9" s="1"/>
  <c r="AJS27" i="9" s="1"/>
  <c r="AJU27" i="9" s="1"/>
  <c r="AJW27" i="9" s="1"/>
  <c r="AJY27" i="9" s="1"/>
  <c r="AKA27" i="9" s="1"/>
  <c r="AKC27" i="9" s="1"/>
  <c r="AKE27" i="9" s="1"/>
  <c r="AKG27" i="9" s="1"/>
  <c r="AKI27" i="9" s="1"/>
  <c r="AKK27" i="9" s="1"/>
  <c r="AKM27" i="9" s="1"/>
  <c r="AKO27" i="9" s="1"/>
  <c r="AKQ27" i="9" s="1"/>
  <c r="AKS27" i="9" s="1"/>
  <c r="AKU27" i="9" s="1"/>
  <c r="AKW27" i="9" s="1"/>
  <c r="AKY27" i="9" s="1"/>
  <c r="ALA27" i="9" s="1"/>
  <c r="ALC27" i="9" s="1"/>
  <c r="ALE27" i="9" s="1"/>
  <c r="ALG27" i="9" s="1"/>
  <c r="ALI27" i="9" s="1"/>
  <c r="ALK27" i="9" s="1"/>
  <c r="ALM27" i="9" s="1"/>
  <c r="ALO27" i="9" s="1"/>
  <c r="ALQ27" i="9" s="1"/>
  <c r="ALS27" i="9" s="1"/>
  <c r="ALU27" i="9" s="1"/>
  <c r="ALW27" i="9" s="1"/>
  <c r="ALY27" i="9" s="1"/>
  <c r="AMA27" i="9" s="1"/>
  <c r="AMC27" i="9" s="1"/>
  <c r="AME27" i="9" s="1"/>
  <c r="AMG27" i="9" s="1"/>
  <c r="AMI27" i="9" s="1"/>
  <c r="AMK27" i="9" s="1"/>
  <c r="AMM27" i="9" s="1"/>
  <c r="AMO27" i="9" s="1"/>
  <c r="AMQ27" i="9" s="1"/>
  <c r="AMS27" i="9" s="1"/>
  <c r="AMU27" i="9" s="1"/>
  <c r="AMW27" i="9" s="1"/>
  <c r="AMY27" i="9" s="1"/>
  <c r="ANA27" i="9" s="1"/>
  <c r="ANC27" i="9" s="1"/>
  <c r="ANE27" i="9" s="1"/>
  <c r="ANG27" i="9" s="1"/>
  <c r="ANI27" i="9" s="1"/>
  <c r="ANK27" i="9" s="1"/>
  <c r="ANM27" i="9" s="1"/>
  <c r="ANO27" i="9" s="1"/>
  <c r="ANQ27" i="9" s="1"/>
  <c r="ANS27" i="9" s="1"/>
  <c r="ANU27" i="9" s="1"/>
  <c r="ANW27" i="9" s="1"/>
  <c r="ANY27" i="9" s="1"/>
  <c r="AOA27" i="9" s="1"/>
  <c r="AOC27" i="9" s="1"/>
  <c r="AOE27" i="9" s="1"/>
  <c r="AOG27" i="9" s="1"/>
  <c r="AOI27" i="9" s="1"/>
  <c r="AOK27" i="9" s="1"/>
  <c r="AOM27" i="9" s="1"/>
  <c r="AOO27" i="9" s="1"/>
  <c r="AOQ27" i="9" s="1"/>
  <c r="AOS27" i="9" s="1"/>
  <c r="AOU27" i="9" s="1"/>
  <c r="AOW27" i="9" s="1"/>
  <c r="AOY27" i="9" s="1"/>
  <c r="APA27" i="9" s="1"/>
  <c r="APC27" i="9" s="1"/>
  <c r="APE27" i="9" s="1"/>
  <c r="APG27" i="9" s="1"/>
  <c r="API27" i="9" s="1"/>
  <c r="APK27" i="9" s="1"/>
  <c r="APM27" i="9" s="1"/>
  <c r="APO27" i="9" s="1"/>
  <c r="APQ27" i="9" s="1"/>
  <c r="APS27" i="9" s="1"/>
  <c r="APU27" i="9" s="1"/>
  <c r="APW27" i="9" s="1"/>
  <c r="APY27" i="9" s="1"/>
  <c r="AQA27" i="9" s="1"/>
  <c r="AQC27" i="9" s="1"/>
  <c r="AQE27" i="9" s="1"/>
  <c r="AQG27" i="9" s="1"/>
  <c r="AQI27" i="9" s="1"/>
  <c r="AQK27" i="9" s="1"/>
  <c r="AQM27" i="9" s="1"/>
  <c r="AQO27" i="9" s="1"/>
  <c r="AQQ27" i="9" s="1"/>
  <c r="AQS27" i="9" s="1"/>
  <c r="AQU27" i="9" s="1"/>
  <c r="AQW27" i="9" s="1"/>
  <c r="AQY27" i="9" s="1"/>
  <c r="ARA27" i="9" s="1"/>
  <c r="ARC27" i="9" s="1"/>
  <c r="ARE27" i="9" s="1"/>
  <c r="ARG27" i="9" s="1"/>
  <c r="ARI27" i="9" s="1"/>
  <c r="ARK27" i="9" s="1"/>
  <c r="ARM27" i="9" s="1"/>
  <c r="ARO27" i="9" s="1"/>
  <c r="ARQ27" i="9" s="1"/>
  <c r="ARS27" i="9" s="1"/>
  <c r="ARU27" i="9" s="1"/>
  <c r="ARW27" i="9" s="1"/>
  <c r="ARY27" i="9" s="1"/>
  <c r="ASA27" i="9" s="1"/>
  <c r="ASC27" i="9" s="1"/>
  <c r="ASE27" i="9" s="1"/>
  <c r="ASG27" i="9" s="1"/>
  <c r="ASI27" i="9" s="1"/>
  <c r="ASK27" i="9" s="1"/>
  <c r="ASM27" i="9" s="1"/>
  <c r="ASO27" i="9" s="1"/>
  <c r="ASQ27" i="9" s="1"/>
  <c r="ASS27" i="9" s="1"/>
  <c r="ASU27" i="9" s="1"/>
  <c r="ASW27" i="9" s="1"/>
  <c r="ASY27" i="9" s="1"/>
  <c r="ATA27" i="9" s="1"/>
  <c r="ATC27" i="9" s="1"/>
  <c r="ATE27" i="9" s="1"/>
  <c r="ATG27" i="9" s="1"/>
  <c r="ATI27" i="9" s="1"/>
  <c r="ATK27" i="9" s="1"/>
  <c r="ATM27" i="9" s="1"/>
  <c r="ATO27" i="9" s="1"/>
  <c r="ATQ27" i="9" s="1"/>
  <c r="ATS27" i="9" s="1"/>
  <c r="ATU27" i="9" s="1"/>
  <c r="ATW27" i="9" s="1"/>
  <c r="ATY27" i="9" s="1"/>
  <c r="AUA27" i="9" s="1"/>
  <c r="AUC27" i="9" s="1"/>
  <c r="AUE27" i="9" s="1"/>
  <c r="AUG27" i="9" s="1"/>
  <c r="AUI27" i="9" s="1"/>
  <c r="AUK27" i="9" s="1"/>
  <c r="AUM27" i="9" s="1"/>
  <c r="AUO27" i="9" s="1"/>
  <c r="AUQ27" i="9" s="1"/>
  <c r="AUS27" i="9" s="1"/>
  <c r="AUU27" i="9" s="1"/>
  <c r="AUW27" i="9" s="1"/>
  <c r="AUY27" i="9" s="1"/>
  <c r="AVA27" i="9" s="1"/>
  <c r="AVC27" i="9" s="1"/>
  <c r="AVE27" i="9" s="1"/>
  <c r="AVG27" i="9" s="1"/>
  <c r="AVI27" i="9" s="1"/>
  <c r="AVK27" i="9" s="1"/>
  <c r="AVM27" i="9" s="1"/>
  <c r="AVO27" i="9" s="1"/>
  <c r="AVQ27" i="9" s="1"/>
  <c r="AVS27" i="9" s="1"/>
  <c r="AVU27" i="9" s="1"/>
  <c r="AVW27" i="9" s="1"/>
  <c r="AVY27" i="9" s="1"/>
  <c r="AWA27" i="9" s="1"/>
  <c r="AWC27" i="9" s="1"/>
  <c r="AWE27" i="9" s="1"/>
  <c r="AWG27" i="9" s="1"/>
  <c r="AWI27" i="9" s="1"/>
  <c r="AWK27" i="9" s="1"/>
  <c r="AWM27" i="9" s="1"/>
  <c r="AWO27" i="9" s="1"/>
  <c r="AWQ27" i="9" s="1"/>
  <c r="AWS27" i="9" s="1"/>
  <c r="AWU27" i="9" s="1"/>
  <c r="AWW27" i="9" s="1"/>
  <c r="AWY27" i="9" s="1"/>
  <c r="AXA27" i="9" s="1"/>
  <c r="AXC27" i="9" s="1"/>
  <c r="AXE27" i="9" s="1"/>
  <c r="AXG27" i="9" s="1"/>
  <c r="AXI27" i="9" s="1"/>
  <c r="AXK27" i="9" s="1"/>
  <c r="AXM27" i="9" s="1"/>
  <c r="AXO27" i="9" s="1"/>
  <c r="AXQ27" i="9" s="1"/>
  <c r="AXS27" i="9" s="1"/>
  <c r="AXU27" i="9" s="1"/>
  <c r="AXW27" i="9" s="1"/>
  <c r="AXY27" i="9" s="1"/>
  <c r="AYA27" i="9" s="1"/>
  <c r="AYC27" i="9" s="1"/>
  <c r="AYE27" i="9" s="1"/>
  <c r="AYG27" i="9" s="1"/>
  <c r="AYI27" i="9" s="1"/>
  <c r="AYK27" i="9" s="1"/>
  <c r="AYM27" i="9" s="1"/>
  <c r="AYO27" i="9" s="1"/>
  <c r="AYQ27" i="9" s="1"/>
  <c r="AYS27" i="9" s="1"/>
  <c r="AYU27" i="9" s="1"/>
  <c r="AYW27" i="9" s="1"/>
  <c r="AYY27" i="9" s="1"/>
  <c r="AZA27" i="9" s="1"/>
  <c r="AZC27" i="9" s="1"/>
  <c r="AZE27" i="9" s="1"/>
  <c r="AZG27" i="9" s="1"/>
  <c r="AZI27" i="9" s="1"/>
  <c r="AZK27" i="9" s="1"/>
  <c r="AZM27" i="9" s="1"/>
  <c r="AZO27" i="9" s="1"/>
  <c r="AZQ27" i="9" s="1"/>
  <c r="AZS27" i="9" s="1"/>
  <c r="AZU27" i="9" s="1"/>
  <c r="AZW27" i="9" s="1"/>
  <c r="AZY27" i="9" s="1"/>
  <c r="BAA27" i="9" s="1"/>
  <c r="BAC27" i="9" s="1"/>
  <c r="BAE27" i="9" s="1"/>
  <c r="BAG27" i="9" s="1"/>
  <c r="BAI27" i="9" s="1"/>
  <c r="BAK27" i="9" s="1"/>
  <c r="BAM27" i="9" s="1"/>
  <c r="BAO27" i="9" s="1"/>
  <c r="BAQ27" i="9" s="1"/>
  <c r="BAS27" i="9" s="1"/>
  <c r="BAU27" i="9" s="1"/>
  <c r="BAW27" i="9" s="1"/>
  <c r="BAY27" i="9" s="1"/>
  <c r="BBA27" i="9" s="1"/>
  <c r="BBC27" i="9" s="1"/>
  <c r="BBE27" i="9" s="1"/>
  <c r="BBG27" i="9" s="1"/>
  <c r="BBI27" i="9" s="1"/>
  <c r="BBK27" i="9" s="1"/>
  <c r="BBM27" i="9" s="1"/>
  <c r="BBO27" i="9" s="1"/>
  <c r="BBQ27" i="9" s="1"/>
  <c r="BBS27" i="9" s="1"/>
  <c r="BBU27" i="9" s="1"/>
  <c r="BBW27" i="9" s="1"/>
  <c r="BBY27" i="9" s="1"/>
  <c r="BCA27" i="9" s="1"/>
  <c r="BCC27" i="9" s="1"/>
  <c r="BCE27" i="9" s="1"/>
  <c r="BCG27" i="9" s="1"/>
  <c r="BCI27" i="9" s="1"/>
  <c r="BCK27" i="9" s="1"/>
  <c r="BCM27" i="9" s="1"/>
  <c r="BCO27" i="9" s="1"/>
  <c r="BCQ27" i="9" s="1"/>
  <c r="BCS27" i="9" s="1"/>
  <c r="BCU27" i="9" s="1"/>
  <c r="BCW27" i="9" s="1"/>
  <c r="BCY27" i="9" s="1"/>
  <c r="BDA27" i="9" s="1"/>
  <c r="BDC27" i="9" s="1"/>
  <c r="BDE27" i="9" s="1"/>
  <c r="BDG27" i="9" s="1"/>
  <c r="BDI27" i="9" s="1"/>
  <c r="BDK27" i="9" s="1"/>
  <c r="BDM27" i="9" s="1"/>
  <c r="BDO27" i="9" s="1"/>
  <c r="BDQ27" i="9" s="1"/>
  <c r="BDS27" i="9" s="1"/>
  <c r="BDU27" i="9" s="1"/>
  <c r="BDW27" i="9" s="1"/>
  <c r="BDY27" i="9" s="1"/>
  <c r="BEA27" i="9" s="1"/>
  <c r="BEC27" i="9" s="1"/>
  <c r="BEE27" i="9" s="1"/>
  <c r="BEG27" i="9" s="1"/>
  <c r="BEI27" i="9" s="1"/>
  <c r="BEK27" i="9" s="1"/>
  <c r="BEM27" i="9" s="1"/>
  <c r="BEO27" i="9" s="1"/>
  <c r="BEQ27" i="9" s="1"/>
  <c r="BES27" i="9" s="1"/>
  <c r="BEU27" i="9" s="1"/>
  <c r="BEW27" i="9" s="1"/>
  <c r="BEY27" i="9" s="1"/>
  <c r="BFA27" i="9" s="1"/>
  <c r="BFC27" i="9" s="1"/>
  <c r="BFE27" i="9" s="1"/>
  <c r="BFG27" i="9" s="1"/>
  <c r="BFI27" i="9" s="1"/>
  <c r="BFK27" i="9" s="1"/>
  <c r="BFM27" i="9" s="1"/>
  <c r="BFO27" i="9" s="1"/>
  <c r="BFQ27" i="9" s="1"/>
  <c r="BFS27" i="9" s="1"/>
  <c r="BFU27" i="9" s="1"/>
  <c r="BFW27" i="9" s="1"/>
  <c r="BFY27" i="9" s="1"/>
  <c r="BGA27" i="9" s="1"/>
  <c r="BGC27" i="9" s="1"/>
  <c r="BGE27" i="9" s="1"/>
  <c r="BGG27" i="9" s="1"/>
  <c r="BGI27" i="9" s="1"/>
  <c r="BGK27" i="9" s="1"/>
  <c r="BGM27" i="9" s="1"/>
  <c r="BGO27" i="9" s="1"/>
  <c r="BGQ27" i="9" s="1"/>
  <c r="BGS27" i="9" s="1"/>
  <c r="BGU27" i="9" s="1"/>
  <c r="BGW27" i="9" s="1"/>
  <c r="BGY27" i="9" s="1"/>
  <c r="BHA27" i="9" s="1"/>
  <c r="BHC27" i="9" s="1"/>
  <c r="BHE27" i="9" s="1"/>
  <c r="BHG27" i="9" s="1"/>
  <c r="BHI27" i="9" s="1"/>
  <c r="BHK27" i="9" s="1"/>
  <c r="BHM27" i="9" s="1"/>
  <c r="BHO27" i="9" s="1"/>
  <c r="BHQ27" i="9" s="1"/>
  <c r="BHS27" i="9" s="1"/>
  <c r="BHU27" i="9" s="1"/>
  <c r="BHW27" i="9" s="1"/>
  <c r="BHY27" i="9" s="1"/>
  <c r="BIA27" i="9" s="1"/>
  <c r="BIC27" i="9" s="1"/>
  <c r="BIE27" i="9" s="1"/>
  <c r="BIG27" i="9" s="1"/>
  <c r="BII27" i="9" s="1"/>
  <c r="BIK27" i="9" s="1"/>
  <c r="BIM27" i="9" s="1"/>
  <c r="BIO27" i="9" s="1"/>
  <c r="BIQ27" i="9" s="1"/>
  <c r="BIS27" i="9" s="1"/>
  <c r="BIU27" i="9" s="1"/>
  <c r="BIW27" i="9" s="1"/>
  <c r="BIY27" i="9" s="1"/>
  <c r="BJA27" i="9" s="1"/>
  <c r="BJC27" i="9" s="1"/>
  <c r="BJE27" i="9" s="1"/>
  <c r="BJG27" i="9" s="1"/>
  <c r="BJI27" i="9" s="1"/>
  <c r="BJK27" i="9" s="1"/>
  <c r="BJM27" i="9" s="1"/>
  <c r="BJO27" i="9" s="1"/>
  <c r="BJQ27" i="9" s="1"/>
  <c r="BJS27" i="9" s="1"/>
  <c r="BJU27" i="9" s="1"/>
  <c r="BJW27" i="9" s="1"/>
  <c r="BJY27" i="9" s="1"/>
  <c r="BKA27" i="9" s="1"/>
  <c r="BKC27" i="9" s="1"/>
  <c r="BKE27" i="9" s="1"/>
  <c r="BKG27" i="9" s="1"/>
  <c r="BKI27" i="9" s="1"/>
  <c r="BKK27" i="9" s="1"/>
  <c r="BKM27" i="9" s="1"/>
  <c r="BKO27" i="9" s="1"/>
  <c r="BKQ27" i="9" s="1"/>
  <c r="BKS27" i="9" s="1"/>
  <c r="BKU27" i="9" s="1"/>
  <c r="BKW27" i="9" s="1"/>
  <c r="BKY27" i="9" s="1"/>
  <c r="BLA27" i="9" s="1"/>
  <c r="BLC27" i="9" s="1"/>
  <c r="BLE27" i="9" s="1"/>
  <c r="BLG27" i="9" s="1"/>
  <c r="BLI27" i="9" s="1"/>
  <c r="BLK27" i="9" s="1"/>
  <c r="BLM27" i="9" s="1"/>
  <c r="BLO27" i="9" s="1"/>
  <c r="BLQ27" i="9" s="1"/>
  <c r="BLS27" i="9" s="1"/>
  <c r="BLU27" i="9" s="1"/>
  <c r="BLW27" i="9" s="1"/>
  <c r="BLY27" i="9" s="1"/>
  <c r="BMA27" i="9" s="1"/>
  <c r="BMC27" i="9" s="1"/>
  <c r="BME27" i="9" s="1"/>
  <c r="BMG27" i="9" s="1"/>
  <c r="BMI27" i="9" s="1"/>
  <c r="BMK27" i="9" s="1"/>
  <c r="BMM27" i="9" s="1"/>
  <c r="BMO27" i="9" s="1"/>
  <c r="BMQ27" i="9" s="1"/>
  <c r="BMS27" i="9" s="1"/>
  <c r="BMU27" i="9" s="1"/>
  <c r="BMW27" i="9" s="1"/>
  <c r="BMY27" i="9" s="1"/>
  <c r="BNA27" i="9" s="1"/>
  <c r="BNC27" i="9" s="1"/>
  <c r="BNE27" i="9" s="1"/>
  <c r="BNG27" i="9" s="1"/>
  <c r="BNI27" i="9" s="1"/>
  <c r="BNK27" i="9" s="1"/>
  <c r="BNM27" i="9" s="1"/>
  <c r="BNO27" i="9" s="1"/>
  <c r="BNQ27" i="9" s="1"/>
  <c r="BNS27" i="9" s="1"/>
  <c r="BNU27" i="9" s="1"/>
  <c r="BNW27" i="9" s="1"/>
  <c r="BNY27" i="9" s="1"/>
  <c r="BOA27" i="9" s="1"/>
  <c r="BOC27" i="9" s="1"/>
  <c r="BOE27" i="9" s="1"/>
  <c r="BOG27" i="9" s="1"/>
  <c r="BOI27" i="9" s="1"/>
  <c r="BOK27" i="9" s="1"/>
  <c r="BOM27" i="9" s="1"/>
  <c r="BOO27" i="9" s="1"/>
  <c r="BOQ27" i="9" s="1"/>
  <c r="BOS27" i="9" s="1"/>
  <c r="BOU27" i="9" s="1"/>
  <c r="BOW27" i="9" s="1"/>
  <c r="BOY27" i="9" s="1"/>
  <c r="BPA27" i="9" s="1"/>
  <c r="BPC27" i="9" s="1"/>
  <c r="BPE27" i="9" s="1"/>
  <c r="BPG27" i="9" s="1"/>
  <c r="BPI27" i="9" s="1"/>
  <c r="BPK27" i="9" s="1"/>
  <c r="BPM27" i="9" s="1"/>
  <c r="BPO27" i="9" s="1"/>
  <c r="BPQ27" i="9" s="1"/>
  <c r="BPS27" i="9" s="1"/>
  <c r="BPU27" i="9" s="1"/>
  <c r="BPW27" i="9" s="1"/>
  <c r="BPY27" i="9" s="1"/>
  <c r="BQA27" i="9" s="1"/>
  <c r="BQC27" i="9" s="1"/>
  <c r="BQE27" i="9" s="1"/>
  <c r="BQG27" i="9" s="1"/>
  <c r="BQI27" i="9" s="1"/>
  <c r="BQK27" i="9" s="1"/>
  <c r="BQM27" i="9" s="1"/>
  <c r="BQO27" i="9" s="1"/>
  <c r="BQQ27" i="9" s="1"/>
  <c r="BQS27" i="9" s="1"/>
  <c r="BQU27" i="9" s="1"/>
  <c r="BQW27" i="9" s="1"/>
  <c r="BQY27" i="9" s="1"/>
  <c r="BRA27" i="9" s="1"/>
  <c r="BRC27" i="9" s="1"/>
  <c r="BRE27" i="9" s="1"/>
  <c r="BRG27" i="9" s="1"/>
  <c r="BRI27" i="9" s="1"/>
  <c r="BRK27" i="9" s="1"/>
  <c r="BRM27" i="9" s="1"/>
  <c r="BRO27" i="9" s="1"/>
  <c r="BRQ27" i="9" s="1"/>
  <c r="BRS27" i="9" s="1"/>
  <c r="BRU27" i="9" s="1"/>
  <c r="BRW27" i="9" s="1"/>
  <c r="BRY27" i="9" s="1"/>
  <c r="BSA27" i="9" s="1"/>
  <c r="BSC27" i="9" s="1"/>
  <c r="BSE27" i="9" s="1"/>
  <c r="BSG27" i="9" s="1"/>
  <c r="BSI27" i="9" s="1"/>
  <c r="BSK27" i="9" s="1"/>
  <c r="BSM27" i="9" s="1"/>
  <c r="BSO27" i="9" s="1"/>
  <c r="BSQ27" i="9" s="1"/>
  <c r="BSS27" i="9" s="1"/>
  <c r="BSU27" i="9" s="1"/>
  <c r="BSW27" i="9" s="1"/>
  <c r="BSY27" i="9" s="1"/>
  <c r="BTA27" i="9" s="1"/>
  <c r="BTC27" i="9" s="1"/>
  <c r="BTE27" i="9" s="1"/>
  <c r="BTG27" i="9" s="1"/>
  <c r="BTI27" i="9" s="1"/>
  <c r="BTK27" i="9" s="1"/>
  <c r="BTM27" i="9" s="1"/>
  <c r="BTO27" i="9" s="1"/>
  <c r="BTQ27" i="9" s="1"/>
  <c r="BTS27" i="9" s="1"/>
  <c r="BTU27" i="9" s="1"/>
  <c r="BTW27" i="9" s="1"/>
  <c r="BTY27" i="9" s="1"/>
  <c r="BUA27" i="9" s="1"/>
  <c r="BUC27" i="9" s="1"/>
  <c r="BUE27" i="9" s="1"/>
  <c r="BUG27" i="9" s="1"/>
  <c r="BUI27" i="9" s="1"/>
  <c r="BUK27" i="9" s="1"/>
  <c r="BUM27" i="9" s="1"/>
  <c r="BUO27" i="9" s="1"/>
  <c r="BUQ27" i="9" s="1"/>
  <c r="BUS27" i="9" s="1"/>
  <c r="BUU27" i="9" s="1"/>
  <c r="BUW27" i="9" s="1"/>
  <c r="BUY27" i="9" s="1"/>
  <c r="BVA27" i="9" s="1"/>
  <c r="BVC27" i="9" s="1"/>
  <c r="BVE27" i="9" s="1"/>
  <c r="BVG27" i="9" s="1"/>
  <c r="BVI27" i="9" s="1"/>
  <c r="BVK27" i="9" s="1"/>
  <c r="BVM27" i="9" s="1"/>
  <c r="BVO27" i="9" s="1"/>
  <c r="BVQ27" i="9" s="1"/>
  <c r="BVS27" i="9" s="1"/>
  <c r="BVU27" i="9" s="1"/>
  <c r="BVW27" i="9" s="1"/>
  <c r="BVY27" i="9" s="1"/>
  <c r="BWA27" i="9" s="1"/>
  <c r="BWC27" i="9" s="1"/>
  <c r="BWE27" i="9" s="1"/>
  <c r="BWG27" i="9" s="1"/>
  <c r="BWI27" i="9" s="1"/>
  <c r="BWK27" i="9" s="1"/>
  <c r="BWM27" i="9" s="1"/>
  <c r="BWO27" i="9" s="1"/>
  <c r="BWQ27" i="9" s="1"/>
  <c r="BWS27" i="9" s="1"/>
  <c r="BWU27" i="9" s="1"/>
  <c r="BWW27" i="9" s="1"/>
  <c r="BWY27" i="9" s="1"/>
  <c r="BXA27" i="9" s="1"/>
  <c r="BXC27" i="9" s="1"/>
  <c r="BXE27" i="9" s="1"/>
  <c r="BXG27" i="9" s="1"/>
  <c r="BXI27" i="9" s="1"/>
  <c r="BXK27" i="9" s="1"/>
  <c r="BXM27" i="9" s="1"/>
  <c r="BXO27" i="9" s="1"/>
  <c r="BXQ27" i="9" s="1"/>
  <c r="BXS27" i="9" s="1"/>
  <c r="BXU27" i="9" s="1"/>
  <c r="BXW27" i="9" s="1"/>
  <c r="BXY27" i="9" s="1"/>
  <c r="BYA27" i="9" s="1"/>
  <c r="BYC27" i="9" s="1"/>
  <c r="BYE27" i="9" s="1"/>
  <c r="BYG27" i="9" s="1"/>
  <c r="BYI27" i="9" s="1"/>
  <c r="BYK27" i="9" s="1"/>
  <c r="BYM27" i="9" s="1"/>
  <c r="BYO27" i="9" s="1"/>
  <c r="BYQ27" i="9" s="1"/>
  <c r="BYS27" i="9" s="1"/>
  <c r="BYU27" i="9" s="1"/>
  <c r="BYW27" i="9" s="1"/>
  <c r="BYY27" i="9" s="1"/>
  <c r="BZA27" i="9" s="1"/>
  <c r="BZC27" i="9" s="1"/>
  <c r="BZE27" i="9" s="1"/>
  <c r="BZG27" i="9" s="1"/>
  <c r="BZI27" i="9" s="1"/>
  <c r="BZK27" i="9" s="1"/>
  <c r="BZM27" i="9" s="1"/>
  <c r="BZO27" i="9" s="1"/>
  <c r="BZQ27" i="9" s="1"/>
  <c r="BZS27" i="9" s="1"/>
  <c r="BZU27" i="9" s="1"/>
  <c r="BZW27" i="9" s="1"/>
  <c r="BZY27" i="9" s="1"/>
  <c r="CAA27" i="9" s="1"/>
  <c r="CAC27" i="9" s="1"/>
  <c r="CAE27" i="9" s="1"/>
  <c r="CAG27" i="9" s="1"/>
  <c r="CAI27" i="9" s="1"/>
  <c r="CAK27" i="9" s="1"/>
  <c r="CAM27" i="9" s="1"/>
  <c r="CAO27" i="9" s="1"/>
  <c r="CAQ27" i="9" s="1"/>
  <c r="CAS27" i="9" s="1"/>
  <c r="CAU27" i="9" s="1"/>
  <c r="CAW27" i="9" s="1"/>
  <c r="CAY27" i="9" s="1"/>
  <c r="CBA27" i="9" s="1"/>
  <c r="CBC27" i="9" s="1"/>
  <c r="CBE27" i="9" s="1"/>
  <c r="CBG27" i="9" s="1"/>
  <c r="CBI27" i="9" s="1"/>
  <c r="CBK27" i="9" s="1"/>
  <c r="CBM27" i="9" s="1"/>
  <c r="CBO27" i="9" s="1"/>
  <c r="CBQ27" i="9" s="1"/>
  <c r="CBS27" i="9" s="1"/>
  <c r="CBU27" i="9" s="1"/>
  <c r="CBW27" i="9" s="1"/>
  <c r="CBY27" i="9" s="1"/>
  <c r="CCA27" i="9" s="1"/>
  <c r="CCC27" i="9" s="1"/>
  <c r="CCE27" i="9" s="1"/>
  <c r="CCG27" i="9" s="1"/>
  <c r="CCI27" i="9" s="1"/>
  <c r="CCK27" i="9" s="1"/>
  <c r="CCM27" i="9" s="1"/>
  <c r="CCO27" i="9" s="1"/>
  <c r="CCQ27" i="9" s="1"/>
  <c r="CCS27" i="9" s="1"/>
  <c r="CCU27" i="9" s="1"/>
  <c r="CCW27" i="9" s="1"/>
  <c r="CCY27" i="9" s="1"/>
  <c r="CDA27" i="9" s="1"/>
  <c r="CDC27" i="9" s="1"/>
  <c r="CDE27" i="9" s="1"/>
  <c r="CDG27" i="9" s="1"/>
  <c r="CDI27" i="9" s="1"/>
  <c r="CDK27" i="9" s="1"/>
  <c r="CDM27" i="9" s="1"/>
  <c r="CDO27" i="9" s="1"/>
  <c r="CDQ27" i="9" s="1"/>
  <c r="CDS27" i="9" s="1"/>
  <c r="CDU27" i="9" s="1"/>
  <c r="CDW27" i="9" s="1"/>
  <c r="CDY27" i="9" s="1"/>
  <c r="CEA27" i="9" s="1"/>
  <c r="CEC27" i="9" s="1"/>
  <c r="CEE27" i="9" s="1"/>
  <c r="CEG27" i="9" s="1"/>
  <c r="CEI27" i="9" s="1"/>
  <c r="CEK27" i="9" s="1"/>
  <c r="CEM27" i="9" s="1"/>
  <c r="CEO27" i="9" s="1"/>
  <c r="CEQ27" i="9" s="1"/>
  <c r="CES27" i="9" s="1"/>
  <c r="CEU27" i="9" s="1"/>
  <c r="CEW27" i="9" s="1"/>
  <c r="CEY27" i="9" s="1"/>
  <c r="CFA27" i="9" s="1"/>
  <c r="CFC27" i="9" s="1"/>
  <c r="CFE27" i="9" s="1"/>
  <c r="CFG27" i="9" s="1"/>
  <c r="CFI27" i="9" s="1"/>
  <c r="CFK27" i="9" s="1"/>
  <c r="CFM27" i="9" s="1"/>
  <c r="CFO27" i="9" s="1"/>
  <c r="CFQ27" i="9" s="1"/>
  <c r="CFS27" i="9" s="1"/>
  <c r="CFU27" i="9" s="1"/>
  <c r="CFW27" i="9" s="1"/>
  <c r="CFY27" i="9" s="1"/>
  <c r="CGA27" i="9" s="1"/>
  <c r="CGC27" i="9" s="1"/>
  <c r="CGE27" i="9" s="1"/>
  <c r="CGG27" i="9" s="1"/>
  <c r="CGI27" i="9" s="1"/>
  <c r="CGK27" i="9" s="1"/>
  <c r="CGM27" i="9" s="1"/>
  <c r="CGO27" i="9" s="1"/>
  <c r="CGQ27" i="9" s="1"/>
  <c r="CGS27" i="9" s="1"/>
  <c r="CGU27" i="9" s="1"/>
  <c r="CGW27" i="9" s="1"/>
  <c r="CGY27" i="9" s="1"/>
  <c r="CHA27" i="9" s="1"/>
  <c r="CHC27" i="9" s="1"/>
  <c r="CHE27" i="9" s="1"/>
  <c r="CHG27" i="9" s="1"/>
  <c r="CHI27" i="9" s="1"/>
  <c r="CHK27" i="9" s="1"/>
  <c r="CHM27" i="9" s="1"/>
  <c r="CHO27" i="9" s="1"/>
  <c r="CHQ27" i="9" s="1"/>
  <c r="CHS27" i="9" s="1"/>
  <c r="CHU27" i="9" s="1"/>
  <c r="CHW27" i="9" s="1"/>
  <c r="CHY27" i="9" s="1"/>
  <c r="CIA27" i="9" s="1"/>
  <c r="CIC27" i="9" s="1"/>
  <c r="CIE27" i="9" s="1"/>
  <c r="CIG27" i="9" s="1"/>
  <c r="CII27" i="9" s="1"/>
  <c r="CIK27" i="9" s="1"/>
  <c r="CIM27" i="9" s="1"/>
  <c r="CIO27" i="9" s="1"/>
  <c r="CIQ27" i="9" s="1"/>
  <c r="CIS27" i="9" s="1"/>
  <c r="CIU27" i="9" s="1"/>
  <c r="CIW27" i="9" s="1"/>
  <c r="CIY27" i="9" s="1"/>
  <c r="CJA27" i="9" s="1"/>
  <c r="CJC27" i="9" s="1"/>
  <c r="CJE27" i="9" s="1"/>
  <c r="CJG27" i="9" s="1"/>
  <c r="CJI27" i="9" s="1"/>
  <c r="CJK27" i="9" s="1"/>
  <c r="CJM27" i="9" s="1"/>
  <c r="CJO27" i="9" s="1"/>
  <c r="CJQ27" i="9" s="1"/>
  <c r="CJS27" i="9" s="1"/>
  <c r="CJU27" i="9" s="1"/>
  <c r="CJW27" i="9" s="1"/>
  <c r="CJY27" i="9" s="1"/>
  <c r="CKA27" i="9" s="1"/>
  <c r="CKC27" i="9" s="1"/>
  <c r="CKE27" i="9" s="1"/>
  <c r="CKG27" i="9" s="1"/>
  <c r="CKI27" i="9" s="1"/>
  <c r="CKK27" i="9" s="1"/>
  <c r="CKM27" i="9" s="1"/>
  <c r="CKO27" i="9" s="1"/>
  <c r="CKQ27" i="9" s="1"/>
  <c r="CKS27" i="9" s="1"/>
  <c r="CKU27" i="9" s="1"/>
  <c r="CKW27" i="9" s="1"/>
  <c r="CKY27" i="9" s="1"/>
  <c r="CLA27" i="9" s="1"/>
  <c r="CLC27" i="9" s="1"/>
  <c r="CLE27" i="9" s="1"/>
  <c r="CLG27" i="9" s="1"/>
  <c r="CLI27" i="9" s="1"/>
  <c r="CLK27" i="9" s="1"/>
  <c r="CLM27" i="9" s="1"/>
  <c r="CLO27" i="9" s="1"/>
  <c r="CLQ27" i="9" s="1"/>
  <c r="CLS27" i="9" s="1"/>
  <c r="CLU27" i="9" s="1"/>
  <c r="CLW27" i="9" s="1"/>
  <c r="CLY27" i="9" s="1"/>
  <c r="CMA27" i="9" s="1"/>
  <c r="CMC27" i="9" s="1"/>
  <c r="CME27" i="9" s="1"/>
  <c r="CMG27" i="9" s="1"/>
  <c r="CMI27" i="9" s="1"/>
  <c r="CMK27" i="9" s="1"/>
  <c r="CMM27" i="9" s="1"/>
  <c r="CMO27" i="9" s="1"/>
  <c r="CMQ27" i="9" s="1"/>
  <c r="CMS27" i="9" s="1"/>
  <c r="CMU27" i="9" s="1"/>
  <c r="CMW27" i="9" s="1"/>
  <c r="CMY27" i="9" s="1"/>
  <c r="CNA27" i="9" s="1"/>
  <c r="CNC27" i="9" s="1"/>
  <c r="CNE27" i="9" s="1"/>
  <c r="CNG27" i="9" s="1"/>
  <c r="CNI27" i="9" s="1"/>
  <c r="CNK27" i="9" s="1"/>
  <c r="CNM27" i="9" s="1"/>
  <c r="CNO27" i="9" s="1"/>
  <c r="CNQ27" i="9" s="1"/>
  <c r="CNS27" i="9" s="1"/>
  <c r="CNU27" i="9" s="1"/>
  <c r="CNW27" i="9" s="1"/>
  <c r="CNY27" i="9" s="1"/>
  <c r="COA27" i="9" s="1"/>
  <c r="COC27" i="9" s="1"/>
  <c r="COE27" i="9" s="1"/>
  <c r="COG27" i="9" s="1"/>
  <c r="COI27" i="9" s="1"/>
  <c r="COK27" i="9" s="1"/>
  <c r="COM27" i="9" s="1"/>
  <c r="COO27" i="9" s="1"/>
  <c r="COQ27" i="9" s="1"/>
  <c r="COS27" i="9" s="1"/>
  <c r="COU27" i="9" s="1"/>
  <c r="COW27" i="9" s="1"/>
  <c r="COY27" i="9" s="1"/>
  <c r="CPA27" i="9" s="1"/>
  <c r="CPC27" i="9" s="1"/>
  <c r="CPE27" i="9" s="1"/>
  <c r="CPG27" i="9" s="1"/>
  <c r="CPI27" i="9" s="1"/>
  <c r="CPK27" i="9" s="1"/>
  <c r="CPM27" i="9" s="1"/>
  <c r="CPO27" i="9" s="1"/>
  <c r="CPQ27" i="9" s="1"/>
  <c r="CPS27" i="9" s="1"/>
  <c r="CPU27" i="9" s="1"/>
  <c r="CPW27" i="9" s="1"/>
  <c r="CPY27" i="9" s="1"/>
  <c r="CQA27" i="9" s="1"/>
  <c r="CQC27" i="9" s="1"/>
  <c r="CQE27" i="9" s="1"/>
  <c r="CQG27" i="9" s="1"/>
  <c r="CQI27" i="9" s="1"/>
  <c r="CQK27" i="9" s="1"/>
  <c r="CQM27" i="9" s="1"/>
  <c r="CQO27" i="9" s="1"/>
  <c r="CQQ27" i="9" s="1"/>
  <c r="CQS27" i="9" s="1"/>
  <c r="CQU27" i="9" s="1"/>
  <c r="CQW27" i="9" s="1"/>
  <c r="CQY27" i="9" s="1"/>
  <c r="CRA27" i="9" s="1"/>
  <c r="CRC27" i="9" s="1"/>
  <c r="CRE27" i="9" s="1"/>
  <c r="CRG27" i="9" s="1"/>
  <c r="CRI27" i="9" s="1"/>
  <c r="CRK27" i="9" s="1"/>
  <c r="CRM27" i="9" s="1"/>
  <c r="CRO27" i="9" s="1"/>
  <c r="CRQ27" i="9" s="1"/>
  <c r="CRS27" i="9" s="1"/>
  <c r="CRU27" i="9" s="1"/>
  <c r="CRW27" i="9" s="1"/>
  <c r="CRY27" i="9" s="1"/>
  <c r="CSA27" i="9" s="1"/>
  <c r="CSC27" i="9" s="1"/>
  <c r="CSE27" i="9" s="1"/>
  <c r="CSG27" i="9" s="1"/>
  <c r="CSI27" i="9" s="1"/>
  <c r="CSK27" i="9" s="1"/>
  <c r="CSM27" i="9" s="1"/>
  <c r="CSO27" i="9" s="1"/>
  <c r="CSQ27" i="9" s="1"/>
  <c r="CSS27" i="9" s="1"/>
  <c r="CSU27" i="9" s="1"/>
  <c r="CSW27" i="9" s="1"/>
  <c r="CSY27" i="9" s="1"/>
  <c r="CTA27" i="9" s="1"/>
  <c r="CTC27" i="9" s="1"/>
  <c r="CTE27" i="9" s="1"/>
  <c r="CTG27" i="9" s="1"/>
  <c r="CTI27" i="9" s="1"/>
  <c r="CTK27" i="9" s="1"/>
  <c r="CTM27" i="9" s="1"/>
  <c r="CTO27" i="9" s="1"/>
  <c r="CTQ27" i="9" s="1"/>
  <c r="CTS27" i="9" s="1"/>
  <c r="CTU27" i="9" s="1"/>
  <c r="CTW27" i="9" s="1"/>
  <c r="CTY27" i="9" s="1"/>
  <c r="CUA27" i="9" s="1"/>
  <c r="CUC27" i="9" s="1"/>
  <c r="CUE27" i="9" s="1"/>
  <c r="CUG27" i="9" s="1"/>
  <c r="CUI27" i="9" s="1"/>
  <c r="CUK27" i="9" s="1"/>
  <c r="CUM27" i="9" s="1"/>
  <c r="CUO27" i="9" s="1"/>
  <c r="CUQ27" i="9" s="1"/>
  <c r="CUS27" i="9" s="1"/>
  <c r="CUU27" i="9" s="1"/>
  <c r="CUW27" i="9" s="1"/>
  <c r="CUY27" i="9" s="1"/>
  <c r="CVA27" i="9" s="1"/>
  <c r="CVC27" i="9" s="1"/>
  <c r="CVE27" i="9" s="1"/>
  <c r="CVG27" i="9" s="1"/>
  <c r="CVI27" i="9" s="1"/>
  <c r="CVK27" i="9" s="1"/>
  <c r="CVM27" i="9" s="1"/>
  <c r="CVO27" i="9" s="1"/>
  <c r="CVQ27" i="9" s="1"/>
  <c r="CVS27" i="9" s="1"/>
  <c r="CVU27" i="9" s="1"/>
  <c r="CVW27" i="9" s="1"/>
  <c r="CVY27" i="9" s="1"/>
  <c r="CWA27" i="9" s="1"/>
  <c r="CWC27" i="9" s="1"/>
  <c r="CWE27" i="9" s="1"/>
  <c r="CWG27" i="9" s="1"/>
  <c r="CWI27" i="9" s="1"/>
  <c r="CWK27" i="9" s="1"/>
  <c r="CWM27" i="9" s="1"/>
  <c r="CWO27" i="9" s="1"/>
  <c r="CWQ27" i="9" s="1"/>
  <c r="CWS27" i="9" s="1"/>
  <c r="CWU27" i="9" s="1"/>
  <c r="CWW27" i="9" s="1"/>
  <c r="CWY27" i="9" s="1"/>
  <c r="CXA27" i="9" s="1"/>
  <c r="CXC27" i="9" s="1"/>
  <c r="CXE27" i="9" s="1"/>
  <c r="CXG27" i="9" s="1"/>
  <c r="CXI27" i="9" s="1"/>
  <c r="CXK27" i="9" s="1"/>
  <c r="CXM27" i="9" s="1"/>
  <c r="CXO27" i="9" s="1"/>
  <c r="CXQ27" i="9" s="1"/>
  <c r="CXS27" i="9" s="1"/>
  <c r="CXU27" i="9" s="1"/>
  <c r="CXW27" i="9" s="1"/>
  <c r="CXY27" i="9" s="1"/>
  <c r="CYA27" i="9" s="1"/>
  <c r="CYC27" i="9" s="1"/>
  <c r="CYE27" i="9" s="1"/>
  <c r="CYG27" i="9" s="1"/>
  <c r="CYI27" i="9" s="1"/>
  <c r="CYK27" i="9" s="1"/>
  <c r="CYM27" i="9" s="1"/>
  <c r="CYO27" i="9" s="1"/>
  <c r="CYQ27" i="9" s="1"/>
  <c r="CYS27" i="9" s="1"/>
  <c r="CYU27" i="9" s="1"/>
  <c r="CYW27" i="9" s="1"/>
  <c r="CYY27" i="9" s="1"/>
  <c r="CZA27" i="9" s="1"/>
  <c r="CZC27" i="9" s="1"/>
  <c r="CZE27" i="9" s="1"/>
  <c r="CZG27" i="9" s="1"/>
  <c r="CZI27" i="9" s="1"/>
  <c r="CZK27" i="9" s="1"/>
  <c r="CZM27" i="9" s="1"/>
  <c r="CZO27" i="9" s="1"/>
  <c r="CZQ27" i="9" s="1"/>
  <c r="CZS27" i="9" s="1"/>
  <c r="CZU27" i="9" s="1"/>
  <c r="CZW27" i="9" s="1"/>
  <c r="CZY27" i="9" s="1"/>
  <c r="DAA27" i="9" s="1"/>
  <c r="DAC27" i="9" s="1"/>
  <c r="DAE27" i="9" s="1"/>
  <c r="DAG27" i="9" s="1"/>
  <c r="DAI27" i="9" s="1"/>
  <c r="DAK27" i="9" s="1"/>
  <c r="DAM27" i="9" s="1"/>
  <c r="DAO27" i="9" s="1"/>
  <c r="DAQ27" i="9" s="1"/>
  <c r="DAS27" i="9" s="1"/>
  <c r="DAU27" i="9" s="1"/>
  <c r="DAW27" i="9" s="1"/>
  <c r="DAY27" i="9" s="1"/>
  <c r="DBA27" i="9" s="1"/>
  <c r="DBC27" i="9" s="1"/>
  <c r="DBE27" i="9" s="1"/>
  <c r="DBG27" i="9" s="1"/>
  <c r="DBI27" i="9" s="1"/>
  <c r="DBK27" i="9" s="1"/>
  <c r="DBM27" i="9" s="1"/>
  <c r="DBO27" i="9" s="1"/>
  <c r="DBQ27" i="9" s="1"/>
  <c r="DBS27" i="9" s="1"/>
  <c r="DBU27" i="9" s="1"/>
  <c r="DBW27" i="9" s="1"/>
  <c r="DBY27" i="9" s="1"/>
  <c r="DCA27" i="9" s="1"/>
  <c r="DCC27" i="9" s="1"/>
  <c r="DCE27" i="9" s="1"/>
  <c r="DCG27" i="9" s="1"/>
  <c r="DCI27" i="9" s="1"/>
  <c r="DCK27" i="9" s="1"/>
  <c r="DCM27" i="9" s="1"/>
  <c r="DCO27" i="9" s="1"/>
  <c r="DCQ27" i="9" s="1"/>
  <c r="DCS27" i="9" s="1"/>
  <c r="DCU27" i="9" s="1"/>
  <c r="DCW27" i="9" s="1"/>
  <c r="DCY27" i="9" s="1"/>
  <c r="DDA27" i="9" s="1"/>
  <c r="DDC27" i="9" s="1"/>
  <c r="DDE27" i="9" s="1"/>
  <c r="DDG27" i="9" s="1"/>
  <c r="DDI27" i="9" s="1"/>
  <c r="DDK27" i="9" s="1"/>
  <c r="DDM27" i="9" s="1"/>
  <c r="DDO27" i="9" s="1"/>
  <c r="DDQ27" i="9" s="1"/>
  <c r="DDS27" i="9" s="1"/>
  <c r="DDU27" i="9" s="1"/>
  <c r="DDW27" i="9" s="1"/>
  <c r="DDY27" i="9" s="1"/>
  <c r="DEA27" i="9" s="1"/>
  <c r="DEC27" i="9" s="1"/>
  <c r="DEE27" i="9" s="1"/>
  <c r="DEG27" i="9" s="1"/>
  <c r="DEI27" i="9" s="1"/>
  <c r="DEK27" i="9" s="1"/>
  <c r="DEM27" i="9" s="1"/>
  <c r="DEO27" i="9" s="1"/>
  <c r="DEQ27" i="9" s="1"/>
  <c r="DES27" i="9" s="1"/>
  <c r="DEU27" i="9" s="1"/>
  <c r="DEW27" i="9" s="1"/>
  <c r="DEY27" i="9" s="1"/>
  <c r="DFA27" i="9" s="1"/>
  <c r="DFC27" i="9" s="1"/>
  <c r="DFE27" i="9" s="1"/>
  <c r="DFG27" i="9" s="1"/>
  <c r="DFI27" i="9" s="1"/>
  <c r="DFK27" i="9" s="1"/>
  <c r="DFM27" i="9" s="1"/>
  <c r="DFO27" i="9" s="1"/>
  <c r="DFQ27" i="9" s="1"/>
  <c r="DFS27" i="9" s="1"/>
  <c r="DFU27" i="9" s="1"/>
  <c r="DFW27" i="9" s="1"/>
  <c r="DFY27" i="9" s="1"/>
  <c r="DGA27" i="9" s="1"/>
  <c r="DGC27" i="9" s="1"/>
  <c r="DGE27" i="9" s="1"/>
  <c r="DGG27" i="9" s="1"/>
  <c r="DGI27" i="9" s="1"/>
  <c r="DGK27" i="9" s="1"/>
  <c r="DGM27" i="9" s="1"/>
  <c r="DGO27" i="9" s="1"/>
  <c r="DGQ27" i="9" s="1"/>
  <c r="DGS27" i="9" s="1"/>
  <c r="DGU27" i="9" s="1"/>
  <c r="DGW27" i="9" s="1"/>
  <c r="DGY27" i="9" s="1"/>
  <c r="DHA27" i="9" s="1"/>
  <c r="DHC27" i="9" s="1"/>
  <c r="DHE27" i="9" s="1"/>
  <c r="DHG27" i="9" s="1"/>
  <c r="DHI27" i="9" s="1"/>
  <c r="DHK27" i="9" s="1"/>
  <c r="DHM27" i="9" s="1"/>
  <c r="DHO27" i="9" s="1"/>
  <c r="DHQ27" i="9" s="1"/>
  <c r="DHS27" i="9" s="1"/>
  <c r="DHU27" i="9" s="1"/>
  <c r="DHW27" i="9" s="1"/>
  <c r="DHY27" i="9" s="1"/>
  <c r="DIA27" i="9" s="1"/>
  <c r="DIC27" i="9" s="1"/>
  <c r="DIE27" i="9" s="1"/>
  <c r="DIG27" i="9" s="1"/>
  <c r="DII27" i="9" s="1"/>
  <c r="DIK27" i="9" s="1"/>
  <c r="DIM27" i="9" s="1"/>
  <c r="DIO27" i="9" s="1"/>
  <c r="DIQ27" i="9" s="1"/>
  <c r="DIS27" i="9" s="1"/>
  <c r="DIU27" i="9" s="1"/>
  <c r="DIW27" i="9" s="1"/>
  <c r="DIY27" i="9" s="1"/>
  <c r="DJA27" i="9" s="1"/>
  <c r="DJC27" i="9" s="1"/>
  <c r="DJE27" i="9" s="1"/>
  <c r="DJG27" i="9" s="1"/>
  <c r="DJI27" i="9" s="1"/>
  <c r="DJK27" i="9" s="1"/>
  <c r="DJM27" i="9" s="1"/>
  <c r="DJO27" i="9" s="1"/>
  <c r="DJQ27" i="9" s="1"/>
  <c r="DJS27" i="9" s="1"/>
  <c r="DJU27" i="9" s="1"/>
  <c r="DJW27" i="9" s="1"/>
  <c r="DJY27" i="9" s="1"/>
  <c r="DKA27" i="9" s="1"/>
  <c r="DKC27" i="9" s="1"/>
  <c r="DKE27" i="9" s="1"/>
  <c r="DKG27" i="9" s="1"/>
  <c r="DKI27" i="9" s="1"/>
  <c r="DKK27" i="9" s="1"/>
  <c r="DKM27" i="9" s="1"/>
  <c r="DKO27" i="9" s="1"/>
  <c r="DKQ27" i="9" s="1"/>
  <c r="DKS27" i="9" s="1"/>
  <c r="DKU27" i="9" s="1"/>
  <c r="DKW27" i="9" s="1"/>
  <c r="DKY27" i="9" s="1"/>
  <c r="DLA27" i="9" s="1"/>
  <c r="DLC27" i="9" s="1"/>
  <c r="DLE27" i="9" s="1"/>
  <c r="DLG27" i="9" s="1"/>
  <c r="DLI27" i="9" s="1"/>
  <c r="DLK27" i="9" s="1"/>
  <c r="DLM27" i="9" s="1"/>
  <c r="DLO27" i="9" s="1"/>
  <c r="DLQ27" i="9" s="1"/>
  <c r="DLS27" i="9" s="1"/>
  <c r="DLU27" i="9" s="1"/>
  <c r="DLW27" i="9" s="1"/>
  <c r="DLY27" i="9" s="1"/>
  <c r="DMA27" i="9" s="1"/>
  <c r="DMC27" i="9" s="1"/>
  <c r="DME27" i="9" s="1"/>
  <c r="DMG27" i="9" s="1"/>
  <c r="DMI27" i="9" s="1"/>
  <c r="DMK27" i="9" s="1"/>
  <c r="DMM27" i="9" s="1"/>
  <c r="DMO27" i="9" s="1"/>
  <c r="DMQ27" i="9" s="1"/>
  <c r="DMS27" i="9" s="1"/>
  <c r="DMU27" i="9" s="1"/>
  <c r="DMW27" i="9" s="1"/>
  <c r="DMY27" i="9" s="1"/>
  <c r="DNA27" i="9" s="1"/>
  <c r="DNC27" i="9" s="1"/>
  <c r="DNE27" i="9" s="1"/>
  <c r="DNG27" i="9" s="1"/>
  <c r="DNI27" i="9" s="1"/>
  <c r="DNK27" i="9" s="1"/>
  <c r="DNM27" i="9" s="1"/>
  <c r="DNO27" i="9" s="1"/>
  <c r="DNQ27" i="9" s="1"/>
  <c r="DNS27" i="9" s="1"/>
  <c r="DNU27" i="9" s="1"/>
  <c r="DNW27" i="9" s="1"/>
  <c r="DNY27" i="9" s="1"/>
  <c r="DOA27" i="9" s="1"/>
  <c r="DOC27" i="9" s="1"/>
  <c r="DOE27" i="9" s="1"/>
  <c r="DOG27" i="9" s="1"/>
  <c r="DOI27" i="9" s="1"/>
  <c r="DOK27" i="9" s="1"/>
  <c r="DOM27" i="9" s="1"/>
  <c r="DOO27" i="9" s="1"/>
  <c r="DOQ27" i="9" s="1"/>
  <c r="DOS27" i="9" s="1"/>
  <c r="DOU27" i="9" s="1"/>
  <c r="DOW27" i="9" s="1"/>
  <c r="DOY27" i="9" s="1"/>
  <c r="DPA27" i="9" s="1"/>
  <c r="DPC27" i="9" s="1"/>
  <c r="DPE27" i="9" s="1"/>
  <c r="DPG27" i="9" s="1"/>
  <c r="DPI27" i="9" s="1"/>
  <c r="DPK27" i="9" s="1"/>
  <c r="DPM27" i="9" s="1"/>
  <c r="DPO27" i="9" s="1"/>
  <c r="DPQ27" i="9" s="1"/>
  <c r="DPS27" i="9" s="1"/>
  <c r="DPU27" i="9" s="1"/>
  <c r="DPW27" i="9" s="1"/>
  <c r="DPY27" i="9" s="1"/>
  <c r="DQA27" i="9" s="1"/>
  <c r="DQC27" i="9" s="1"/>
  <c r="DQE27" i="9" s="1"/>
  <c r="DQG27" i="9" s="1"/>
  <c r="DQI27" i="9" s="1"/>
  <c r="DQK27" i="9" s="1"/>
  <c r="DQM27" i="9" s="1"/>
  <c r="DQO27" i="9" s="1"/>
  <c r="DQQ27" i="9" s="1"/>
  <c r="DQS27" i="9" s="1"/>
  <c r="DQU27" i="9" s="1"/>
  <c r="DQW27" i="9" s="1"/>
  <c r="DQY27" i="9" s="1"/>
  <c r="DRA27" i="9" s="1"/>
  <c r="DRC27" i="9" s="1"/>
  <c r="DRE27" i="9" s="1"/>
  <c r="DRG27" i="9" s="1"/>
  <c r="DRI27" i="9" s="1"/>
  <c r="DRK27" i="9" s="1"/>
  <c r="DRM27" i="9" s="1"/>
  <c r="DRO27" i="9" s="1"/>
  <c r="DRQ27" i="9" s="1"/>
  <c r="DRS27" i="9" s="1"/>
  <c r="DRU27" i="9" s="1"/>
  <c r="DRW27" i="9" s="1"/>
  <c r="DRY27" i="9" s="1"/>
  <c r="DSA27" i="9" s="1"/>
  <c r="DSC27" i="9" s="1"/>
  <c r="DSE27" i="9" s="1"/>
  <c r="DSG27" i="9" s="1"/>
  <c r="DSI27" i="9" s="1"/>
  <c r="DSK27" i="9" s="1"/>
  <c r="DSM27" i="9" s="1"/>
  <c r="DSO27" i="9" s="1"/>
  <c r="DSQ27" i="9" s="1"/>
  <c r="DSS27" i="9" s="1"/>
  <c r="DSU27" i="9" s="1"/>
  <c r="DSW27" i="9" s="1"/>
  <c r="DSY27" i="9" s="1"/>
  <c r="DTA27" i="9" s="1"/>
  <c r="DTC27" i="9" s="1"/>
  <c r="DTE27" i="9" s="1"/>
  <c r="DTG27" i="9" s="1"/>
  <c r="DTI27" i="9" s="1"/>
  <c r="DTK27" i="9" s="1"/>
  <c r="DTM27" i="9" s="1"/>
  <c r="DTO27" i="9" s="1"/>
  <c r="DTQ27" i="9" s="1"/>
  <c r="DTS27" i="9" s="1"/>
  <c r="DTU27" i="9" s="1"/>
  <c r="DTW27" i="9" s="1"/>
  <c r="DTY27" i="9" s="1"/>
  <c r="DUA27" i="9" s="1"/>
  <c r="DUC27" i="9" s="1"/>
  <c r="DUE27" i="9" s="1"/>
  <c r="DUG27" i="9" s="1"/>
  <c r="DUI27" i="9" s="1"/>
  <c r="DUK27" i="9" s="1"/>
  <c r="DUM27" i="9" s="1"/>
  <c r="DUO27" i="9" s="1"/>
  <c r="DUQ27" i="9" s="1"/>
  <c r="DUS27" i="9" s="1"/>
  <c r="DUU27" i="9" s="1"/>
  <c r="DUW27" i="9" s="1"/>
  <c r="DUY27" i="9" s="1"/>
  <c r="DVA27" i="9" s="1"/>
  <c r="DVC27" i="9" s="1"/>
  <c r="DVE27" i="9" s="1"/>
  <c r="DVG27" i="9" s="1"/>
  <c r="DVI27" i="9" s="1"/>
  <c r="DVK27" i="9" s="1"/>
  <c r="DVM27" i="9" s="1"/>
  <c r="DVO27" i="9" s="1"/>
  <c r="DVQ27" i="9" s="1"/>
  <c r="DVS27" i="9" s="1"/>
  <c r="DVU27" i="9" s="1"/>
  <c r="DVW27" i="9" s="1"/>
  <c r="DVY27" i="9" s="1"/>
  <c r="DWA27" i="9" s="1"/>
  <c r="DWC27" i="9" s="1"/>
  <c r="DWE27" i="9" s="1"/>
  <c r="DWG27" i="9" s="1"/>
  <c r="DWI27" i="9" s="1"/>
  <c r="DWK27" i="9" s="1"/>
  <c r="DWM27" i="9" s="1"/>
  <c r="DWO27" i="9" s="1"/>
  <c r="DWQ27" i="9" s="1"/>
  <c r="DWS27" i="9" s="1"/>
  <c r="DWU27" i="9" s="1"/>
  <c r="DWW27" i="9" s="1"/>
  <c r="DWY27" i="9" s="1"/>
  <c r="DXA27" i="9" s="1"/>
  <c r="DXC27" i="9" s="1"/>
  <c r="DXE27" i="9" s="1"/>
  <c r="DXG27" i="9" s="1"/>
  <c r="DXI27" i="9" s="1"/>
  <c r="DXK27" i="9" s="1"/>
  <c r="DXM27" i="9" s="1"/>
  <c r="DXO27" i="9" s="1"/>
  <c r="DXQ27" i="9" s="1"/>
  <c r="DXS27" i="9" s="1"/>
  <c r="DXU27" i="9" s="1"/>
  <c r="DXW27" i="9" s="1"/>
  <c r="DXY27" i="9" s="1"/>
  <c r="DYA27" i="9" s="1"/>
  <c r="DYC27" i="9" s="1"/>
  <c r="DYE27" i="9" s="1"/>
  <c r="DYG27" i="9" s="1"/>
  <c r="DYI27" i="9" s="1"/>
  <c r="DYK27" i="9" s="1"/>
  <c r="DYM27" i="9" s="1"/>
  <c r="DYO27" i="9" s="1"/>
  <c r="DYQ27" i="9" s="1"/>
  <c r="DYS27" i="9" s="1"/>
  <c r="DYU27" i="9" s="1"/>
  <c r="DYW27" i="9" s="1"/>
  <c r="DYY27" i="9" s="1"/>
  <c r="DZA27" i="9" s="1"/>
  <c r="DZC27" i="9" s="1"/>
  <c r="DZE27" i="9" s="1"/>
  <c r="DZG27" i="9" s="1"/>
  <c r="DZI27" i="9" s="1"/>
  <c r="DZK27" i="9" s="1"/>
  <c r="DZM27" i="9" s="1"/>
  <c r="DZO27" i="9" s="1"/>
  <c r="DZQ27" i="9" s="1"/>
  <c r="DZS27" i="9" s="1"/>
  <c r="DZU27" i="9" s="1"/>
  <c r="DZW27" i="9" s="1"/>
  <c r="DZY27" i="9" s="1"/>
  <c r="EAA27" i="9" s="1"/>
  <c r="EAC27" i="9" s="1"/>
  <c r="EAE27" i="9" s="1"/>
  <c r="EAG27" i="9" s="1"/>
  <c r="EAI27" i="9" s="1"/>
  <c r="EAK27" i="9" s="1"/>
  <c r="EAM27" i="9" s="1"/>
  <c r="EAO27" i="9" s="1"/>
  <c r="EAQ27" i="9" s="1"/>
  <c r="EAS27" i="9" s="1"/>
  <c r="EAU27" i="9" s="1"/>
  <c r="EAW27" i="9" s="1"/>
  <c r="EAY27" i="9" s="1"/>
  <c r="EBA27" i="9" s="1"/>
  <c r="EBC27" i="9" s="1"/>
  <c r="EBE27" i="9" s="1"/>
  <c r="EBG27" i="9" s="1"/>
  <c r="EBI27" i="9" s="1"/>
  <c r="EBK27" i="9" s="1"/>
  <c r="EBM27" i="9" s="1"/>
  <c r="EBO27" i="9" s="1"/>
  <c r="EBQ27" i="9" s="1"/>
  <c r="EBS27" i="9" s="1"/>
  <c r="EBU27" i="9" s="1"/>
  <c r="EBW27" i="9" s="1"/>
  <c r="EBY27" i="9" s="1"/>
  <c r="ECA27" i="9" s="1"/>
  <c r="ECC27" i="9" s="1"/>
  <c r="ECE27" i="9" s="1"/>
  <c r="ECG27" i="9" s="1"/>
  <c r="ECI27" i="9" s="1"/>
  <c r="ECK27" i="9" s="1"/>
  <c r="ECM27" i="9" s="1"/>
  <c r="ECO27" i="9" s="1"/>
  <c r="ECQ27" i="9" s="1"/>
  <c r="ECS27" i="9" s="1"/>
  <c r="ECU27" i="9" s="1"/>
  <c r="ECW27" i="9" s="1"/>
  <c r="ECY27" i="9" s="1"/>
  <c r="EDA27" i="9" s="1"/>
  <c r="EDC27" i="9" s="1"/>
  <c r="EDE27" i="9" s="1"/>
  <c r="EDG27" i="9" s="1"/>
  <c r="EDI27" i="9" s="1"/>
  <c r="EDK27" i="9" s="1"/>
  <c r="EDM27" i="9" s="1"/>
  <c r="EDO27" i="9" s="1"/>
  <c r="EDQ27" i="9" s="1"/>
  <c r="EDS27" i="9" s="1"/>
  <c r="EDU27" i="9" s="1"/>
  <c r="EDW27" i="9" s="1"/>
  <c r="EDY27" i="9" s="1"/>
  <c r="EEA27" i="9" s="1"/>
  <c r="EEC27" i="9" s="1"/>
  <c r="EEE27" i="9" s="1"/>
  <c r="EEG27" i="9" s="1"/>
  <c r="EEI27" i="9" s="1"/>
  <c r="EEK27" i="9" s="1"/>
  <c r="EEM27" i="9" s="1"/>
  <c r="EEO27" i="9" s="1"/>
  <c r="EEQ27" i="9" s="1"/>
  <c r="EES27" i="9" s="1"/>
  <c r="EEU27" i="9" s="1"/>
  <c r="EEW27" i="9" s="1"/>
  <c r="EEY27" i="9" s="1"/>
  <c r="EFA27" i="9" s="1"/>
  <c r="EFC27" i="9" s="1"/>
  <c r="EFE27" i="9" s="1"/>
  <c r="EFG27" i="9" s="1"/>
  <c r="EFI27" i="9" s="1"/>
  <c r="EFK27" i="9" s="1"/>
  <c r="EFM27" i="9" s="1"/>
  <c r="EFO27" i="9" s="1"/>
  <c r="EFQ27" i="9" s="1"/>
  <c r="EFS27" i="9" s="1"/>
  <c r="EFU27" i="9" s="1"/>
  <c r="EFW27" i="9" s="1"/>
  <c r="EFY27" i="9" s="1"/>
  <c r="EGA27" i="9" s="1"/>
  <c r="EGC27" i="9" s="1"/>
  <c r="EGE27" i="9" s="1"/>
  <c r="EGG27" i="9" s="1"/>
  <c r="EGI27" i="9" s="1"/>
  <c r="EGK27" i="9" s="1"/>
  <c r="EGM27" i="9" s="1"/>
  <c r="EGO27" i="9" s="1"/>
  <c r="EGQ27" i="9" s="1"/>
  <c r="EGS27" i="9" s="1"/>
  <c r="EGU27" i="9" s="1"/>
  <c r="EGW27" i="9" s="1"/>
  <c r="EGY27" i="9" s="1"/>
  <c r="EHA27" i="9" s="1"/>
  <c r="EHC27" i="9" s="1"/>
  <c r="EHE27" i="9" s="1"/>
  <c r="EHG27" i="9" s="1"/>
  <c r="EHI27" i="9" s="1"/>
  <c r="EHK27" i="9" s="1"/>
  <c r="EHM27" i="9" s="1"/>
  <c r="EHO27" i="9" s="1"/>
  <c r="EHQ27" i="9" s="1"/>
  <c r="EHS27" i="9" s="1"/>
  <c r="EHU27" i="9" s="1"/>
  <c r="EHW27" i="9" s="1"/>
  <c r="EHY27" i="9" s="1"/>
  <c r="EIA27" i="9" s="1"/>
  <c r="EIC27" i="9" s="1"/>
  <c r="EIE27" i="9" s="1"/>
  <c r="EIG27" i="9" s="1"/>
  <c r="EII27" i="9" s="1"/>
  <c r="EIK27" i="9" s="1"/>
  <c r="EIM27" i="9" s="1"/>
  <c r="EIO27" i="9" s="1"/>
  <c r="EIQ27" i="9" s="1"/>
  <c r="EIS27" i="9" s="1"/>
  <c r="EIU27" i="9" s="1"/>
  <c r="EIW27" i="9" s="1"/>
  <c r="EIY27" i="9" s="1"/>
  <c r="EJA27" i="9" s="1"/>
  <c r="EJC27" i="9" s="1"/>
  <c r="EJE27" i="9" s="1"/>
  <c r="EJG27" i="9" s="1"/>
  <c r="EJI27" i="9" s="1"/>
  <c r="EJK27" i="9" s="1"/>
  <c r="EJM27" i="9" s="1"/>
  <c r="EJO27" i="9" s="1"/>
  <c r="EJQ27" i="9" s="1"/>
  <c r="EJS27" i="9" s="1"/>
  <c r="EJU27" i="9" s="1"/>
  <c r="EJW27" i="9" s="1"/>
  <c r="EJY27" i="9" s="1"/>
  <c r="EKA27" i="9" s="1"/>
  <c r="EKC27" i="9" s="1"/>
  <c r="EKE27" i="9" s="1"/>
  <c r="EKG27" i="9" s="1"/>
  <c r="EKI27" i="9" s="1"/>
  <c r="EKK27" i="9" s="1"/>
  <c r="EKM27" i="9" s="1"/>
  <c r="EKO27" i="9" s="1"/>
  <c r="EKQ27" i="9" s="1"/>
  <c r="EKS27" i="9" s="1"/>
  <c r="EKU27" i="9" s="1"/>
  <c r="EKW27" i="9" s="1"/>
  <c r="EKY27" i="9" s="1"/>
  <c r="ELA27" i="9" s="1"/>
  <c r="ELC27" i="9" s="1"/>
  <c r="ELE27" i="9" s="1"/>
  <c r="ELG27" i="9" s="1"/>
  <c r="ELI27" i="9" s="1"/>
  <c r="ELK27" i="9" s="1"/>
  <c r="ELM27" i="9" s="1"/>
  <c r="ELO27" i="9" s="1"/>
  <c r="ELQ27" i="9" s="1"/>
  <c r="ELS27" i="9" s="1"/>
  <c r="ELU27" i="9" s="1"/>
  <c r="ELW27" i="9" s="1"/>
  <c r="ELY27" i="9" s="1"/>
  <c r="EMA27" i="9" s="1"/>
  <c r="EMC27" i="9" s="1"/>
  <c r="EME27" i="9" s="1"/>
  <c r="EMG27" i="9" s="1"/>
  <c r="EMI27" i="9" s="1"/>
  <c r="EMK27" i="9" s="1"/>
  <c r="EMM27" i="9" s="1"/>
  <c r="EMO27" i="9" s="1"/>
  <c r="EMQ27" i="9" s="1"/>
  <c r="EMS27" i="9" s="1"/>
  <c r="EMU27" i="9" s="1"/>
  <c r="EMW27" i="9" s="1"/>
  <c r="EMY27" i="9" s="1"/>
  <c r="ENA27" i="9" s="1"/>
  <c r="ENC27" i="9" s="1"/>
  <c r="ENE27" i="9" s="1"/>
  <c r="ENG27" i="9" s="1"/>
  <c r="ENI27" i="9" s="1"/>
  <c r="ENK27" i="9" s="1"/>
  <c r="ENM27" i="9" s="1"/>
  <c r="ENO27" i="9" s="1"/>
  <c r="ENQ27" i="9" s="1"/>
  <c r="ENS27" i="9" s="1"/>
  <c r="ENU27" i="9" s="1"/>
  <c r="ENW27" i="9" s="1"/>
  <c r="ENY27" i="9" s="1"/>
  <c r="EOA27" i="9" s="1"/>
  <c r="EOC27" i="9" s="1"/>
  <c r="EOE27" i="9" s="1"/>
  <c r="EOG27" i="9" s="1"/>
  <c r="EOI27" i="9" s="1"/>
  <c r="EOK27" i="9" s="1"/>
  <c r="EOM27" i="9" s="1"/>
  <c r="EOO27" i="9" s="1"/>
  <c r="EOQ27" i="9" s="1"/>
  <c r="EOS27" i="9" s="1"/>
  <c r="EOU27" i="9" s="1"/>
  <c r="EOW27" i="9" s="1"/>
  <c r="EOY27" i="9" s="1"/>
  <c r="EPA27" i="9" s="1"/>
  <c r="EPC27" i="9" s="1"/>
  <c r="EPE27" i="9" s="1"/>
  <c r="EPG27" i="9" s="1"/>
  <c r="EPI27" i="9" s="1"/>
  <c r="EPK27" i="9" s="1"/>
  <c r="EPM27" i="9" s="1"/>
  <c r="EPO27" i="9" s="1"/>
  <c r="EPQ27" i="9" s="1"/>
  <c r="EPS27" i="9" s="1"/>
  <c r="EPU27" i="9" s="1"/>
  <c r="EPW27" i="9" s="1"/>
  <c r="EPY27" i="9" s="1"/>
  <c r="EQA27" i="9" s="1"/>
  <c r="EQC27" i="9" s="1"/>
  <c r="EQE27" i="9" s="1"/>
  <c r="EQG27" i="9" s="1"/>
  <c r="EQI27" i="9" s="1"/>
  <c r="EQK27" i="9" s="1"/>
  <c r="EQM27" i="9" s="1"/>
  <c r="EQO27" i="9" s="1"/>
  <c r="EQQ27" i="9" s="1"/>
  <c r="EQS27" i="9" s="1"/>
  <c r="EQU27" i="9" s="1"/>
  <c r="EQW27" i="9" s="1"/>
  <c r="EQY27" i="9" s="1"/>
  <c r="ERA27" i="9" s="1"/>
  <c r="ERC27" i="9" s="1"/>
  <c r="ERE27" i="9" s="1"/>
  <c r="ERG27" i="9" s="1"/>
  <c r="ERI27" i="9" s="1"/>
  <c r="ERK27" i="9" s="1"/>
  <c r="ERM27" i="9" s="1"/>
  <c r="ERO27" i="9" s="1"/>
  <c r="ERQ27" i="9" s="1"/>
  <c r="ERS27" i="9" s="1"/>
  <c r="ERU27" i="9" s="1"/>
  <c r="ERW27" i="9" s="1"/>
  <c r="ERY27" i="9" s="1"/>
  <c r="ESA27" i="9" s="1"/>
  <c r="ESC27" i="9" s="1"/>
  <c r="ESE27" i="9" s="1"/>
  <c r="ESG27" i="9" s="1"/>
  <c r="ESI27" i="9" s="1"/>
  <c r="ESK27" i="9" s="1"/>
  <c r="ESM27" i="9" s="1"/>
  <c r="ESO27" i="9" s="1"/>
  <c r="ESQ27" i="9" s="1"/>
  <c r="ESS27" i="9" s="1"/>
  <c r="ESU27" i="9" s="1"/>
  <c r="ESW27" i="9" s="1"/>
  <c r="ESY27" i="9" s="1"/>
  <c r="ETA27" i="9" s="1"/>
  <c r="ETC27" i="9" s="1"/>
  <c r="ETE27" i="9" s="1"/>
  <c r="ETG27" i="9" s="1"/>
  <c r="ETI27" i="9" s="1"/>
  <c r="ETK27" i="9" s="1"/>
  <c r="ETM27" i="9" s="1"/>
  <c r="ETO27" i="9" s="1"/>
  <c r="ETQ27" i="9" s="1"/>
  <c r="ETS27" i="9" s="1"/>
  <c r="ETU27" i="9" s="1"/>
  <c r="ETW27" i="9" s="1"/>
  <c r="ETY27" i="9" s="1"/>
  <c r="EUA27" i="9" s="1"/>
  <c r="EUC27" i="9" s="1"/>
  <c r="EUE27" i="9" s="1"/>
  <c r="EUG27" i="9" s="1"/>
  <c r="EUI27" i="9" s="1"/>
  <c r="EUK27" i="9" s="1"/>
  <c r="EUM27" i="9" s="1"/>
  <c r="EUO27" i="9" s="1"/>
  <c r="EUQ27" i="9" s="1"/>
  <c r="EUS27" i="9" s="1"/>
  <c r="EUU27" i="9" s="1"/>
  <c r="EUW27" i="9" s="1"/>
  <c r="EUY27" i="9" s="1"/>
  <c r="EVA27" i="9" s="1"/>
  <c r="EVC27" i="9" s="1"/>
  <c r="EVE27" i="9" s="1"/>
  <c r="EVG27" i="9" s="1"/>
  <c r="EVI27" i="9" s="1"/>
  <c r="EVK27" i="9" s="1"/>
  <c r="EVM27" i="9" s="1"/>
  <c r="EVO27" i="9" s="1"/>
  <c r="EVQ27" i="9" s="1"/>
  <c r="EVS27" i="9" s="1"/>
  <c r="EVU27" i="9" s="1"/>
  <c r="EVW27" i="9" s="1"/>
  <c r="EVY27" i="9" s="1"/>
  <c r="EWA27" i="9" s="1"/>
  <c r="EWC27" i="9" s="1"/>
  <c r="EWE27" i="9" s="1"/>
  <c r="EWG27" i="9" s="1"/>
  <c r="EWI27" i="9" s="1"/>
  <c r="EWK27" i="9" s="1"/>
  <c r="EWM27" i="9" s="1"/>
  <c r="EWO27" i="9" s="1"/>
  <c r="EWQ27" i="9" s="1"/>
  <c r="EWS27" i="9" s="1"/>
  <c r="EWU27" i="9" s="1"/>
  <c r="EWW27" i="9" s="1"/>
  <c r="EWY27" i="9" s="1"/>
  <c r="EXA27" i="9" s="1"/>
  <c r="EXC27" i="9" s="1"/>
  <c r="EXE27" i="9" s="1"/>
  <c r="EXG27" i="9" s="1"/>
  <c r="EXI27" i="9" s="1"/>
  <c r="EXK27" i="9" s="1"/>
  <c r="EXM27" i="9" s="1"/>
  <c r="EXO27" i="9" s="1"/>
  <c r="EXQ27" i="9" s="1"/>
  <c r="EXS27" i="9" s="1"/>
  <c r="EXU27" i="9" s="1"/>
  <c r="EXW27" i="9" s="1"/>
  <c r="EXY27" i="9" s="1"/>
  <c r="EYA27" i="9" s="1"/>
  <c r="EYC27" i="9" s="1"/>
  <c r="EYE27" i="9" s="1"/>
  <c r="EYG27" i="9" s="1"/>
  <c r="EYI27" i="9" s="1"/>
  <c r="EYK27" i="9" s="1"/>
  <c r="EYM27" i="9" s="1"/>
  <c r="EYO27" i="9" s="1"/>
  <c r="EYQ27" i="9" s="1"/>
  <c r="EYS27" i="9" s="1"/>
  <c r="EYU27" i="9" s="1"/>
  <c r="EYW27" i="9" s="1"/>
  <c r="EYY27" i="9" s="1"/>
  <c r="EZA27" i="9" s="1"/>
  <c r="EZC27" i="9" s="1"/>
  <c r="EZE27" i="9" s="1"/>
  <c r="EZG27" i="9" s="1"/>
  <c r="EZI27" i="9" s="1"/>
  <c r="EZK27" i="9" s="1"/>
  <c r="EZM27" i="9" s="1"/>
  <c r="EZO27" i="9" s="1"/>
  <c r="EZQ27" i="9" s="1"/>
  <c r="EZS27" i="9" s="1"/>
  <c r="EZU27" i="9" s="1"/>
  <c r="EZW27" i="9" s="1"/>
  <c r="EZY27" i="9" s="1"/>
  <c r="FAA27" i="9" s="1"/>
  <c r="FAC27" i="9" s="1"/>
  <c r="FAE27" i="9" s="1"/>
  <c r="FAG27" i="9" s="1"/>
  <c r="FAI27" i="9" s="1"/>
  <c r="FAK27" i="9" s="1"/>
  <c r="FAM27" i="9" s="1"/>
  <c r="FAO27" i="9" s="1"/>
  <c r="FAQ27" i="9" s="1"/>
  <c r="FAS27" i="9" s="1"/>
  <c r="FAU27" i="9" s="1"/>
  <c r="FAW27" i="9" s="1"/>
  <c r="FAY27" i="9" s="1"/>
  <c r="FBA27" i="9" s="1"/>
  <c r="FBC27" i="9" s="1"/>
  <c r="FBE27" i="9" s="1"/>
  <c r="FBG27" i="9" s="1"/>
  <c r="FBI27" i="9" s="1"/>
  <c r="FBK27" i="9" s="1"/>
  <c r="FBM27" i="9" s="1"/>
  <c r="FBO27" i="9" s="1"/>
  <c r="FBQ27" i="9" s="1"/>
  <c r="FBS27" i="9" s="1"/>
  <c r="FBU27" i="9" s="1"/>
  <c r="FBW27" i="9" s="1"/>
  <c r="FBY27" i="9" s="1"/>
  <c r="FCA27" i="9" s="1"/>
  <c r="FCC27" i="9" s="1"/>
  <c r="FCE27" i="9" s="1"/>
  <c r="FCG27" i="9" s="1"/>
  <c r="FCI27" i="9" s="1"/>
  <c r="FCK27" i="9" s="1"/>
  <c r="FCM27" i="9" s="1"/>
  <c r="FCO27" i="9" s="1"/>
  <c r="FCQ27" i="9" s="1"/>
  <c r="FCS27" i="9" s="1"/>
  <c r="FCU27" i="9" s="1"/>
  <c r="FCW27" i="9" s="1"/>
  <c r="FCY27" i="9" s="1"/>
  <c r="FDA27" i="9" s="1"/>
  <c r="FDC27" i="9" s="1"/>
  <c r="FDE27" i="9" s="1"/>
  <c r="FDG27" i="9" s="1"/>
  <c r="FDI27" i="9" s="1"/>
  <c r="FDK27" i="9" s="1"/>
  <c r="FDM27" i="9" s="1"/>
  <c r="FDO27" i="9" s="1"/>
  <c r="FDQ27" i="9" s="1"/>
  <c r="FDS27" i="9" s="1"/>
  <c r="FDU27" i="9" s="1"/>
  <c r="FDW27" i="9" s="1"/>
  <c r="FDY27" i="9" s="1"/>
  <c r="FEA27" i="9" s="1"/>
  <c r="FEC27" i="9" s="1"/>
  <c r="FEE27" i="9" s="1"/>
  <c r="FEG27" i="9" s="1"/>
  <c r="FEI27" i="9" s="1"/>
  <c r="FEK27" i="9" s="1"/>
  <c r="FEM27" i="9" s="1"/>
  <c r="FEO27" i="9" s="1"/>
  <c r="FEQ27" i="9" s="1"/>
  <c r="FES27" i="9" s="1"/>
  <c r="FEU27" i="9" s="1"/>
  <c r="FEW27" i="9" s="1"/>
  <c r="FEY27" i="9" s="1"/>
  <c r="FFA27" i="9" s="1"/>
  <c r="FFC27" i="9" s="1"/>
  <c r="FFE27" i="9" s="1"/>
  <c r="FFG27" i="9" s="1"/>
  <c r="FFI27" i="9" s="1"/>
  <c r="FFK27" i="9" s="1"/>
  <c r="FFM27" i="9" s="1"/>
  <c r="FFO27" i="9" s="1"/>
  <c r="FFQ27" i="9" s="1"/>
  <c r="FFS27" i="9" s="1"/>
  <c r="FFU27" i="9" s="1"/>
  <c r="FFW27" i="9" s="1"/>
  <c r="FFY27" i="9" s="1"/>
  <c r="FGA27" i="9" s="1"/>
  <c r="FGC27" i="9" s="1"/>
  <c r="FGE27" i="9" s="1"/>
  <c r="FGG27" i="9" s="1"/>
  <c r="FGI27" i="9" s="1"/>
  <c r="FGK27" i="9" s="1"/>
  <c r="FGM27" i="9" s="1"/>
  <c r="FGO27" i="9" s="1"/>
  <c r="FGQ27" i="9" s="1"/>
  <c r="FGS27" i="9" s="1"/>
  <c r="FGU27" i="9" s="1"/>
  <c r="FGW27" i="9" s="1"/>
  <c r="FGY27" i="9" s="1"/>
  <c r="FHA27" i="9" s="1"/>
  <c r="FHC27" i="9" s="1"/>
  <c r="FHE27" i="9" s="1"/>
  <c r="FHG27" i="9" s="1"/>
  <c r="FHI27" i="9" s="1"/>
  <c r="FHK27" i="9" s="1"/>
  <c r="FHM27" i="9" s="1"/>
  <c r="FHO27" i="9" s="1"/>
  <c r="FHQ27" i="9" s="1"/>
  <c r="FHS27" i="9" s="1"/>
  <c r="FHU27" i="9" s="1"/>
  <c r="FHW27" i="9" s="1"/>
  <c r="FHY27" i="9" s="1"/>
  <c r="FIA27" i="9" s="1"/>
  <c r="FIC27" i="9" s="1"/>
  <c r="FIE27" i="9" s="1"/>
  <c r="FIG27" i="9" s="1"/>
  <c r="FII27" i="9" s="1"/>
  <c r="FIK27" i="9" s="1"/>
  <c r="FIM27" i="9" s="1"/>
  <c r="FIO27" i="9" s="1"/>
  <c r="FIQ27" i="9" s="1"/>
  <c r="FIS27" i="9" s="1"/>
  <c r="FIU27" i="9" s="1"/>
  <c r="FIW27" i="9" s="1"/>
  <c r="FIY27" i="9" s="1"/>
  <c r="FJA27" i="9" s="1"/>
  <c r="FJC27" i="9" s="1"/>
  <c r="FJE27" i="9" s="1"/>
  <c r="FJG27" i="9" s="1"/>
  <c r="FJI27" i="9" s="1"/>
  <c r="FJK27" i="9" s="1"/>
  <c r="FJM27" i="9" s="1"/>
  <c r="FJO27" i="9" s="1"/>
  <c r="FJQ27" i="9" s="1"/>
  <c r="FJS27" i="9" s="1"/>
  <c r="FJU27" i="9" s="1"/>
  <c r="FJW27" i="9" s="1"/>
  <c r="FJY27" i="9" s="1"/>
  <c r="FKA27" i="9" s="1"/>
  <c r="FKC27" i="9" s="1"/>
  <c r="FKE27" i="9" s="1"/>
  <c r="FKG27" i="9" s="1"/>
  <c r="FKI27" i="9" s="1"/>
  <c r="FKK27" i="9" s="1"/>
  <c r="FKM27" i="9" s="1"/>
  <c r="FKO27" i="9" s="1"/>
  <c r="FKQ27" i="9" s="1"/>
  <c r="FKS27" i="9" s="1"/>
  <c r="FKU27" i="9" s="1"/>
  <c r="FKW27" i="9" s="1"/>
  <c r="FKY27" i="9" s="1"/>
  <c r="FLA27" i="9" s="1"/>
  <c r="FLC27" i="9" s="1"/>
  <c r="FLE27" i="9" s="1"/>
  <c r="FLG27" i="9" s="1"/>
  <c r="FLI27" i="9" s="1"/>
  <c r="FLK27" i="9" s="1"/>
  <c r="FLM27" i="9" s="1"/>
  <c r="FLO27" i="9" s="1"/>
  <c r="FLQ27" i="9" s="1"/>
  <c r="FLS27" i="9" s="1"/>
  <c r="FLU27" i="9" s="1"/>
  <c r="FLW27" i="9" s="1"/>
  <c r="FLY27" i="9" s="1"/>
  <c r="FMA27" i="9" s="1"/>
  <c r="FMC27" i="9" s="1"/>
  <c r="FME27" i="9" s="1"/>
  <c r="FMG27" i="9" s="1"/>
  <c r="FMI27" i="9" s="1"/>
  <c r="FMK27" i="9" s="1"/>
  <c r="FMM27" i="9" s="1"/>
  <c r="FMO27" i="9" s="1"/>
  <c r="FMQ27" i="9" s="1"/>
  <c r="FMS27" i="9" s="1"/>
  <c r="FMU27" i="9" s="1"/>
  <c r="FMW27" i="9" s="1"/>
  <c r="FMY27" i="9" s="1"/>
  <c r="FNA27" i="9" s="1"/>
  <c r="FNC27" i="9" s="1"/>
  <c r="FNE27" i="9" s="1"/>
  <c r="FNG27" i="9" s="1"/>
  <c r="FNI27" i="9" s="1"/>
  <c r="FNK27" i="9" s="1"/>
  <c r="FNM27" i="9" s="1"/>
  <c r="FNO27" i="9" s="1"/>
  <c r="FNQ27" i="9" s="1"/>
  <c r="FNS27" i="9" s="1"/>
  <c r="FNU27" i="9" s="1"/>
  <c r="FNW27" i="9" s="1"/>
  <c r="FNY27" i="9" s="1"/>
  <c r="FOA27" i="9" s="1"/>
  <c r="FOC27" i="9" s="1"/>
  <c r="FOE27" i="9" s="1"/>
  <c r="FOG27" i="9" s="1"/>
  <c r="FOI27" i="9" s="1"/>
  <c r="FOK27" i="9" s="1"/>
  <c r="FOM27" i="9" s="1"/>
  <c r="FOO27" i="9" s="1"/>
  <c r="FOQ27" i="9" s="1"/>
  <c r="FOS27" i="9" s="1"/>
  <c r="FOU27" i="9" s="1"/>
  <c r="FOW27" i="9" s="1"/>
  <c r="FOY27" i="9" s="1"/>
  <c r="FPA27" i="9" s="1"/>
  <c r="FPC27" i="9" s="1"/>
  <c r="FPE27" i="9" s="1"/>
  <c r="FPG27" i="9" s="1"/>
  <c r="FPI27" i="9" s="1"/>
  <c r="FPK27" i="9" s="1"/>
  <c r="FPM27" i="9" s="1"/>
  <c r="FPO27" i="9" s="1"/>
  <c r="FPQ27" i="9" s="1"/>
  <c r="FPS27" i="9" s="1"/>
  <c r="FPU27" i="9" s="1"/>
  <c r="FPW27" i="9" s="1"/>
  <c r="FPY27" i="9" s="1"/>
  <c r="FQA27" i="9" s="1"/>
  <c r="FQC27" i="9" s="1"/>
  <c r="FQE27" i="9" s="1"/>
  <c r="FQG27" i="9" s="1"/>
  <c r="FQI27" i="9" s="1"/>
  <c r="FQK27" i="9" s="1"/>
  <c r="FQM27" i="9" s="1"/>
  <c r="FQO27" i="9" s="1"/>
  <c r="FQQ27" i="9" s="1"/>
  <c r="FQS27" i="9" s="1"/>
  <c r="FQU27" i="9" s="1"/>
  <c r="FQW27" i="9" s="1"/>
  <c r="FQY27" i="9" s="1"/>
  <c r="FRA27" i="9" s="1"/>
  <c r="FRC27" i="9" s="1"/>
  <c r="FRE27" i="9" s="1"/>
  <c r="FRG27" i="9" s="1"/>
  <c r="FRI27" i="9" s="1"/>
  <c r="FRK27" i="9" s="1"/>
  <c r="FRM27" i="9" s="1"/>
  <c r="FRO27" i="9" s="1"/>
  <c r="FRQ27" i="9" s="1"/>
  <c r="FRS27" i="9" s="1"/>
  <c r="FRU27" i="9" s="1"/>
  <c r="FRW27" i="9" s="1"/>
  <c r="FRY27" i="9" s="1"/>
  <c r="FSA27" i="9" s="1"/>
  <c r="FSC27" i="9" s="1"/>
  <c r="FSE27" i="9" s="1"/>
  <c r="FSG27" i="9" s="1"/>
  <c r="FSI27" i="9" s="1"/>
  <c r="FSK27" i="9" s="1"/>
  <c r="FSM27" i="9" s="1"/>
  <c r="FSO27" i="9" s="1"/>
  <c r="FSQ27" i="9" s="1"/>
  <c r="FSS27" i="9" s="1"/>
  <c r="FSU27" i="9" s="1"/>
  <c r="FSW27" i="9" s="1"/>
  <c r="FSY27" i="9" s="1"/>
  <c r="FTA27" i="9" s="1"/>
  <c r="FTC27" i="9" s="1"/>
  <c r="FTE27" i="9" s="1"/>
  <c r="FTG27" i="9" s="1"/>
  <c r="FTI27" i="9" s="1"/>
  <c r="FTK27" i="9" s="1"/>
  <c r="FTM27" i="9" s="1"/>
  <c r="FTO27" i="9" s="1"/>
  <c r="FTQ27" i="9" s="1"/>
  <c r="FTS27" i="9" s="1"/>
  <c r="FTU27" i="9" s="1"/>
  <c r="FTW27" i="9" s="1"/>
  <c r="FTY27" i="9" s="1"/>
  <c r="FUA27" i="9" s="1"/>
  <c r="FUC27" i="9" s="1"/>
  <c r="FUE27" i="9" s="1"/>
  <c r="FUG27" i="9" s="1"/>
  <c r="FUI27" i="9" s="1"/>
  <c r="FUK27" i="9" s="1"/>
  <c r="FUM27" i="9" s="1"/>
  <c r="FUO27" i="9" s="1"/>
  <c r="FUQ27" i="9" s="1"/>
  <c r="FUS27" i="9" s="1"/>
  <c r="FUU27" i="9" s="1"/>
  <c r="FUW27" i="9" s="1"/>
  <c r="FUY27" i="9" s="1"/>
  <c r="FVA27" i="9" s="1"/>
  <c r="FVC27" i="9" s="1"/>
  <c r="FVE27" i="9" s="1"/>
  <c r="FVG27" i="9" s="1"/>
  <c r="FVI27" i="9" s="1"/>
  <c r="FVK27" i="9" s="1"/>
  <c r="FVM27" i="9" s="1"/>
  <c r="FVO27" i="9" s="1"/>
  <c r="FVQ27" i="9" s="1"/>
  <c r="FVS27" i="9" s="1"/>
  <c r="FVU27" i="9" s="1"/>
  <c r="FVW27" i="9" s="1"/>
  <c r="FVY27" i="9" s="1"/>
  <c r="FWA27" i="9" s="1"/>
  <c r="FWC27" i="9" s="1"/>
  <c r="FWE27" i="9" s="1"/>
  <c r="FWG27" i="9" s="1"/>
  <c r="FWI27" i="9" s="1"/>
  <c r="FWK27" i="9" s="1"/>
  <c r="FWM27" i="9" s="1"/>
  <c r="FWO27" i="9" s="1"/>
  <c r="FWQ27" i="9" s="1"/>
  <c r="FWS27" i="9" s="1"/>
  <c r="FWU27" i="9" s="1"/>
  <c r="FWW27" i="9" s="1"/>
  <c r="FWY27" i="9" s="1"/>
  <c r="FXA27" i="9" s="1"/>
  <c r="FXC27" i="9" s="1"/>
  <c r="FXE27" i="9" s="1"/>
  <c r="FXG27" i="9" s="1"/>
  <c r="FXI27" i="9" s="1"/>
  <c r="FXK27" i="9" s="1"/>
  <c r="FXM27" i="9" s="1"/>
  <c r="FXO27" i="9" s="1"/>
  <c r="FXQ27" i="9" s="1"/>
  <c r="FXS27" i="9" s="1"/>
  <c r="FXU27" i="9" s="1"/>
  <c r="FXW27" i="9" s="1"/>
  <c r="FXY27" i="9" s="1"/>
  <c r="FYA27" i="9" s="1"/>
  <c r="FYC27" i="9" s="1"/>
  <c r="FYE27" i="9" s="1"/>
  <c r="FYG27" i="9" s="1"/>
  <c r="FYI27" i="9" s="1"/>
  <c r="FYK27" i="9" s="1"/>
  <c r="FYM27" i="9" s="1"/>
  <c r="FYO27" i="9" s="1"/>
  <c r="FYQ27" i="9" s="1"/>
  <c r="FYS27" i="9" s="1"/>
  <c r="FYU27" i="9" s="1"/>
  <c r="FYW27" i="9" s="1"/>
  <c r="FYY27" i="9" s="1"/>
  <c r="FZA27" i="9" s="1"/>
  <c r="FZC27" i="9" s="1"/>
  <c r="FZE27" i="9" s="1"/>
  <c r="FZG27" i="9" s="1"/>
  <c r="FZI27" i="9" s="1"/>
  <c r="FZK27" i="9" s="1"/>
  <c r="FZM27" i="9" s="1"/>
  <c r="FZO27" i="9" s="1"/>
  <c r="FZQ27" i="9" s="1"/>
  <c r="FZS27" i="9" s="1"/>
  <c r="FZU27" i="9" s="1"/>
  <c r="FZW27" i="9" s="1"/>
  <c r="FZY27" i="9" s="1"/>
  <c r="GAA27" i="9" s="1"/>
  <c r="GAC27" i="9" s="1"/>
  <c r="GAE27" i="9" s="1"/>
  <c r="GAG27" i="9" s="1"/>
  <c r="GAI27" i="9" s="1"/>
  <c r="GAK27" i="9" s="1"/>
  <c r="GAM27" i="9" s="1"/>
  <c r="GAO27" i="9" s="1"/>
  <c r="GAQ27" i="9" s="1"/>
  <c r="GAS27" i="9" s="1"/>
  <c r="GAU27" i="9" s="1"/>
  <c r="GAW27" i="9" s="1"/>
  <c r="GAY27" i="9" s="1"/>
  <c r="GBA27" i="9" s="1"/>
  <c r="GBC27" i="9" s="1"/>
  <c r="GBE27" i="9" s="1"/>
  <c r="GBG27" i="9" s="1"/>
  <c r="GBI27" i="9" s="1"/>
  <c r="GBK27" i="9" s="1"/>
  <c r="GBM27" i="9" s="1"/>
  <c r="GBO27" i="9" s="1"/>
  <c r="GBQ27" i="9" s="1"/>
  <c r="GBS27" i="9" s="1"/>
  <c r="GBU27" i="9" s="1"/>
  <c r="GBW27" i="9" s="1"/>
  <c r="GBY27" i="9" s="1"/>
  <c r="GCA27" i="9" s="1"/>
  <c r="GCC27" i="9" s="1"/>
  <c r="GCE27" i="9" s="1"/>
  <c r="GCG27" i="9" s="1"/>
  <c r="GCI27" i="9" s="1"/>
  <c r="GCK27" i="9" s="1"/>
  <c r="GCM27" i="9" s="1"/>
  <c r="GCO27" i="9" s="1"/>
  <c r="GCQ27" i="9" s="1"/>
  <c r="GCS27" i="9" s="1"/>
  <c r="GCU27" i="9" s="1"/>
  <c r="GCW27" i="9" s="1"/>
  <c r="GCY27" i="9" s="1"/>
  <c r="GDA27" i="9" s="1"/>
  <c r="GDC27" i="9" s="1"/>
  <c r="GDE27" i="9" s="1"/>
  <c r="GDG27" i="9" s="1"/>
  <c r="GDI27" i="9" s="1"/>
  <c r="GDK27" i="9" s="1"/>
  <c r="GDM27" i="9" s="1"/>
  <c r="GDO27" i="9" s="1"/>
  <c r="GDQ27" i="9" s="1"/>
  <c r="GDS27" i="9" s="1"/>
  <c r="GDU27" i="9" s="1"/>
  <c r="GDW27" i="9" s="1"/>
  <c r="GDY27" i="9" s="1"/>
  <c r="GEA27" i="9" s="1"/>
  <c r="GEC27" i="9" s="1"/>
  <c r="GEE27" i="9" s="1"/>
  <c r="GEG27" i="9" s="1"/>
  <c r="GEI27" i="9" s="1"/>
  <c r="GEK27" i="9" s="1"/>
  <c r="GEM27" i="9" s="1"/>
  <c r="GEO27" i="9" s="1"/>
  <c r="GEQ27" i="9" s="1"/>
  <c r="GES27" i="9" s="1"/>
  <c r="GEU27" i="9" s="1"/>
  <c r="GEW27" i="9" s="1"/>
  <c r="GEY27" i="9" s="1"/>
  <c r="GFA27" i="9" s="1"/>
  <c r="GFC27" i="9" s="1"/>
  <c r="GFE27" i="9" s="1"/>
  <c r="GFG27" i="9" s="1"/>
  <c r="GFI27" i="9" s="1"/>
  <c r="GFK27" i="9" s="1"/>
  <c r="GFM27" i="9" s="1"/>
  <c r="GFO27" i="9" s="1"/>
  <c r="GFQ27" i="9" s="1"/>
  <c r="GFS27" i="9" s="1"/>
  <c r="GFU27" i="9" s="1"/>
  <c r="GFW27" i="9" s="1"/>
  <c r="GFY27" i="9" s="1"/>
  <c r="GGA27" i="9" s="1"/>
  <c r="GGC27" i="9" s="1"/>
  <c r="GGE27" i="9" s="1"/>
  <c r="GGG27" i="9" s="1"/>
  <c r="GGI27" i="9" s="1"/>
  <c r="GGK27" i="9" s="1"/>
  <c r="GGM27" i="9" s="1"/>
  <c r="GGO27" i="9" s="1"/>
  <c r="GGQ27" i="9" s="1"/>
  <c r="GGS27" i="9" s="1"/>
  <c r="GGU27" i="9" s="1"/>
  <c r="GGW27" i="9" s="1"/>
  <c r="GGY27" i="9" s="1"/>
  <c r="GHA27" i="9" s="1"/>
  <c r="GHC27" i="9" s="1"/>
  <c r="GHE27" i="9" s="1"/>
  <c r="GHG27" i="9" s="1"/>
  <c r="GHI27" i="9" s="1"/>
  <c r="GHK27" i="9" s="1"/>
  <c r="GHM27" i="9" s="1"/>
  <c r="GHO27" i="9" s="1"/>
  <c r="GHQ27" i="9" s="1"/>
  <c r="GHS27" i="9" s="1"/>
  <c r="GHU27" i="9" s="1"/>
  <c r="GHW27" i="9" s="1"/>
  <c r="GHY27" i="9" s="1"/>
  <c r="GIA27" i="9" s="1"/>
  <c r="GIC27" i="9" s="1"/>
  <c r="GIE27" i="9" s="1"/>
  <c r="GIG27" i="9" s="1"/>
  <c r="GII27" i="9" s="1"/>
  <c r="GIK27" i="9" s="1"/>
  <c r="GIM27" i="9" s="1"/>
  <c r="GIO27" i="9" s="1"/>
  <c r="GIQ27" i="9" s="1"/>
  <c r="GIS27" i="9" s="1"/>
  <c r="GIU27" i="9" s="1"/>
  <c r="GIW27" i="9" s="1"/>
  <c r="GIY27" i="9" s="1"/>
  <c r="GJA27" i="9" s="1"/>
  <c r="GJC27" i="9" s="1"/>
  <c r="GJE27" i="9" s="1"/>
  <c r="GJG27" i="9" s="1"/>
  <c r="GJI27" i="9" s="1"/>
  <c r="GJK27" i="9" s="1"/>
  <c r="GJM27" i="9" s="1"/>
  <c r="GJO27" i="9" s="1"/>
  <c r="GJQ27" i="9" s="1"/>
  <c r="GJS27" i="9" s="1"/>
  <c r="GJU27" i="9" s="1"/>
  <c r="GJW27" i="9" s="1"/>
  <c r="GJY27" i="9" s="1"/>
  <c r="GKA27" i="9" s="1"/>
  <c r="GKC27" i="9" s="1"/>
  <c r="GKE27" i="9" s="1"/>
  <c r="GKG27" i="9" s="1"/>
  <c r="GKI27" i="9" s="1"/>
  <c r="GKK27" i="9" s="1"/>
  <c r="GKM27" i="9" s="1"/>
  <c r="GKO27" i="9" s="1"/>
  <c r="GKQ27" i="9" s="1"/>
  <c r="GKS27" i="9" s="1"/>
  <c r="GKU27" i="9" s="1"/>
  <c r="GKW27" i="9" s="1"/>
  <c r="GKY27" i="9" s="1"/>
  <c r="GLA27" i="9" s="1"/>
  <c r="GLC27" i="9" s="1"/>
  <c r="GLE27" i="9" s="1"/>
  <c r="GLG27" i="9" s="1"/>
  <c r="GLI27" i="9" s="1"/>
  <c r="GLK27" i="9" s="1"/>
  <c r="GLM27" i="9" s="1"/>
  <c r="GLO27" i="9" s="1"/>
  <c r="GLQ27" i="9" s="1"/>
  <c r="GLS27" i="9" s="1"/>
  <c r="GLU27" i="9" s="1"/>
  <c r="GLW27" i="9" s="1"/>
  <c r="GLY27" i="9" s="1"/>
  <c r="GMA27" i="9" s="1"/>
  <c r="GMC27" i="9" s="1"/>
  <c r="GME27" i="9" s="1"/>
  <c r="GMG27" i="9" s="1"/>
  <c r="GMI27" i="9" s="1"/>
  <c r="GMK27" i="9" s="1"/>
  <c r="GMM27" i="9" s="1"/>
  <c r="GMO27" i="9" s="1"/>
  <c r="GMQ27" i="9" s="1"/>
  <c r="GMS27" i="9" s="1"/>
  <c r="GMU27" i="9" s="1"/>
  <c r="GMW27" i="9" s="1"/>
  <c r="GMY27" i="9" s="1"/>
  <c r="GNA27" i="9" s="1"/>
  <c r="GNC27" i="9" s="1"/>
  <c r="GNE27" i="9" s="1"/>
  <c r="GNG27" i="9" s="1"/>
  <c r="GNI27" i="9" s="1"/>
  <c r="GNK27" i="9" s="1"/>
  <c r="GNM27" i="9" s="1"/>
  <c r="GNO27" i="9" s="1"/>
  <c r="GNQ27" i="9" s="1"/>
  <c r="GNS27" i="9" s="1"/>
  <c r="GNU27" i="9" s="1"/>
  <c r="GNW27" i="9" s="1"/>
  <c r="GNY27" i="9" s="1"/>
  <c r="GOA27" i="9" s="1"/>
  <c r="GOC27" i="9" s="1"/>
  <c r="GOE27" i="9" s="1"/>
  <c r="GOG27" i="9" s="1"/>
  <c r="GOI27" i="9" s="1"/>
  <c r="GOK27" i="9" s="1"/>
  <c r="GOM27" i="9" s="1"/>
  <c r="GOO27" i="9" s="1"/>
  <c r="GOQ27" i="9" s="1"/>
  <c r="GOS27" i="9" s="1"/>
  <c r="GOU27" i="9" s="1"/>
  <c r="GOW27" i="9" s="1"/>
  <c r="GOY27" i="9" s="1"/>
  <c r="GPA27" i="9" s="1"/>
  <c r="GPC27" i="9" s="1"/>
  <c r="GPE27" i="9" s="1"/>
  <c r="GPG27" i="9" s="1"/>
  <c r="GPI27" i="9" s="1"/>
  <c r="GPK27" i="9" s="1"/>
  <c r="GPM27" i="9" s="1"/>
  <c r="GPO27" i="9" s="1"/>
  <c r="GPQ27" i="9" s="1"/>
  <c r="GPS27" i="9" s="1"/>
  <c r="GPU27" i="9" s="1"/>
  <c r="GPW27" i="9" s="1"/>
  <c r="GPY27" i="9" s="1"/>
  <c r="GQA27" i="9" s="1"/>
  <c r="GQC27" i="9" s="1"/>
  <c r="GQE27" i="9" s="1"/>
  <c r="GQG27" i="9" s="1"/>
  <c r="GQI27" i="9" s="1"/>
  <c r="GQK27" i="9" s="1"/>
  <c r="GQM27" i="9" s="1"/>
  <c r="GQO27" i="9" s="1"/>
  <c r="GQQ27" i="9" s="1"/>
  <c r="GQS27" i="9" s="1"/>
  <c r="GQU27" i="9" s="1"/>
  <c r="GQW27" i="9" s="1"/>
  <c r="GQY27" i="9" s="1"/>
  <c r="GRA27" i="9" s="1"/>
  <c r="GRC27" i="9" s="1"/>
  <c r="GRE27" i="9" s="1"/>
  <c r="GRG27" i="9" s="1"/>
  <c r="GRI27" i="9" s="1"/>
  <c r="GRK27" i="9" s="1"/>
  <c r="GRM27" i="9" s="1"/>
  <c r="GRO27" i="9" s="1"/>
  <c r="GRQ27" i="9" s="1"/>
  <c r="GRS27" i="9" s="1"/>
  <c r="GRU27" i="9" s="1"/>
  <c r="GRW27" i="9" s="1"/>
  <c r="GRY27" i="9" s="1"/>
  <c r="GSA27" i="9" s="1"/>
  <c r="GSC27" i="9" s="1"/>
  <c r="GSE27" i="9" s="1"/>
  <c r="GSG27" i="9" s="1"/>
  <c r="GSI27" i="9" s="1"/>
  <c r="GSK27" i="9" s="1"/>
  <c r="GSM27" i="9" s="1"/>
  <c r="GSO27" i="9" s="1"/>
  <c r="GSQ27" i="9" s="1"/>
  <c r="GSS27" i="9" s="1"/>
  <c r="GSU27" i="9" s="1"/>
  <c r="GSW27" i="9" s="1"/>
  <c r="GSY27" i="9" s="1"/>
  <c r="GTA27" i="9" s="1"/>
  <c r="GTC27" i="9" s="1"/>
  <c r="GTE27" i="9" s="1"/>
  <c r="GTG27" i="9" s="1"/>
  <c r="GTI27" i="9" s="1"/>
  <c r="GTK27" i="9" s="1"/>
  <c r="GTM27" i="9" s="1"/>
  <c r="GTO27" i="9" s="1"/>
  <c r="GTQ27" i="9" s="1"/>
  <c r="GTS27" i="9" s="1"/>
  <c r="GTU27" i="9" s="1"/>
  <c r="GTW27" i="9" s="1"/>
  <c r="GTY27" i="9" s="1"/>
  <c r="GUA27" i="9" s="1"/>
  <c r="GUC27" i="9" s="1"/>
  <c r="GUE27" i="9" s="1"/>
  <c r="GUG27" i="9" s="1"/>
  <c r="GUI27" i="9" s="1"/>
  <c r="GUK27" i="9" s="1"/>
  <c r="GUM27" i="9" s="1"/>
  <c r="GUO27" i="9" s="1"/>
  <c r="GUQ27" i="9" s="1"/>
  <c r="GUS27" i="9" s="1"/>
  <c r="GUU27" i="9" s="1"/>
  <c r="GUW27" i="9" s="1"/>
  <c r="GUY27" i="9" s="1"/>
  <c r="GVA27" i="9" s="1"/>
  <c r="GVC27" i="9" s="1"/>
  <c r="GVE27" i="9" s="1"/>
  <c r="GVG27" i="9" s="1"/>
  <c r="GVI27" i="9" s="1"/>
  <c r="GVK27" i="9" s="1"/>
  <c r="GVM27" i="9" s="1"/>
  <c r="GVO27" i="9" s="1"/>
  <c r="GVQ27" i="9" s="1"/>
  <c r="GVS27" i="9" s="1"/>
  <c r="GVU27" i="9" s="1"/>
  <c r="GVW27" i="9" s="1"/>
  <c r="GVY27" i="9" s="1"/>
  <c r="GWA27" i="9" s="1"/>
  <c r="GWC27" i="9" s="1"/>
  <c r="GWE27" i="9" s="1"/>
  <c r="GWG27" i="9" s="1"/>
  <c r="GWI27" i="9" s="1"/>
  <c r="GWK27" i="9" s="1"/>
  <c r="GWM27" i="9" s="1"/>
  <c r="GWO27" i="9" s="1"/>
  <c r="GWQ27" i="9" s="1"/>
  <c r="GWS27" i="9" s="1"/>
  <c r="GWU27" i="9" s="1"/>
  <c r="GWW27" i="9" s="1"/>
  <c r="GWY27" i="9" s="1"/>
  <c r="GXA27" i="9" s="1"/>
  <c r="GXC27" i="9" s="1"/>
  <c r="GXE27" i="9" s="1"/>
  <c r="GXG27" i="9" s="1"/>
  <c r="GXI27" i="9" s="1"/>
  <c r="GXK27" i="9" s="1"/>
  <c r="GXM27" i="9" s="1"/>
  <c r="GXO27" i="9" s="1"/>
  <c r="GXQ27" i="9" s="1"/>
  <c r="GXS27" i="9" s="1"/>
  <c r="GXU27" i="9" s="1"/>
  <c r="GXW27" i="9" s="1"/>
  <c r="GXY27" i="9" s="1"/>
  <c r="GYA27" i="9" s="1"/>
  <c r="GYC27" i="9" s="1"/>
  <c r="GYE27" i="9" s="1"/>
  <c r="GYG27" i="9" s="1"/>
  <c r="GYI27" i="9" s="1"/>
  <c r="GYK27" i="9" s="1"/>
  <c r="GYM27" i="9" s="1"/>
  <c r="GYO27" i="9" s="1"/>
  <c r="GYQ27" i="9" s="1"/>
  <c r="GYS27" i="9" s="1"/>
  <c r="GYU27" i="9" s="1"/>
  <c r="GYW27" i="9" s="1"/>
  <c r="GYY27" i="9" s="1"/>
  <c r="GZA27" i="9" s="1"/>
  <c r="GZC27" i="9" s="1"/>
  <c r="GZE27" i="9" s="1"/>
  <c r="GZG27" i="9" s="1"/>
  <c r="GZI27" i="9" s="1"/>
  <c r="GZK27" i="9" s="1"/>
  <c r="GZM27" i="9" s="1"/>
  <c r="GZO27" i="9" s="1"/>
  <c r="GZQ27" i="9" s="1"/>
  <c r="GZS27" i="9" s="1"/>
  <c r="GZU27" i="9" s="1"/>
  <c r="GZW27" i="9" s="1"/>
  <c r="GZY27" i="9" s="1"/>
  <c r="HAA27" i="9" s="1"/>
  <c r="HAC27" i="9" s="1"/>
  <c r="HAE27" i="9" s="1"/>
  <c r="HAG27" i="9" s="1"/>
  <c r="HAI27" i="9" s="1"/>
  <c r="HAK27" i="9" s="1"/>
  <c r="HAM27" i="9" s="1"/>
  <c r="HAO27" i="9" s="1"/>
  <c r="HAQ27" i="9" s="1"/>
  <c r="HAS27" i="9" s="1"/>
  <c r="HAU27" i="9" s="1"/>
  <c r="HAW27" i="9" s="1"/>
  <c r="HAY27" i="9" s="1"/>
  <c r="HBA27" i="9" s="1"/>
  <c r="HBC27" i="9" s="1"/>
  <c r="HBE27" i="9" s="1"/>
  <c r="HBG27" i="9" s="1"/>
  <c r="HBI27" i="9" s="1"/>
  <c r="HBK27" i="9" s="1"/>
  <c r="HBM27" i="9" s="1"/>
  <c r="HBO27" i="9" s="1"/>
  <c r="HBQ27" i="9" s="1"/>
  <c r="HBS27" i="9" s="1"/>
  <c r="HBU27" i="9" s="1"/>
  <c r="HBW27" i="9" s="1"/>
  <c r="HBY27" i="9" s="1"/>
  <c r="HCA27" i="9" s="1"/>
  <c r="HCC27" i="9" s="1"/>
  <c r="HCE27" i="9" s="1"/>
  <c r="HCG27" i="9" s="1"/>
  <c r="HCI27" i="9" s="1"/>
  <c r="HCK27" i="9" s="1"/>
  <c r="HCM27" i="9" s="1"/>
  <c r="HCO27" i="9" s="1"/>
  <c r="HCQ27" i="9" s="1"/>
  <c r="HCS27" i="9" s="1"/>
  <c r="HCU27" i="9" s="1"/>
  <c r="HCW27" i="9" s="1"/>
  <c r="HCY27" i="9" s="1"/>
  <c r="HDA27" i="9" s="1"/>
  <c r="HDC27" i="9" s="1"/>
  <c r="HDE27" i="9" s="1"/>
  <c r="HDG27" i="9" s="1"/>
  <c r="HDI27" i="9" s="1"/>
  <c r="HDK27" i="9" s="1"/>
  <c r="HDM27" i="9" s="1"/>
  <c r="HDO27" i="9" s="1"/>
  <c r="HDQ27" i="9" s="1"/>
  <c r="HDS27" i="9" s="1"/>
  <c r="HDU27" i="9" s="1"/>
  <c r="HDW27" i="9" s="1"/>
  <c r="HDY27" i="9" s="1"/>
  <c r="HEA27" i="9" s="1"/>
  <c r="HEC27" i="9" s="1"/>
  <c r="HEE27" i="9" s="1"/>
  <c r="HEG27" i="9" s="1"/>
  <c r="HEI27" i="9" s="1"/>
  <c r="HEK27" i="9" s="1"/>
  <c r="HEM27" i="9" s="1"/>
  <c r="HEO27" i="9" s="1"/>
  <c r="HEQ27" i="9" s="1"/>
  <c r="HES27" i="9" s="1"/>
  <c r="HEU27" i="9" s="1"/>
  <c r="HEW27" i="9" s="1"/>
  <c r="HEY27" i="9" s="1"/>
  <c r="HFA27" i="9" s="1"/>
  <c r="HFC27" i="9" s="1"/>
  <c r="HFE27" i="9" s="1"/>
  <c r="HFG27" i="9" s="1"/>
  <c r="HFI27" i="9" s="1"/>
  <c r="HFK27" i="9" s="1"/>
  <c r="HFM27" i="9" s="1"/>
  <c r="HFO27" i="9" s="1"/>
  <c r="HFQ27" i="9" s="1"/>
  <c r="HFS27" i="9" s="1"/>
  <c r="HFU27" i="9" s="1"/>
  <c r="HFW27" i="9" s="1"/>
  <c r="HFY27" i="9" s="1"/>
  <c r="HGA27" i="9" s="1"/>
  <c r="HGC27" i="9" s="1"/>
  <c r="HGE27" i="9" s="1"/>
  <c r="HGG27" i="9" s="1"/>
  <c r="HGI27" i="9" s="1"/>
  <c r="HGK27" i="9" s="1"/>
  <c r="HGM27" i="9" s="1"/>
  <c r="HGO27" i="9" s="1"/>
  <c r="HGQ27" i="9" s="1"/>
  <c r="HGS27" i="9" s="1"/>
  <c r="HGU27" i="9" s="1"/>
  <c r="HGW27" i="9" s="1"/>
  <c r="HGY27" i="9" s="1"/>
  <c r="HHA27" i="9" s="1"/>
  <c r="HHC27" i="9" s="1"/>
  <c r="HHE27" i="9" s="1"/>
  <c r="HHG27" i="9" s="1"/>
  <c r="HHI27" i="9" s="1"/>
  <c r="HHK27" i="9" s="1"/>
  <c r="HHM27" i="9" s="1"/>
  <c r="HHO27" i="9" s="1"/>
  <c r="HHQ27" i="9" s="1"/>
  <c r="HHS27" i="9" s="1"/>
  <c r="HHU27" i="9" s="1"/>
  <c r="HHW27" i="9" s="1"/>
  <c r="HHY27" i="9" s="1"/>
  <c r="HIA27" i="9" s="1"/>
  <c r="HIC27" i="9" s="1"/>
  <c r="HIE27" i="9" s="1"/>
  <c r="HIG27" i="9" s="1"/>
  <c r="HII27" i="9" s="1"/>
  <c r="HIK27" i="9" s="1"/>
  <c r="HIM27" i="9" s="1"/>
  <c r="HIO27" i="9" s="1"/>
  <c r="HIQ27" i="9" s="1"/>
  <c r="HIS27" i="9" s="1"/>
  <c r="HIU27" i="9" s="1"/>
  <c r="HIW27" i="9" s="1"/>
  <c r="HIY27" i="9" s="1"/>
  <c r="HJA27" i="9" s="1"/>
  <c r="HJC27" i="9" s="1"/>
  <c r="HJE27" i="9" s="1"/>
  <c r="HJG27" i="9" s="1"/>
  <c r="HJI27" i="9" s="1"/>
  <c r="HJK27" i="9" s="1"/>
  <c r="HJM27" i="9" s="1"/>
  <c r="HJO27" i="9" s="1"/>
  <c r="HJQ27" i="9" s="1"/>
  <c r="HJS27" i="9" s="1"/>
  <c r="HJU27" i="9" s="1"/>
  <c r="HJW27" i="9" s="1"/>
  <c r="HJY27" i="9" s="1"/>
  <c r="HKA27" i="9" s="1"/>
  <c r="HKC27" i="9" s="1"/>
  <c r="HKE27" i="9" s="1"/>
  <c r="HKG27" i="9" s="1"/>
  <c r="HKI27" i="9" s="1"/>
  <c r="HKK27" i="9" s="1"/>
  <c r="HKM27" i="9" s="1"/>
  <c r="HKO27" i="9" s="1"/>
  <c r="HKQ27" i="9" s="1"/>
  <c r="HKS27" i="9" s="1"/>
  <c r="HKU27" i="9" s="1"/>
  <c r="HKW27" i="9" s="1"/>
  <c r="HKY27" i="9" s="1"/>
  <c r="HLA27" i="9" s="1"/>
  <c r="HLC27" i="9" s="1"/>
  <c r="HLE27" i="9" s="1"/>
  <c r="HLG27" i="9" s="1"/>
  <c r="HLI27" i="9" s="1"/>
  <c r="HLK27" i="9" s="1"/>
  <c r="HLM27" i="9" s="1"/>
  <c r="HLO27" i="9" s="1"/>
  <c r="HLQ27" i="9" s="1"/>
  <c r="HLS27" i="9" s="1"/>
  <c r="HLU27" i="9" s="1"/>
  <c r="HLW27" i="9" s="1"/>
  <c r="HLY27" i="9" s="1"/>
  <c r="HMA27" i="9" s="1"/>
  <c r="HMC27" i="9" s="1"/>
  <c r="HME27" i="9" s="1"/>
  <c r="HMG27" i="9" s="1"/>
  <c r="HMI27" i="9" s="1"/>
  <c r="HMK27" i="9" s="1"/>
  <c r="HMM27" i="9" s="1"/>
  <c r="HMO27" i="9" s="1"/>
  <c r="HMQ27" i="9" s="1"/>
  <c r="HMS27" i="9" s="1"/>
  <c r="HMU27" i="9" s="1"/>
  <c r="HMW27" i="9" s="1"/>
  <c r="HMY27" i="9" s="1"/>
  <c r="HNA27" i="9" s="1"/>
  <c r="HNC27" i="9" s="1"/>
  <c r="HNE27" i="9" s="1"/>
  <c r="HNG27" i="9" s="1"/>
  <c r="HNI27" i="9" s="1"/>
  <c r="HNK27" i="9" s="1"/>
  <c r="HNM27" i="9" s="1"/>
  <c r="HNO27" i="9" s="1"/>
  <c r="HNQ27" i="9" s="1"/>
  <c r="HNS27" i="9" s="1"/>
  <c r="HNU27" i="9" s="1"/>
  <c r="HNW27" i="9" s="1"/>
  <c r="HNY27" i="9" s="1"/>
  <c r="HOA27" i="9" s="1"/>
  <c r="HOC27" i="9" s="1"/>
  <c r="HOE27" i="9" s="1"/>
  <c r="HOG27" i="9" s="1"/>
  <c r="HOI27" i="9" s="1"/>
  <c r="HOK27" i="9" s="1"/>
  <c r="HOM27" i="9" s="1"/>
  <c r="HOO27" i="9" s="1"/>
  <c r="HOQ27" i="9" s="1"/>
  <c r="HOS27" i="9" s="1"/>
  <c r="HOU27" i="9" s="1"/>
  <c r="HOW27" i="9" s="1"/>
  <c r="HOY27" i="9" s="1"/>
  <c r="HPA27" i="9" s="1"/>
  <c r="HPC27" i="9" s="1"/>
  <c r="HPE27" i="9" s="1"/>
  <c r="HPG27" i="9" s="1"/>
  <c r="HPI27" i="9" s="1"/>
  <c r="HPK27" i="9" s="1"/>
  <c r="HPM27" i="9" s="1"/>
  <c r="HPO27" i="9" s="1"/>
  <c r="HPQ27" i="9" s="1"/>
  <c r="HPS27" i="9" s="1"/>
  <c r="HPU27" i="9" s="1"/>
  <c r="HPW27" i="9" s="1"/>
  <c r="HPY27" i="9" s="1"/>
  <c r="HQA27" i="9" s="1"/>
  <c r="HQC27" i="9" s="1"/>
  <c r="HQE27" i="9" s="1"/>
  <c r="HQG27" i="9" s="1"/>
  <c r="HQI27" i="9" s="1"/>
  <c r="HQK27" i="9" s="1"/>
  <c r="HQM27" i="9" s="1"/>
  <c r="HQO27" i="9" s="1"/>
  <c r="HQQ27" i="9" s="1"/>
  <c r="HQS27" i="9" s="1"/>
  <c r="HQU27" i="9" s="1"/>
  <c r="HQW27" i="9" s="1"/>
  <c r="HQY27" i="9" s="1"/>
  <c r="HRA27" i="9" s="1"/>
  <c r="HRC27" i="9" s="1"/>
  <c r="HRE27" i="9" s="1"/>
  <c r="HRG27" i="9" s="1"/>
  <c r="HRI27" i="9" s="1"/>
  <c r="HRK27" i="9" s="1"/>
  <c r="HRM27" i="9" s="1"/>
  <c r="HRO27" i="9" s="1"/>
  <c r="HRQ27" i="9" s="1"/>
  <c r="HRS27" i="9" s="1"/>
  <c r="HRU27" i="9" s="1"/>
  <c r="HRW27" i="9" s="1"/>
  <c r="HRY27" i="9" s="1"/>
  <c r="HSA27" i="9" s="1"/>
  <c r="HSC27" i="9" s="1"/>
  <c r="HSE27" i="9" s="1"/>
  <c r="HSG27" i="9" s="1"/>
  <c r="HSI27" i="9" s="1"/>
  <c r="HSK27" i="9" s="1"/>
  <c r="HSM27" i="9" s="1"/>
  <c r="HSO27" i="9" s="1"/>
  <c r="HSQ27" i="9" s="1"/>
  <c r="HSS27" i="9" s="1"/>
  <c r="HSU27" i="9" s="1"/>
  <c r="HSW27" i="9" s="1"/>
  <c r="HSY27" i="9" s="1"/>
  <c r="HTA27" i="9" s="1"/>
  <c r="HTC27" i="9" s="1"/>
  <c r="HTE27" i="9" s="1"/>
  <c r="HTG27" i="9" s="1"/>
  <c r="HTI27" i="9" s="1"/>
  <c r="HTK27" i="9" s="1"/>
  <c r="HTM27" i="9" s="1"/>
  <c r="HTO27" i="9" s="1"/>
  <c r="HTQ27" i="9" s="1"/>
  <c r="HTS27" i="9" s="1"/>
  <c r="HTU27" i="9" s="1"/>
  <c r="HTW27" i="9" s="1"/>
  <c r="HTY27" i="9" s="1"/>
  <c r="HUA27" i="9" s="1"/>
  <c r="HUC27" i="9" s="1"/>
  <c r="HUE27" i="9" s="1"/>
  <c r="HUG27" i="9" s="1"/>
  <c r="HUI27" i="9" s="1"/>
  <c r="HUK27" i="9" s="1"/>
  <c r="HUM27" i="9" s="1"/>
  <c r="HUO27" i="9" s="1"/>
  <c r="HUQ27" i="9" s="1"/>
  <c r="HUS27" i="9" s="1"/>
  <c r="HUU27" i="9" s="1"/>
  <c r="HUW27" i="9" s="1"/>
  <c r="HUY27" i="9" s="1"/>
  <c r="HVA27" i="9" s="1"/>
  <c r="HVC27" i="9" s="1"/>
  <c r="HVE27" i="9" s="1"/>
  <c r="HVG27" i="9" s="1"/>
  <c r="HVI27" i="9" s="1"/>
  <c r="HVK27" i="9" s="1"/>
  <c r="HVM27" i="9" s="1"/>
  <c r="HVO27" i="9" s="1"/>
  <c r="HVQ27" i="9" s="1"/>
  <c r="HVS27" i="9" s="1"/>
  <c r="HVU27" i="9" s="1"/>
  <c r="HVW27" i="9" s="1"/>
  <c r="HVY27" i="9" s="1"/>
  <c r="HWA27" i="9" s="1"/>
  <c r="HWC27" i="9" s="1"/>
  <c r="HWE27" i="9" s="1"/>
  <c r="HWG27" i="9" s="1"/>
  <c r="HWI27" i="9" s="1"/>
  <c r="HWK27" i="9" s="1"/>
  <c r="HWM27" i="9" s="1"/>
  <c r="HWO27" i="9" s="1"/>
  <c r="HWQ27" i="9" s="1"/>
  <c r="HWS27" i="9" s="1"/>
  <c r="HWU27" i="9" s="1"/>
  <c r="HWW27" i="9" s="1"/>
  <c r="HWY27" i="9" s="1"/>
  <c r="HXA27" i="9" s="1"/>
  <c r="HXC27" i="9" s="1"/>
  <c r="HXE27" i="9" s="1"/>
  <c r="HXG27" i="9" s="1"/>
  <c r="HXI27" i="9" s="1"/>
  <c r="HXK27" i="9" s="1"/>
  <c r="HXM27" i="9" s="1"/>
  <c r="HXO27" i="9" s="1"/>
  <c r="HXQ27" i="9" s="1"/>
  <c r="HXS27" i="9" s="1"/>
  <c r="HXU27" i="9" s="1"/>
  <c r="HXW27" i="9" s="1"/>
  <c r="HXY27" i="9" s="1"/>
  <c r="HYA27" i="9" s="1"/>
  <c r="HYC27" i="9" s="1"/>
  <c r="HYE27" i="9" s="1"/>
  <c r="HYG27" i="9" s="1"/>
  <c r="HYI27" i="9" s="1"/>
  <c r="HYK27" i="9" s="1"/>
  <c r="HYM27" i="9" s="1"/>
  <c r="HYO27" i="9" s="1"/>
  <c r="HYQ27" i="9" s="1"/>
  <c r="HYS27" i="9" s="1"/>
  <c r="HYU27" i="9" s="1"/>
  <c r="HYW27" i="9" s="1"/>
  <c r="HYY27" i="9" s="1"/>
  <c r="HZA27" i="9" s="1"/>
  <c r="HZC27" i="9" s="1"/>
  <c r="HZE27" i="9" s="1"/>
  <c r="HZG27" i="9" s="1"/>
  <c r="HZI27" i="9" s="1"/>
  <c r="HZK27" i="9" s="1"/>
  <c r="HZM27" i="9" s="1"/>
  <c r="HZO27" i="9" s="1"/>
  <c r="HZQ27" i="9" s="1"/>
  <c r="HZS27" i="9" s="1"/>
  <c r="HZU27" i="9" s="1"/>
  <c r="HZW27" i="9" s="1"/>
  <c r="HZY27" i="9" s="1"/>
  <c r="IAA27" i="9" s="1"/>
  <c r="IAC27" i="9" s="1"/>
  <c r="IAE27" i="9" s="1"/>
  <c r="IAG27" i="9" s="1"/>
  <c r="IAI27" i="9" s="1"/>
  <c r="IAK27" i="9" s="1"/>
  <c r="IAM27" i="9" s="1"/>
  <c r="IAO27" i="9" s="1"/>
  <c r="IAQ27" i="9" s="1"/>
  <c r="IAS27" i="9" s="1"/>
  <c r="IAU27" i="9" s="1"/>
  <c r="IAW27" i="9" s="1"/>
  <c r="IAY27" i="9" s="1"/>
  <c r="IBA27" i="9" s="1"/>
  <c r="IBC27" i="9" s="1"/>
  <c r="IBE27" i="9" s="1"/>
  <c r="IBG27" i="9" s="1"/>
  <c r="IBI27" i="9" s="1"/>
  <c r="IBK27" i="9" s="1"/>
  <c r="IBM27" i="9" s="1"/>
  <c r="IBO27" i="9" s="1"/>
  <c r="IBQ27" i="9" s="1"/>
  <c r="IBS27" i="9" s="1"/>
  <c r="IBU27" i="9" s="1"/>
  <c r="IBW27" i="9" s="1"/>
  <c r="IBY27" i="9" s="1"/>
  <c r="ICA27" i="9" s="1"/>
  <c r="ICC27" i="9" s="1"/>
  <c r="ICE27" i="9" s="1"/>
  <c r="ICG27" i="9" s="1"/>
  <c r="ICI27" i="9" s="1"/>
  <c r="ICK27" i="9" s="1"/>
  <c r="ICM27" i="9" s="1"/>
  <c r="ICO27" i="9" s="1"/>
  <c r="ICQ27" i="9" s="1"/>
  <c r="ICS27" i="9" s="1"/>
  <c r="ICU27" i="9" s="1"/>
  <c r="ICW27" i="9" s="1"/>
  <c r="ICY27" i="9" s="1"/>
  <c r="IDA27" i="9" s="1"/>
  <c r="IDC27" i="9" s="1"/>
  <c r="IDE27" i="9" s="1"/>
  <c r="IDG27" i="9" s="1"/>
  <c r="IDI27" i="9" s="1"/>
  <c r="IDK27" i="9" s="1"/>
  <c r="IDM27" i="9" s="1"/>
  <c r="IDO27" i="9" s="1"/>
  <c r="IDQ27" i="9" s="1"/>
  <c r="IDS27" i="9" s="1"/>
  <c r="IDU27" i="9" s="1"/>
  <c r="IDW27" i="9" s="1"/>
  <c r="IDY27" i="9" s="1"/>
  <c r="IEA27" i="9" s="1"/>
  <c r="IEC27" i="9" s="1"/>
  <c r="IEE27" i="9" s="1"/>
  <c r="IEG27" i="9" s="1"/>
  <c r="IEI27" i="9" s="1"/>
  <c r="IEK27" i="9" s="1"/>
  <c r="IEM27" i="9" s="1"/>
  <c r="IEO27" i="9" s="1"/>
  <c r="IEQ27" i="9" s="1"/>
  <c r="IES27" i="9" s="1"/>
  <c r="IEU27" i="9" s="1"/>
  <c r="IEW27" i="9" s="1"/>
  <c r="IEY27" i="9" s="1"/>
  <c r="IFA27" i="9" s="1"/>
  <c r="IFC27" i="9" s="1"/>
  <c r="IFE27" i="9" s="1"/>
  <c r="IFG27" i="9" s="1"/>
  <c r="IFI27" i="9" s="1"/>
  <c r="IFK27" i="9" s="1"/>
  <c r="IFM27" i="9" s="1"/>
  <c r="IFO27" i="9" s="1"/>
  <c r="IFQ27" i="9" s="1"/>
  <c r="IFS27" i="9" s="1"/>
  <c r="IFU27" i="9" s="1"/>
  <c r="IFW27" i="9" s="1"/>
  <c r="IFY27" i="9" s="1"/>
  <c r="IGA27" i="9" s="1"/>
  <c r="IGC27" i="9" s="1"/>
  <c r="IGE27" i="9" s="1"/>
  <c r="IGG27" i="9" s="1"/>
  <c r="IGI27" i="9" s="1"/>
  <c r="IGK27" i="9" s="1"/>
  <c r="IGM27" i="9" s="1"/>
  <c r="IGO27" i="9" s="1"/>
  <c r="IGQ27" i="9" s="1"/>
  <c r="IGS27" i="9" s="1"/>
  <c r="IGU27" i="9" s="1"/>
  <c r="IGW27" i="9" s="1"/>
  <c r="IGY27" i="9" s="1"/>
  <c r="IHA27" i="9" s="1"/>
  <c r="IHC27" i="9" s="1"/>
  <c r="IHE27" i="9" s="1"/>
  <c r="IHG27" i="9" s="1"/>
  <c r="IHI27" i="9" s="1"/>
  <c r="IHK27" i="9" s="1"/>
  <c r="IHM27" i="9" s="1"/>
  <c r="IHO27" i="9" s="1"/>
  <c r="IHQ27" i="9" s="1"/>
  <c r="IHS27" i="9" s="1"/>
  <c r="IHU27" i="9" s="1"/>
  <c r="IHW27" i="9" s="1"/>
  <c r="IHY27" i="9" s="1"/>
  <c r="IIA27" i="9" s="1"/>
  <c r="IIC27" i="9" s="1"/>
  <c r="IIE27" i="9" s="1"/>
  <c r="IIG27" i="9" s="1"/>
  <c r="III27" i="9" s="1"/>
  <c r="IIK27" i="9" s="1"/>
  <c r="IIM27" i="9" s="1"/>
  <c r="IIO27" i="9" s="1"/>
  <c r="IIQ27" i="9" s="1"/>
  <c r="IIS27" i="9" s="1"/>
  <c r="IIU27" i="9" s="1"/>
  <c r="IIW27" i="9" s="1"/>
  <c r="IIY27" i="9" s="1"/>
  <c r="IJA27" i="9" s="1"/>
  <c r="IJC27" i="9" s="1"/>
  <c r="IJE27" i="9" s="1"/>
  <c r="IJG27" i="9" s="1"/>
  <c r="IJI27" i="9" s="1"/>
  <c r="IJK27" i="9" s="1"/>
  <c r="IJM27" i="9" s="1"/>
  <c r="IJO27" i="9" s="1"/>
  <c r="IJQ27" i="9" s="1"/>
  <c r="IJS27" i="9" s="1"/>
  <c r="IJU27" i="9" s="1"/>
  <c r="IJW27" i="9" s="1"/>
  <c r="IJY27" i="9" s="1"/>
  <c r="IKA27" i="9" s="1"/>
  <c r="IKC27" i="9" s="1"/>
  <c r="IKE27" i="9" s="1"/>
  <c r="IKG27" i="9" s="1"/>
  <c r="IKI27" i="9" s="1"/>
  <c r="IKK27" i="9" s="1"/>
  <c r="IKM27" i="9" s="1"/>
  <c r="IKO27" i="9" s="1"/>
  <c r="IKQ27" i="9" s="1"/>
  <c r="IKS27" i="9" s="1"/>
  <c r="IKU27" i="9" s="1"/>
  <c r="IKW27" i="9" s="1"/>
  <c r="IKY27" i="9" s="1"/>
  <c r="ILA27" i="9" s="1"/>
  <c r="ILC27" i="9" s="1"/>
  <c r="ILE27" i="9" s="1"/>
  <c r="ILG27" i="9" s="1"/>
  <c r="ILI27" i="9" s="1"/>
  <c r="ILK27" i="9" s="1"/>
  <c r="ILM27" i="9" s="1"/>
  <c r="ILO27" i="9" s="1"/>
  <c r="ILQ27" i="9" s="1"/>
  <c r="ILS27" i="9" s="1"/>
  <c r="ILU27" i="9" s="1"/>
  <c r="ILW27" i="9" s="1"/>
  <c r="ILY27" i="9" s="1"/>
  <c r="IMA27" i="9" s="1"/>
  <c r="IMC27" i="9" s="1"/>
  <c r="IME27" i="9" s="1"/>
  <c r="IMG27" i="9" s="1"/>
  <c r="IMI27" i="9" s="1"/>
  <c r="IMK27" i="9" s="1"/>
  <c r="IMM27" i="9" s="1"/>
  <c r="IMO27" i="9" s="1"/>
  <c r="IMQ27" i="9" s="1"/>
  <c r="IMS27" i="9" s="1"/>
  <c r="IMU27" i="9" s="1"/>
  <c r="IMW27" i="9" s="1"/>
  <c r="IMY27" i="9" s="1"/>
  <c r="INA27" i="9" s="1"/>
  <c r="INC27" i="9" s="1"/>
  <c r="INE27" i="9" s="1"/>
  <c r="ING27" i="9" s="1"/>
  <c r="INI27" i="9" s="1"/>
  <c r="INK27" i="9" s="1"/>
  <c r="INM27" i="9" s="1"/>
  <c r="INO27" i="9" s="1"/>
  <c r="INQ27" i="9" s="1"/>
  <c r="INS27" i="9" s="1"/>
  <c r="INU27" i="9" s="1"/>
  <c r="INW27" i="9" s="1"/>
  <c r="INY27" i="9" s="1"/>
  <c r="IOA27" i="9" s="1"/>
  <c r="IOC27" i="9" s="1"/>
  <c r="IOE27" i="9" s="1"/>
  <c r="IOG27" i="9" s="1"/>
  <c r="IOI27" i="9" s="1"/>
  <c r="IOK27" i="9" s="1"/>
  <c r="IOM27" i="9" s="1"/>
  <c r="IOO27" i="9" s="1"/>
  <c r="IOQ27" i="9" s="1"/>
  <c r="IOS27" i="9" s="1"/>
  <c r="IOU27" i="9" s="1"/>
  <c r="IOW27" i="9" s="1"/>
  <c r="IOY27" i="9" s="1"/>
  <c r="IPA27" i="9" s="1"/>
  <c r="IPC27" i="9" s="1"/>
  <c r="IPE27" i="9" s="1"/>
  <c r="IPG27" i="9" s="1"/>
  <c r="IPI27" i="9" s="1"/>
  <c r="IPK27" i="9" s="1"/>
  <c r="IPM27" i="9" s="1"/>
  <c r="IPO27" i="9" s="1"/>
  <c r="IPQ27" i="9" s="1"/>
  <c r="IPS27" i="9" s="1"/>
  <c r="IPU27" i="9" s="1"/>
  <c r="IPW27" i="9" s="1"/>
  <c r="IPY27" i="9" s="1"/>
  <c r="IQA27" i="9" s="1"/>
  <c r="IQC27" i="9" s="1"/>
  <c r="IQE27" i="9" s="1"/>
  <c r="IQG27" i="9" s="1"/>
  <c r="IQI27" i="9" s="1"/>
  <c r="IQK27" i="9" s="1"/>
  <c r="IQM27" i="9" s="1"/>
  <c r="IQO27" i="9" s="1"/>
  <c r="IQQ27" i="9" s="1"/>
  <c r="IQS27" i="9" s="1"/>
  <c r="IQU27" i="9" s="1"/>
  <c r="IQW27" i="9" s="1"/>
  <c r="IQY27" i="9" s="1"/>
  <c r="IRA27" i="9" s="1"/>
  <c r="IRC27" i="9" s="1"/>
  <c r="IRE27" i="9" s="1"/>
  <c r="IRG27" i="9" s="1"/>
  <c r="IRI27" i="9" s="1"/>
  <c r="IRK27" i="9" s="1"/>
  <c r="IRM27" i="9" s="1"/>
  <c r="IRO27" i="9" s="1"/>
  <c r="IRQ27" i="9" s="1"/>
  <c r="IRS27" i="9" s="1"/>
  <c r="IRU27" i="9" s="1"/>
  <c r="IRW27" i="9" s="1"/>
  <c r="IRY27" i="9" s="1"/>
  <c r="ISA27" i="9" s="1"/>
  <c r="ISC27" i="9" s="1"/>
  <c r="ISE27" i="9" s="1"/>
  <c r="ISG27" i="9" s="1"/>
  <c r="ISI27" i="9" s="1"/>
  <c r="ISK27" i="9" s="1"/>
  <c r="ISM27" i="9" s="1"/>
  <c r="ISO27" i="9" s="1"/>
  <c r="ISQ27" i="9" s="1"/>
  <c r="ISS27" i="9" s="1"/>
  <c r="ISU27" i="9" s="1"/>
  <c r="ISW27" i="9" s="1"/>
  <c r="ISY27" i="9" s="1"/>
  <c r="ITA27" i="9" s="1"/>
  <c r="ITC27" i="9" s="1"/>
  <c r="ITE27" i="9" s="1"/>
  <c r="ITG27" i="9" s="1"/>
  <c r="ITI27" i="9" s="1"/>
  <c r="ITK27" i="9" s="1"/>
  <c r="ITM27" i="9" s="1"/>
  <c r="ITO27" i="9" s="1"/>
  <c r="ITQ27" i="9" s="1"/>
  <c r="ITS27" i="9" s="1"/>
  <c r="ITU27" i="9" s="1"/>
  <c r="ITW27" i="9" s="1"/>
  <c r="ITY27" i="9" s="1"/>
  <c r="IUA27" i="9" s="1"/>
  <c r="IUC27" i="9" s="1"/>
  <c r="IUE27" i="9" s="1"/>
  <c r="IUG27" i="9" s="1"/>
  <c r="IUI27" i="9" s="1"/>
  <c r="IUK27" i="9" s="1"/>
  <c r="IUM27" i="9" s="1"/>
  <c r="IUO27" i="9" s="1"/>
  <c r="IUQ27" i="9" s="1"/>
  <c r="IUS27" i="9" s="1"/>
  <c r="IUU27" i="9" s="1"/>
  <c r="IUW27" i="9" s="1"/>
  <c r="IUY27" i="9" s="1"/>
  <c r="IVA27" i="9" s="1"/>
  <c r="IVC27" i="9" s="1"/>
  <c r="IVE27" i="9" s="1"/>
  <c r="IVG27" i="9" s="1"/>
  <c r="IVI27" i="9" s="1"/>
  <c r="IVK27" i="9" s="1"/>
  <c r="IVM27" i="9" s="1"/>
  <c r="IVO27" i="9" s="1"/>
  <c r="IVQ27" i="9" s="1"/>
  <c r="IVS27" i="9" s="1"/>
  <c r="IVU27" i="9" s="1"/>
  <c r="IVW27" i="9" s="1"/>
  <c r="IVY27" i="9" s="1"/>
  <c r="IWA27" i="9" s="1"/>
  <c r="IWC27" i="9" s="1"/>
  <c r="IWE27" i="9" s="1"/>
  <c r="IWG27" i="9" s="1"/>
  <c r="IWI27" i="9" s="1"/>
  <c r="IWK27" i="9" s="1"/>
  <c r="IWM27" i="9" s="1"/>
  <c r="IWO27" i="9" s="1"/>
  <c r="IWQ27" i="9" s="1"/>
  <c r="IWS27" i="9" s="1"/>
  <c r="IWU27" i="9" s="1"/>
  <c r="IWW27" i="9" s="1"/>
  <c r="IWY27" i="9" s="1"/>
  <c r="IXA27" i="9" s="1"/>
  <c r="IXC27" i="9" s="1"/>
  <c r="IXE27" i="9" s="1"/>
  <c r="IXG27" i="9" s="1"/>
  <c r="IXI27" i="9" s="1"/>
  <c r="IXK27" i="9" s="1"/>
  <c r="IXM27" i="9" s="1"/>
  <c r="IXO27" i="9" s="1"/>
  <c r="IXQ27" i="9" s="1"/>
  <c r="IXS27" i="9" s="1"/>
  <c r="IXU27" i="9" s="1"/>
  <c r="IXW27" i="9" s="1"/>
  <c r="IXY27" i="9" s="1"/>
  <c r="IYA27" i="9" s="1"/>
  <c r="IYC27" i="9" s="1"/>
  <c r="IYE27" i="9" s="1"/>
  <c r="IYG27" i="9" s="1"/>
  <c r="IYI27" i="9" s="1"/>
  <c r="IYK27" i="9" s="1"/>
  <c r="IYM27" i="9" s="1"/>
  <c r="IYO27" i="9" s="1"/>
  <c r="IYQ27" i="9" s="1"/>
  <c r="IYS27" i="9" s="1"/>
  <c r="IYU27" i="9" s="1"/>
  <c r="IYW27" i="9" s="1"/>
  <c r="IYY27" i="9" s="1"/>
  <c r="IZA27" i="9" s="1"/>
  <c r="IZC27" i="9" s="1"/>
  <c r="IZE27" i="9" s="1"/>
  <c r="IZG27" i="9" s="1"/>
  <c r="IZI27" i="9" s="1"/>
  <c r="IZK27" i="9" s="1"/>
  <c r="IZM27" i="9" s="1"/>
  <c r="IZO27" i="9" s="1"/>
  <c r="IZQ27" i="9" s="1"/>
  <c r="IZS27" i="9" s="1"/>
  <c r="IZU27" i="9" s="1"/>
  <c r="IZW27" i="9" s="1"/>
  <c r="IZY27" i="9" s="1"/>
  <c r="JAA27" i="9" s="1"/>
  <c r="JAC27" i="9" s="1"/>
  <c r="JAE27" i="9" s="1"/>
  <c r="JAG27" i="9" s="1"/>
  <c r="JAI27" i="9" s="1"/>
  <c r="JAK27" i="9" s="1"/>
  <c r="JAM27" i="9" s="1"/>
  <c r="JAO27" i="9" s="1"/>
  <c r="JAQ27" i="9" s="1"/>
  <c r="JAS27" i="9" s="1"/>
  <c r="JAU27" i="9" s="1"/>
  <c r="JAW27" i="9" s="1"/>
  <c r="JAY27" i="9" s="1"/>
  <c r="JBA27" i="9" s="1"/>
  <c r="JBC27" i="9" s="1"/>
  <c r="JBE27" i="9" s="1"/>
  <c r="JBG27" i="9" s="1"/>
  <c r="JBI27" i="9" s="1"/>
  <c r="JBK27" i="9" s="1"/>
  <c r="JBM27" i="9" s="1"/>
  <c r="JBO27" i="9" s="1"/>
  <c r="JBQ27" i="9" s="1"/>
  <c r="JBS27" i="9" s="1"/>
  <c r="JBU27" i="9" s="1"/>
  <c r="JBW27" i="9" s="1"/>
  <c r="JBY27" i="9" s="1"/>
  <c r="JCA27" i="9" s="1"/>
  <c r="JCC27" i="9" s="1"/>
  <c r="JCE27" i="9" s="1"/>
  <c r="JCG27" i="9" s="1"/>
  <c r="JCI27" i="9" s="1"/>
  <c r="JCK27" i="9" s="1"/>
  <c r="JCM27" i="9" s="1"/>
  <c r="JCO27" i="9" s="1"/>
  <c r="JCQ27" i="9" s="1"/>
  <c r="JCS27" i="9" s="1"/>
  <c r="JCU27" i="9" s="1"/>
  <c r="JCW27" i="9" s="1"/>
  <c r="JCY27" i="9" s="1"/>
  <c r="JDA27" i="9" s="1"/>
  <c r="JDC27" i="9" s="1"/>
  <c r="JDE27" i="9" s="1"/>
  <c r="JDG27" i="9" s="1"/>
  <c r="JDI27" i="9" s="1"/>
  <c r="JDK27" i="9" s="1"/>
  <c r="JDM27" i="9" s="1"/>
  <c r="JDO27" i="9" s="1"/>
  <c r="JDQ27" i="9" s="1"/>
  <c r="JDS27" i="9" s="1"/>
  <c r="JDU27" i="9" s="1"/>
  <c r="JDW27" i="9" s="1"/>
  <c r="JDY27" i="9" s="1"/>
  <c r="JEA27" i="9" s="1"/>
  <c r="JEC27" i="9" s="1"/>
  <c r="JEE27" i="9" s="1"/>
  <c r="JEG27" i="9" s="1"/>
  <c r="JEI27" i="9" s="1"/>
  <c r="JEK27" i="9" s="1"/>
  <c r="JEM27" i="9" s="1"/>
  <c r="JEO27" i="9" s="1"/>
  <c r="JEQ27" i="9" s="1"/>
  <c r="JES27" i="9" s="1"/>
  <c r="JEU27" i="9" s="1"/>
  <c r="JEW27" i="9" s="1"/>
  <c r="JEY27" i="9" s="1"/>
  <c r="JFA27" i="9" s="1"/>
  <c r="JFC27" i="9" s="1"/>
  <c r="JFE27" i="9" s="1"/>
  <c r="JFG27" i="9" s="1"/>
  <c r="JFI27" i="9" s="1"/>
  <c r="JFK27" i="9" s="1"/>
  <c r="JFM27" i="9" s="1"/>
  <c r="JFO27" i="9" s="1"/>
  <c r="JFQ27" i="9" s="1"/>
  <c r="JFS27" i="9" s="1"/>
  <c r="JFU27" i="9" s="1"/>
  <c r="JFW27" i="9" s="1"/>
  <c r="JFY27" i="9" s="1"/>
  <c r="JGA27" i="9" s="1"/>
  <c r="JGC27" i="9" s="1"/>
  <c r="JGE27" i="9" s="1"/>
  <c r="JGG27" i="9" s="1"/>
  <c r="JGI27" i="9" s="1"/>
  <c r="JGK27" i="9" s="1"/>
  <c r="JGM27" i="9" s="1"/>
  <c r="JGO27" i="9" s="1"/>
  <c r="JGQ27" i="9" s="1"/>
  <c r="JGS27" i="9" s="1"/>
  <c r="JGU27" i="9" s="1"/>
  <c r="JGW27" i="9" s="1"/>
  <c r="JGY27" i="9" s="1"/>
  <c r="JHA27" i="9" s="1"/>
  <c r="JHC27" i="9" s="1"/>
  <c r="JHE27" i="9" s="1"/>
  <c r="JHG27" i="9" s="1"/>
  <c r="JHI27" i="9" s="1"/>
  <c r="JHK27" i="9" s="1"/>
  <c r="JHM27" i="9" s="1"/>
  <c r="JHO27" i="9" s="1"/>
  <c r="JHQ27" i="9" s="1"/>
  <c r="JHS27" i="9" s="1"/>
  <c r="JHU27" i="9" s="1"/>
  <c r="JHW27" i="9" s="1"/>
  <c r="JHY27" i="9" s="1"/>
  <c r="JIA27" i="9" s="1"/>
  <c r="JIC27" i="9" s="1"/>
  <c r="JIE27" i="9" s="1"/>
  <c r="JIG27" i="9" s="1"/>
  <c r="JII27" i="9" s="1"/>
  <c r="JIK27" i="9" s="1"/>
  <c r="JIM27" i="9" s="1"/>
  <c r="JIO27" i="9" s="1"/>
  <c r="JIQ27" i="9" s="1"/>
  <c r="JIS27" i="9" s="1"/>
  <c r="JIU27" i="9" s="1"/>
  <c r="JIW27" i="9" s="1"/>
  <c r="JIY27" i="9" s="1"/>
  <c r="JJA27" i="9" s="1"/>
  <c r="JJC27" i="9" s="1"/>
  <c r="JJE27" i="9" s="1"/>
  <c r="JJG27" i="9" s="1"/>
  <c r="JJI27" i="9" s="1"/>
  <c r="JJK27" i="9" s="1"/>
  <c r="JJM27" i="9" s="1"/>
  <c r="JJO27" i="9" s="1"/>
  <c r="JJQ27" i="9" s="1"/>
  <c r="JJS27" i="9" s="1"/>
  <c r="JJU27" i="9" s="1"/>
  <c r="JJW27" i="9" s="1"/>
  <c r="JJY27" i="9" s="1"/>
  <c r="JKA27" i="9" s="1"/>
  <c r="JKC27" i="9" s="1"/>
  <c r="JKE27" i="9" s="1"/>
  <c r="JKG27" i="9" s="1"/>
  <c r="JKI27" i="9" s="1"/>
  <c r="JKK27" i="9" s="1"/>
  <c r="JKM27" i="9" s="1"/>
  <c r="JKO27" i="9" s="1"/>
  <c r="JKQ27" i="9" s="1"/>
  <c r="JKS27" i="9" s="1"/>
  <c r="JKU27" i="9" s="1"/>
  <c r="JKW27" i="9" s="1"/>
  <c r="JKY27" i="9" s="1"/>
  <c r="JLA27" i="9" s="1"/>
  <c r="JLC27" i="9" s="1"/>
  <c r="JLE27" i="9" s="1"/>
  <c r="JLG27" i="9" s="1"/>
  <c r="JLI27" i="9" s="1"/>
  <c r="JLK27" i="9" s="1"/>
  <c r="JLM27" i="9" s="1"/>
  <c r="JLO27" i="9" s="1"/>
  <c r="JLQ27" i="9" s="1"/>
  <c r="JLS27" i="9" s="1"/>
  <c r="JLU27" i="9" s="1"/>
  <c r="JLW27" i="9" s="1"/>
  <c r="JLY27" i="9" s="1"/>
  <c r="JMA27" i="9" s="1"/>
  <c r="JMC27" i="9" s="1"/>
  <c r="JME27" i="9" s="1"/>
  <c r="JMG27" i="9" s="1"/>
  <c r="JMI27" i="9" s="1"/>
  <c r="JMK27" i="9" s="1"/>
  <c r="JMM27" i="9" s="1"/>
  <c r="JMO27" i="9" s="1"/>
  <c r="JMQ27" i="9" s="1"/>
  <c r="JMS27" i="9" s="1"/>
  <c r="JMU27" i="9" s="1"/>
  <c r="JMW27" i="9" s="1"/>
  <c r="JMY27" i="9" s="1"/>
  <c r="JNA27" i="9" s="1"/>
  <c r="JNC27" i="9" s="1"/>
  <c r="JNE27" i="9" s="1"/>
  <c r="JNG27" i="9" s="1"/>
  <c r="JNI27" i="9" s="1"/>
  <c r="JNK27" i="9" s="1"/>
  <c r="JNM27" i="9" s="1"/>
  <c r="JNO27" i="9" s="1"/>
  <c r="JNQ27" i="9" s="1"/>
  <c r="JNS27" i="9" s="1"/>
  <c r="JNU27" i="9" s="1"/>
  <c r="JNW27" i="9" s="1"/>
  <c r="JNY27" i="9" s="1"/>
  <c r="JOA27" i="9" s="1"/>
  <c r="JOC27" i="9" s="1"/>
  <c r="JOE27" i="9" s="1"/>
  <c r="JOG27" i="9" s="1"/>
  <c r="JOI27" i="9" s="1"/>
  <c r="JOK27" i="9" s="1"/>
  <c r="JOM27" i="9" s="1"/>
  <c r="JOO27" i="9" s="1"/>
  <c r="JOQ27" i="9" s="1"/>
  <c r="JOS27" i="9" s="1"/>
  <c r="JOU27" i="9" s="1"/>
  <c r="JOW27" i="9" s="1"/>
  <c r="JOY27" i="9" s="1"/>
  <c r="JPA27" i="9" s="1"/>
  <c r="JPC27" i="9" s="1"/>
  <c r="JPE27" i="9" s="1"/>
  <c r="JPG27" i="9" s="1"/>
  <c r="JPI27" i="9" s="1"/>
  <c r="JPK27" i="9" s="1"/>
  <c r="JPM27" i="9" s="1"/>
  <c r="JPO27" i="9" s="1"/>
  <c r="JPQ27" i="9" s="1"/>
  <c r="JPS27" i="9" s="1"/>
  <c r="JPU27" i="9" s="1"/>
  <c r="JPW27" i="9" s="1"/>
  <c r="JPY27" i="9" s="1"/>
  <c r="JQA27" i="9" s="1"/>
  <c r="JQC27" i="9" s="1"/>
  <c r="JQE27" i="9" s="1"/>
  <c r="JQG27" i="9" s="1"/>
  <c r="JQI27" i="9" s="1"/>
  <c r="JQK27" i="9" s="1"/>
  <c r="JQM27" i="9" s="1"/>
  <c r="JQO27" i="9" s="1"/>
  <c r="JQQ27" i="9" s="1"/>
  <c r="JQS27" i="9" s="1"/>
  <c r="JQU27" i="9" s="1"/>
  <c r="JQW27" i="9" s="1"/>
  <c r="JQY27" i="9" s="1"/>
  <c r="JRA27" i="9" s="1"/>
  <c r="JRC27" i="9" s="1"/>
  <c r="JRE27" i="9" s="1"/>
  <c r="JRG27" i="9" s="1"/>
  <c r="JRI27" i="9" s="1"/>
  <c r="JRK27" i="9" s="1"/>
  <c r="JRM27" i="9" s="1"/>
  <c r="JRO27" i="9" s="1"/>
  <c r="JRQ27" i="9" s="1"/>
  <c r="JRS27" i="9" s="1"/>
  <c r="JRU27" i="9" s="1"/>
  <c r="JRW27" i="9" s="1"/>
  <c r="JRY27" i="9" s="1"/>
  <c r="JSA27" i="9" s="1"/>
  <c r="JSC27" i="9" s="1"/>
  <c r="JSE27" i="9" s="1"/>
  <c r="JSG27" i="9" s="1"/>
  <c r="JSI27" i="9" s="1"/>
  <c r="JSK27" i="9" s="1"/>
  <c r="JSM27" i="9" s="1"/>
  <c r="JSO27" i="9" s="1"/>
  <c r="JSQ27" i="9" s="1"/>
  <c r="JSS27" i="9" s="1"/>
  <c r="JSU27" i="9" s="1"/>
  <c r="JSW27" i="9" s="1"/>
  <c r="JSY27" i="9" s="1"/>
  <c r="JTA27" i="9" s="1"/>
  <c r="JTC27" i="9" s="1"/>
  <c r="JTE27" i="9" s="1"/>
  <c r="JTG27" i="9" s="1"/>
  <c r="JTI27" i="9" s="1"/>
  <c r="JTK27" i="9" s="1"/>
  <c r="JTM27" i="9" s="1"/>
  <c r="JTO27" i="9" s="1"/>
  <c r="JTQ27" i="9" s="1"/>
  <c r="JTS27" i="9" s="1"/>
  <c r="JTU27" i="9" s="1"/>
  <c r="JTW27" i="9" s="1"/>
  <c r="JTY27" i="9" s="1"/>
  <c r="JUA27" i="9" s="1"/>
  <c r="JUC27" i="9" s="1"/>
  <c r="JUE27" i="9" s="1"/>
  <c r="JUG27" i="9" s="1"/>
  <c r="JUI27" i="9" s="1"/>
  <c r="JUK27" i="9" s="1"/>
  <c r="JUM27" i="9" s="1"/>
  <c r="JUO27" i="9" s="1"/>
  <c r="JUQ27" i="9" s="1"/>
  <c r="JUS27" i="9" s="1"/>
  <c r="JUU27" i="9" s="1"/>
  <c r="JUW27" i="9" s="1"/>
  <c r="JUY27" i="9" s="1"/>
  <c r="JVA27" i="9" s="1"/>
  <c r="JVC27" i="9" s="1"/>
  <c r="JVE27" i="9" s="1"/>
  <c r="JVG27" i="9" s="1"/>
  <c r="JVI27" i="9" s="1"/>
  <c r="JVK27" i="9" s="1"/>
  <c r="JVM27" i="9" s="1"/>
  <c r="JVO27" i="9" s="1"/>
  <c r="JVQ27" i="9" s="1"/>
  <c r="JVS27" i="9" s="1"/>
  <c r="JVU27" i="9" s="1"/>
  <c r="JVW27" i="9" s="1"/>
  <c r="JVY27" i="9" s="1"/>
  <c r="JWA27" i="9" s="1"/>
  <c r="JWC27" i="9" s="1"/>
  <c r="JWE27" i="9" s="1"/>
  <c r="JWG27" i="9" s="1"/>
  <c r="JWI27" i="9" s="1"/>
  <c r="JWK27" i="9" s="1"/>
  <c r="JWM27" i="9" s="1"/>
  <c r="JWO27" i="9" s="1"/>
  <c r="JWQ27" i="9" s="1"/>
  <c r="JWS27" i="9" s="1"/>
  <c r="JWU27" i="9" s="1"/>
  <c r="JWW27" i="9" s="1"/>
  <c r="JWY27" i="9" s="1"/>
  <c r="JXA27" i="9" s="1"/>
  <c r="JXC27" i="9" s="1"/>
  <c r="JXE27" i="9" s="1"/>
  <c r="JXG27" i="9" s="1"/>
  <c r="JXI27" i="9" s="1"/>
  <c r="JXK27" i="9" s="1"/>
  <c r="JXM27" i="9" s="1"/>
  <c r="JXO27" i="9" s="1"/>
  <c r="JXQ27" i="9" s="1"/>
  <c r="JXS27" i="9" s="1"/>
  <c r="JXU27" i="9" s="1"/>
  <c r="JXW27" i="9" s="1"/>
  <c r="JXY27" i="9" s="1"/>
  <c r="JYA27" i="9" s="1"/>
  <c r="JYC27" i="9" s="1"/>
  <c r="JYE27" i="9" s="1"/>
  <c r="JYG27" i="9" s="1"/>
  <c r="JYI27" i="9" s="1"/>
  <c r="JYK27" i="9" s="1"/>
  <c r="JYM27" i="9" s="1"/>
  <c r="JYO27" i="9" s="1"/>
  <c r="JYQ27" i="9" s="1"/>
  <c r="JYS27" i="9" s="1"/>
  <c r="JYU27" i="9" s="1"/>
  <c r="JYW27" i="9" s="1"/>
  <c r="JYY27" i="9" s="1"/>
  <c r="JZA27" i="9" s="1"/>
  <c r="JZC27" i="9" s="1"/>
  <c r="JZE27" i="9" s="1"/>
  <c r="JZG27" i="9" s="1"/>
  <c r="JZI27" i="9" s="1"/>
  <c r="JZK27" i="9" s="1"/>
  <c r="JZM27" i="9" s="1"/>
  <c r="JZO27" i="9" s="1"/>
  <c r="JZQ27" i="9" s="1"/>
  <c r="JZS27" i="9" s="1"/>
  <c r="JZU27" i="9" s="1"/>
  <c r="JZW27" i="9" s="1"/>
  <c r="JZY27" i="9" s="1"/>
  <c r="KAA27" i="9" s="1"/>
  <c r="KAC27" i="9" s="1"/>
  <c r="KAE27" i="9" s="1"/>
  <c r="KAG27" i="9" s="1"/>
  <c r="KAI27" i="9" s="1"/>
  <c r="KAK27" i="9" s="1"/>
  <c r="KAM27" i="9" s="1"/>
  <c r="KAO27" i="9" s="1"/>
  <c r="KAQ27" i="9" s="1"/>
  <c r="KAS27" i="9" s="1"/>
  <c r="KAU27" i="9" s="1"/>
  <c r="KAW27" i="9" s="1"/>
  <c r="KAY27" i="9" s="1"/>
  <c r="KBA27" i="9" s="1"/>
  <c r="KBC27" i="9" s="1"/>
  <c r="KBE27" i="9" s="1"/>
  <c r="KBG27" i="9" s="1"/>
  <c r="KBI27" i="9" s="1"/>
  <c r="KBK27" i="9" s="1"/>
  <c r="KBM27" i="9" s="1"/>
  <c r="KBO27" i="9" s="1"/>
  <c r="KBQ27" i="9" s="1"/>
  <c r="KBS27" i="9" s="1"/>
  <c r="KBU27" i="9" s="1"/>
  <c r="KBW27" i="9" s="1"/>
  <c r="KBY27" i="9" s="1"/>
  <c r="KCA27" i="9" s="1"/>
  <c r="KCC27" i="9" s="1"/>
  <c r="KCE27" i="9" s="1"/>
  <c r="KCG27" i="9" s="1"/>
  <c r="KCI27" i="9" s="1"/>
  <c r="KCK27" i="9" s="1"/>
  <c r="KCM27" i="9" s="1"/>
  <c r="KCO27" i="9" s="1"/>
  <c r="KCQ27" i="9" s="1"/>
  <c r="KCS27" i="9" s="1"/>
  <c r="KCU27" i="9" s="1"/>
  <c r="KCW27" i="9" s="1"/>
  <c r="KCY27" i="9" s="1"/>
  <c r="KDA27" i="9" s="1"/>
  <c r="KDC27" i="9" s="1"/>
  <c r="KDE27" i="9" s="1"/>
  <c r="KDG27" i="9" s="1"/>
  <c r="KDI27" i="9" s="1"/>
  <c r="KDK27" i="9" s="1"/>
  <c r="KDM27" i="9" s="1"/>
  <c r="KDO27" i="9" s="1"/>
  <c r="KDQ27" i="9" s="1"/>
  <c r="KDS27" i="9" s="1"/>
  <c r="KDU27" i="9" s="1"/>
  <c r="KDW27" i="9" s="1"/>
  <c r="KDY27" i="9" s="1"/>
  <c r="KEA27" i="9" s="1"/>
  <c r="KEC27" i="9" s="1"/>
  <c r="KEE27" i="9" s="1"/>
  <c r="KEG27" i="9" s="1"/>
  <c r="KEI27" i="9" s="1"/>
  <c r="KEK27" i="9" s="1"/>
  <c r="KEM27" i="9" s="1"/>
  <c r="KEO27" i="9" s="1"/>
  <c r="KEQ27" i="9" s="1"/>
  <c r="KES27" i="9" s="1"/>
  <c r="KEU27" i="9" s="1"/>
  <c r="KEW27" i="9" s="1"/>
  <c r="KEY27" i="9" s="1"/>
  <c r="KFA27" i="9" s="1"/>
  <c r="KFC27" i="9" s="1"/>
  <c r="KFE27" i="9" s="1"/>
  <c r="KFG27" i="9" s="1"/>
  <c r="KFI27" i="9" s="1"/>
  <c r="KFK27" i="9" s="1"/>
  <c r="KFM27" i="9" s="1"/>
  <c r="KFO27" i="9" s="1"/>
  <c r="KFQ27" i="9" s="1"/>
  <c r="KFS27" i="9" s="1"/>
  <c r="KFU27" i="9" s="1"/>
  <c r="KFW27" i="9" s="1"/>
  <c r="KFY27" i="9" s="1"/>
  <c r="KGA27" i="9" s="1"/>
  <c r="KGC27" i="9" s="1"/>
  <c r="KGE27" i="9" s="1"/>
  <c r="KGG27" i="9" s="1"/>
  <c r="KGI27" i="9" s="1"/>
  <c r="KGK27" i="9" s="1"/>
  <c r="KGM27" i="9" s="1"/>
  <c r="KGO27" i="9" s="1"/>
  <c r="KGQ27" i="9" s="1"/>
  <c r="KGS27" i="9" s="1"/>
  <c r="KGU27" i="9" s="1"/>
  <c r="KGW27" i="9" s="1"/>
  <c r="KGY27" i="9" s="1"/>
  <c r="KHA27" i="9" s="1"/>
  <c r="KHC27" i="9" s="1"/>
  <c r="KHE27" i="9" s="1"/>
  <c r="KHG27" i="9" s="1"/>
  <c r="KHI27" i="9" s="1"/>
  <c r="KHK27" i="9" s="1"/>
  <c r="KHM27" i="9" s="1"/>
  <c r="KHO27" i="9" s="1"/>
  <c r="KHQ27" i="9" s="1"/>
  <c r="KHS27" i="9" s="1"/>
  <c r="KHU27" i="9" s="1"/>
  <c r="KHW27" i="9" s="1"/>
  <c r="KHY27" i="9" s="1"/>
  <c r="KIA27" i="9" s="1"/>
  <c r="KIC27" i="9" s="1"/>
  <c r="KIE27" i="9" s="1"/>
  <c r="KIG27" i="9" s="1"/>
  <c r="KII27" i="9" s="1"/>
  <c r="KIK27" i="9" s="1"/>
  <c r="KIM27" i="9" s="1"/>
  <c r="KIO27" i="9" s="1"/>
  <c r="KIQ27" i="9" s="1"/>
  <c r="KIS27" i="9" s="1"/>
  <c r="KIU27" i="9" s="1"/>
  <c r="KIW27" i="9" s="1"/>
  <c r="KIY27" i="9" s="1"/>
  <c r="KJA27" i="9" s="1"/>
  <c r="KJC27" i="9" s="1"/>
  <c r="KJE27" i="9" s="1"/>
  <c r="KJG27" i="9" s="1"/>
  <c r="KJI27" i="9" s="1"/>
  <c r="KJK27" i="9" s="1"/>
  <c r="KJM27" i="9" s="1"/>
  <c r="KJO27" i="9" s="1"/>
  <c r="KJQ27" i="9" s="1"/>
  <c r="KJS27" i="9" s="1"/>
  <c r="KJU27" i="9" s="1"/>
  <c r="KJW27" i="9" s="1"/>
  <c r="KJY27" i="9" s="1"/>
  <c r="KKA27" i="9" s="1"/>
  <c r="KKC27" i="9" s="1"/>
  <c r="KKE27" i="9" s="1"/>
  <c r="KKG27" i="9" s="1"/>
  <c r="KKI27" i="9" s="1"/>
  <c r="KKK27" i="9" s="1"/>
  <c r="KKM27" i="9" s="1"/>
  <c r="KKO27" i="9" s="1"/>
  <c r="KKQ27" i="9" s="1"/>
  <c r="KKS27" i="9" s="1"/>
  <c r="KKU27" i="9" s="1"/>
  <c r="KKW27" i="9" s="1"/>
  <c r="KKY27" i="9" s="1"/>
  <c r="KLA27" i="9" s="1"/>
  <c r="KLC27" i="9" s="1"/>
  <c r="KLE27" i="9" s="1"/>
  <c r="KLG27" i="9" s="1"/>
  <c r="KLI27" i="9" s="1"/>
  <c r="KLK27" i="9" s="1"/>
  <c r="KLM27" i="9" s="1"/>
  <c r="KLO27" i="9" s="1"/>
  <c r="KLQ27" i="9" s="1"/>
  <c r="KLS27" i="9" s="1"/>
  <c r="KLU27" i="9" s="1"/>
  <c r="KLW27" i="9" s="1"/>
  <c r="KLY27" i="9" s="1"/>
  <c r="KMA27" i="9" s="1"/>
  <c r="KMC27" i="9" s="1"/>
  <c r="KME27" i="9" s="1"/>
  <c r="KMG27" i="9" s="1"/>
  <c r="KMI27" i="9" s="1"/>
  <c r="KMK27" i="9" s="1"/>
  <c r="KMM27" i="9" s="1"/>
  <c r="KMO27" i="9" s="1"/>
  <c r="KMQ27" i="9" s="1"/>
  <c r="KMS27" i="9" s="1"/>
  <c r="KMU27" i="9" s="1"/>
  <c r="KMW27" i="9" s="1"/>
  <c r="KMY27" i="9" s="1"/>
  <c r="KNA27" i="9" s="1"/>
  <c r="KNC27" i="9" s="1"/>
  <c r="KNE27" i="9" s="1"/>
  <c r="KNG27" i="9" s="1"/>
  <c r="KNI27" i="9" s="1"/>
  <c r="KNK27" i="9" s="1"/>
  <c r="KNM27" i="9" s="1"/>
  <c r="KNO27" i="9" s="1"/>
  <c r="KNQ27" i="9" s="1"/>
  <c r="KNS27" i="9" s="1"/>
  <c r="KNU27" i="9" s="1"/>
  <c r="KNW27" i="9" s="1"/>
  <c r="KNY27" i="9" s="1"/>
  <c r="KOA27" i="9" s="1"/>
  <c r="KOC27" i="9" s="1"/>
  <c r="KOE27" i="9" s="1"/>
  <c r="KOG27" i="9" s="1"/>
  <c r="KOI27" i="9" s="1"/>
  <c r="KOK27" i="9" s="1"/>
  <c r="KOM27" i="9" s="1"/>
  <c r="KOO27" i="9" s="1"/>
  <c r="KOQ27" i="9" s="1"/>
  <c r="KOS27" i="9" s="1"/>
  <c r="KOU27" i="9" s="1"/>
  <c r="KOW27" i="9" s="1"/>
  <c r="KOY27" i="9" s="1"/>
  <c r="KPA27" i="9" s="1"/>
  <c r="KPC27" i="9" s="1"/>
  <c r="KPE27" i="9" s="1"/>
  <c r="KPG27" i="9" s="1"/>
  <c r="KPI27" i="9" s="1"/>
  <c r="KPK27" i="9" s="1"/>
  <c r="KPM27" i="9" s="1"/>
  <c r="KPO27" i="9" s="1"/>
  <c r="KPQ27" i="9" s="1"/>
  <c r="KPS27" i="9" s="1"/>
  <c r="KPU27" i="9" s="1"/>
  <c r="KPW27" i="9" s="1"/>
  <c r="KPY27" i="9" s="1"/>
  <c r="KQA27" i="9" s="1"/>
  <c r="KQC27" i="9" s="1"/>
  <c r="KQE27" i="9" s="1"/>
  <c r="KQG27" i="9" s="1"/>
  <c r="KQI27" i="9" s="1"/>
  <c r="KQK27" i="9" s="1"/>
  <c r="KQM27" i="9" s="1"/>
  <c r="KQO27" i="9" s="1"/>
  <c r="KQQ27" i="9" s="1"/>
  <c r="KQS27" i="9" s="1"/>
  <c r="KQU27" i="9" s="1"/>
  <c r="KQW27" i="9" s="1"/>
  <c r="KQY27" i="9" s="1"/>
  <c r="KRA27" i="9" s="1"/>
  <c r="KRC27" i="9" s="1"/>
  <c r="KRE27" i="9" s="1"/>
  <c r="KRG27" i="9" s="1"/>
  <c r="KRI27" i="9" s="1"/>
  <c r="KRK27" i="9" s="1"/>
  <c r="KRM27" i="9" s="1"/>
  <c r="KRO27" i="9" s="1"/>
  <c r="KRQ27" i="9" s="1"/>
  <c r="KRS27" i="9" s="1"/>
  <c r="KRU27" i="9" s="1"/>
  <c r="KRW27" i="9" s="1"/>
  <c r="KRY27" i="9" s="1"/>
  <c r="KSA27" i="9" s="1"/>
  <c r="KSC27" i="9" s="1"/>
  <c r="KSE27" i="9" s="1"/>
  <c r="KSG27" i="9" s="1"/>
  <c r="KSI27" i="9" s="1"/>
  <c r="KSK27" i="9" s="1"/>
  <c r="KSM27" i="9" s="1"/>
  <c r="KSO27" i="9" s="1"/>
  <c r="KSQ27" i="9" s="1"/>
  <c r="KSS27" i="9" s="1"/>
  <c r="KSU27" i="9" s="1"/>
  <c r="KSW27" i="9" s="1"/>
  <c r="KSY27" i="9" s="1"/>
  <c r="KTA27" i="9" s="1"/>
  <c r="KTC27" i="9" s="1"/>
  <c r="KTE27" i="9" s="1"/>
  <c r="KTG27" i="9" s="1"/>
  <c r="KTI27" i="9" s="1"/>
  <c r="KTK27" i="9" s="1"/>
  <c r="KTM27" i="9" s="1"/>
  <c r="KTO27" i="9" s="1"/>
  <c r="KTQ27" i="9" s="1"/>
  <c r="KTS27" i="9" s="1"/>
  <c r="KTU27" i="9" s="1"/>
  <c r="KTW27" i="9" s="1"/>
  <c r="KTY27" i="9" s="1"/>
  <c r="KUA27" i="9" s="1"/>
  <c r="KUC27" i="9" s="1"/>
  <c r="KUE27" i="9" s="1"/>
  <c r="KUG27" i="9" s="1"/>
  <c r="KUI27" i="9" s="1"/>
  <c r="KUK27" i="9" s="1"/>
  <c r="KUM27" i="9" s="1"/>
  <c r="KUO27" i="9" s="1"/>
  <c r="KUQ27" i="9" s="1"/>
  <c r="KUS27" i="9" s="1"/>
  <c r="KUU27" i="9" s="1"/>
  <c r="KUW27" i="9" s="1"/>
  <c r="KUY27" i="9" s="1"/>
  <c r="KVA27" i="9" s="1"/>
  <c r="KVC27" i="9" s="1"/>
  <c r="KVE27" i="9" s="1"/>
  <c r="KVG27" i="9" s="1"/>
  <c r="KVI27" i="9" s="1"/>
  <c r="KVK27" i="9" s="1"/>
  <c r="KVM27" i="9" s="1"/>
  <c r="KVO27" i="9" s="1"/>
  <c r="KVQ27" i="9" s="1"/>
  <c r="KVS27" i="9" s="1"/>
  <c r="KVU27" i="9" s="1"/>
  <c r="KVW27" i="9" s="1"/>
  <c r="KVY27" i="9" s="1"/>
  <c r="KWA27" i="9" s="1"/>
  <c r="KWC27" i="9" s="1"/>
  <c r="KWE27" i="9" s="1"/>
  <c r="KWG27" i="9" s="1"/>
  <c r="KWI27" i="9" s="1"/>
  <c r="KWK27" i="9" s="1"/>
  <c r="KWM27" i="9" s="1"/>
  <c r="KWO27" i="9" s="1"/>
  <c r="KWQ27" i="9" s="1"/>
  <c r="KWS27" i="9" s="1"/>
  <c r="KWU27" i="9" s="1"/>
  <c r="KWW27" i="9" s="1"/>
  <c r="KWY27" i="9" s="1"/>
  <c r="KXA27" i="9" s="1"/>
  <c r="KXC27" i="9" s="1"/>
  <c r="KXE27" i="9" s="1"/>
  <c r="KXG27" i="9" s="1"/>
  <c r="KXI27" i="9" s="1"/>
  <c r="KXK27" i="9" s="1"/>
  <c r="KXM27" i="9" s="1"/>
  <c r="KXO27" i="9" s="1"/>
  <c r="KXQ27" i="9" s="1"/>
  <c r="KXS27" i="9" s="1"/>
  <c r="KXU27" i="9" s="1"/>
  <c r="KXW27" i="9" s="1"/>
  <c r="KXY27" i="9" s="1"/>
  <c r="KYA27" i="9" s="1"/>
  <c r="KYC27" i="9" s="1"/>
  <c r="KYE27" i="9" s="1"/>
  <c r="KYG27" i="9" s="1"/>
  <c r="KYI27" i="9" s="1"/>
  <c r="KYK27" i="9" s="1"/>
  <c r="KYM27" i="9" s="1"/>
  <c r="KYO27" i="9" s="1"/>
  <c r="KYQ27" i="9" s="1"/>
  <c r="KYS27" i="9" s="1"/>
  <c r="KYU27" i="9" s="1"/>
  <c r="KYW27" i="9" s="1"/>
  <c r="KYY27" i="9" s="1"/>
  <c r="KZA27" i="9" s="1"/>
  <c r="KZC27" i="9" s="1"/>
  <c r="KZE27" i="9" s="1"/>
  <c r="KZG27" i="9" s="1"/>
  <c r="KZI27" i="9" s="1"/>
  <c r="KZK27" i="9" s="1"/>
  <c r="KZM27" i="9" s="1"/>
  <c r="KZO27" i="9" s="1"/>
  <c r="KZQ27" i="9" s="1"/>
  <c r="KZS27" i="9" s="1"/>
  <c r="KZU27" i="9" s="1"/>
  <c r="KZW27" i="9" s="1"/>
  <c r="KZY27" i="9" s="1"/>
  <c r="LAA27" i="9" s="1"/>
  <c r="LAC27" i="9" s="1"/>
  <c r="LAE27" i="9" s="1"/>
  <c r="LAG27" i="9" s="1"/>
  <c r="LAI27" i="9" s="1"/>
  <c r="LAK27" i="9" s="1"/>
  <c r="LAM27" i="9" s="1"/>
  <c r="LAO27" i="9" s="1"/>
  <c r="LAQ27" i="9" s="1"/>
  <c r="LAS27" i="9" s="1"/>
  <c r="LAU27" i="9" s="1"/>
  <c r="LAW27" i="9" s="1"/>
  <c r="LAY27" i="9" s="1"/>
  <c r="LBA27" i="9" s="1"/>
  <c r="LBC27" i="9" s="1"/>
  <c r="LBE27" i="9" s="1"/>
  <c r="LBG27" i="9" s="1"/>
  <c r="LBI27" i="9" s="1"/>
  <c r="LBK27" i="9" s="1"/>
  <c r="LBM27" i="9" s="1"/>
  <c r="LBO27" i="9" s="1"/>
  <c r="LBQ27" i="9" s="1"/>
  <c r="LBS27" i="9" s="1"/>
  <c r="LBU27" i="9" s="1"/>
  <c r="LBW27" i="9" s="1"/>
  <c r="LBY27" i="9" s="1"/>
  <c r="LCA27" i="9" s="1"/>
  <c r="LCC27" i="9" s="1"/>
  <c r="LCE27" i="9" s="1"/>
  <c r="LCG27" i="9" s="1"/>
  <c r="LCI27" i="9" s="1"/>
  <c r="LCK27" i="9" s="1"/>
  <c r="LCM27" i="9" s="1"/>
  <c r="LCO27" i="9" s="1"/>
  <c r="LCQ27" i="9" s="1"/>
  <c r="LCS27" i="9" s="1"/>
  <c r="LCU27" i="9" s="1"/>
  <c r="LCW27" i="9" s="1"/>
  <c r="LCY27" i="9" s="1"/>
  <c r="LDA27" i="9" s="1"/>
  <c r="LDC27" i="9" s="1"/>
  <c r="LDE27" i="9" s="1"/>
  <c r="LDG27" i="9" s="1"/>
  <c r="LDI27" i="9" s="1"/>
  <c r="LDK27" i="9" s="1"/>
  <c r="LDM27" i="9" s="1"/>
  <c r="LDO27" i="9" s="1"/>
  <c r="LDQ27" i="9" s="1"/>
  <c r="LDS27" i="9" s="1"/>
  <c r="LDU27" i="9" s="1"/>
  <c r="LDW27" i="9" s="1"/>
  <c r="LDY27" i="9" s="1"/>
  <c r="LEA27" i="9" s="1"/>
  <c r="LEC27" i="9" s="1"/>
  <c r="LEE27" i="9" s="1"/>
  <c r="LEG27" i="9" s="1"/>
  <c r="LEI27" i="9" s="1"/>
  <c r="LEK27" i="9" s="1"/>
  <c r="LEM27" i="9" s="1"/>
  <c r="LEO27" i="9" s="1"/>
  <c r="LEQ27" i="9" s="1"/>
  <c r="LES27" i="9" s="1"/>
  <c r="LEU27" i="9" s="1"/>
  <c r="LEW27" i="9" s="1"/>
  <c r="LEY27" i="9" s="1"/>
  <c r="LFA27" i="9" s="1"/>
  <c r="LFC27" i="9" s="1"/>
  <c r="LFE27" i="9" s="1"/>
  <c r="LFG27" i="9" s="1"/>
  <c r="LFI27" i="9" s="1"/>
  <c r="LFK27" i="9" s="1"/>
  <c r="LFM27" i="9" s="1"/>
  <c r="LFO27" i="9" s="1"/>
  <c r="LFQ27" i="9" s="1"/>
  <c r="LFS27" i="9" s="1"/>
  <c r="LFU27" i="9" s="1"/>
  <c r="LFW27" i="9" s="1"/>
  <c r="LFY27" i="9" s="1"/>
  <c r="LGA27" i="9" s="1"/>
  <c r="LGC27" i="9" s="1"/>
  <c r="LGE27" i="9" s="1"/>
  <c r="LGG27" i="9" s="1"/>
  <c r="LGI27" i="9" s="1"/>
  <c r="LGK27" i="9" s="1"/>
  <c r="LGM27" i="9" s="1"/>
  <c r="LGO27" i="9" s="1"/>
  <c r="LGQ27" i="9" s="1"/>
  <c r="LGS27" i="9" s="1"/>
  <c r="LGU27" i="9" s="1"/>
  <c r="LGW27" i="9" s="1"/>
  <c r="LGY27" i="9" s="1"/>
  <c r="LHA27" i="9" s="1"/>
  <c r="LHC27" i="9" s="1"/>
  <c r="LHE27" i="9" s="1"/>
  <c r="LHG27" i="9" s="1"/>
  <c r="LHI27" i="9" s="1"/>
  <c r="LHK27" i="9" s="1"/>
  <c r="LHM27" i="9" s="1"/>
  <c r="LHO27" i="9" s="1"/>
  <c r="LHQ27" i="9" s="1"/>
  <c r="LHS27" i="9" s="1"/>
  <c r="LHU27" i="9" s="1"/>
  <c r="LHW27" i="9" s="1"/>
  <c r="LHY27" i="9" s="1"/>
  <c r="LIA27" i="9" s="1"/>
  <c r="LIC27" i="9" s="1"/>
  <c r="LIE27" i="9" s="1"/>
  <c r="LIG27" i="9" s="1"/>
  <c r="LII27" i="9" s="1"/>
  <c r="LIK27" i="9" s="1"/>
  <c r="LIM27" i="9" s="1"/>
  <c r="LIO27" i="9" s="1"/>
  <c r="LIQ27" i="9" s="1"/>
  <c r="LIS27" i="9" s="1"/>
  <c r="LIU27" i="9" s="1"/>
  <c r="LIW27" i="9" s="1"/>
  <c r="LIY27" i="9" s="1"/>
  <c r="LJA27" i="9" s="1"/>
  <c r="LJC27" i="9" s="1"/>
  <c r="LJE27" i="9" s="1"/>
  <c r="LJG27" i="9" s="1"/>
  <c r="LJI27" i="9" s="1"/>
  <c r="LJK27" i="9" s="1"/>
  <c r="LJM27" i="9" s="1"/>
  <c r="LJO27" i="9" s="1"/>
  <c r="LJQ27" i="9" s="1"/>
  <c r="LJS27" i="9" s="1"/>
  <c r="LJU27" i="9" s="1"/>
  <c r="LJW27" i="9" s="1"/>
  <c r="LJY27" i="9" s="1"/>
  <c r="LKA27" i="9" s="1"/>
  <c r="LKC27" i="9" s="1"/>
  <c r="LKE27" i="9" s="1"/>
  <c r="LKG27" i="9" s="1"/>
  <c r="LKI27" i="9" s="1"/>
  <c r="LKK27" i="9" s="1"/>
  <c r="LKM27" i="9" s="1"/>
  <c r="LKO27" i="9" s="1"/>
  <c r="LKQ27" i="9" s="1"/>
  <c r="LKS27" i="9" s="1"/>
  <c r="LKU27" i="9" s="1"/>
  <c r="LKW27" i="9" s="1"/>
  <c r="LKY27" i="9" s="1"/>
  <c r="LLA27" i="9" s="1"/>
  <c r="LLC27" i="9" s="1"/>
  <c r="LLE27" i="9" s="1"/>
  <c r="LLG27" i="9" s="1"/>
  <c r="LLI27" i="9" s="1"/>
  <c r="LLK27" i="9" s="1"/>
  <c r="LLM27" i="9" s="1"/>
  <c r="LLO27" i="9" s="1"/>
  <c r="LLQ27" i="9" s="1"/>
  <c r="LLS27" i="9" s="1"/>
  <c r="LLU27" i="9" s="1"/>
  <c r="LLW27" i="9" s="1"/>
  <c r="LLY27" i="9" s="1"/>
  <c r="LMA27" i="9" s="1"/>
  <c r="LMC27" i="9" s="1"/>
  <c r="LME27" i="9" s="1"/>
  <c r="LMG27" i="9" s="1"/>
  <c r="LMI27" i="9" s="1"/>
  <c r="LMK27" i="9" s="1"/>
  <c r="LMM27" i="9" s="1"/>
  <c r="LMO27" i="9" s="1"/>
  <c r="LMQ27" i="9" s="1"/>
  <c r="LMS27" i="9" s="1"/>
  <c r="LMU27" i="9" s="1"/>
  <c r="LMW27" i="9" s="1"/>
  <c r="LMY27" i="9" s="1"/>
  <c r="LNA27" i="9" s="1"/>
  <c r="LNC27" i="9" s="1"/>
  <c r="LNE27" i="9" s="1"/>
  <c r="LNG27" i="9" s="1"/>
  <c r="LNI27" i="9" s="1"/>
  <c r="LNK27" i="9" s="1"/>
  <c r="LNM27" i="9" s="1"/>
  <c r="LNO27" i="9" s="1"/>
  <c r="LNQ27" i="9" s="1"/>
  <c r="LNS27" i="9" s="1"/>
  <c r="LNU27" i="9" s="1"/>
  <c r="LNW27" i="9" s="1"/>
  <c r="LNY27" i="9" s="1"/>
  <c r="LOA27" i="9" s="1"/>
  <c r="LOC27" i="9" s="1"/>
  <c r="LOE27" i="9" s="1"/>
  <c r="LOG27" i="9" s="1"/>
  <c r="LOI27" i="9" s="1"/>
  <c r="LOK27" i="9" s="1"/>
  <c r="LOM27" i="9" s="1"/>
  <c r="LOO27" i="9" s="1"/>
  <c r="LOQ27" i="9" s="1"/>
  <c r="LOS27" i="9" s="1"/>
  <c r="LOU27" i="9" s="1"/>
  <c r="LOW27" i="9" s="1"/>
  <c r="LOY27" i="9" s="1"/>
  <c r="LPA27" i="9" s="1"/>
  <c r="LPC27" i="9" s="1"/>
  <c r="LPE27" i="9" s="1"/>
  <c r="LPG27" i="9" s="1"/>
  <c r="LPI27" i="9" s="1"/>
  <c r="LPK27" i="9" s="1"/>
  <c r="LPM27" i="9" s="1"/>
  <c r="LPO27" i="9" s="1"/>
  <c r="LPQ27" i="9" s="1"/>
  <c r="LPS27" i="9" s="1"/>
  <c r="LPU27" i="9" s="1"/>
  <c r="LPW27" i="9" s="1"/>
  <c r="LPY27" i="9" s="1"/>
  <c r="LQA27" i="9" s="1"/>
  <c r="LQC27" i="9" s="1"/>
  <c r="LQE27" i="9" s="1"/>
  <c r="LQG27" i="9" s="1"/>
  <c r="LQI27" i="9" s="1"/>
  <c r="LQK27" i="9" s="1"/>
  <c r="LQM27" i="9" s="1"/>
  <c r="LQO27" i="9" s="1"/>
  <c r="LQQ27" i="9" s="1"/>
  <c r="LQS27" i="9" s="1"/>
  <c r="LQU27" i="9" s="1"/>
  <c r="LQW27" i="9" s="1"/>
  <c r="LQY27" i="9" s="1"/>
  <c r="LRA27" i="9" s="1"/>
  <c r="LRC27" i="9" s="1"/>
  <c r="LRE27" i="9" s="1"/>
  <c r="LRG27" i="9" s="1"/>
  <c r="LRI27" i="9" s="1"/>
  <c r="LRK27" i="9" s="1"/>
  <c r="LRM27" i="9" s="1"/>
  <c r="LRO27" i="9" s="1"/>
  <c r="LRQ27" i="9" s="1"/>
  <c r="LRS27" i="9" s="1"/>
  <c r="LRU27" i="9" s="1"/>
  <c r="LRW27" i="9" s="1"/>
  <c r="LRY27" i="9" s="1"/>
  <c r="LSA27" i="9" s="1"/>
  <c r="LSC27" i="9" s="1"/>
  <c r="LSE27" i="9" s="1"/>
  <c r="LSG27" i="9" s="1"/>
  <c r="LSI27" i="9" s="1"/>
  <c r="LSK27" i="9" s="1"/>
  <c r="LSM27" i="9" s="1"/>
  <c r="LSO27" i="9" s="1"/>
  <c r="LSQ27" i="9" s="1"/>
  <c r="LSS27" i="9" s="1"/>
  <c r="LSU27" i="9" s="1"/>
  <c r="LSW27" i="9" s="1"/>
  <c r="LSY27" i="9" s="1"/>
  <c r="LTA27" i="9" s="1"/>
  <c r="LTC27" i="9" s="1"/>
  <c r="LTE27" i="9" s="1"/>
  <c r="LTG27" i="9" s="1"/>
  <c r="LTI27" i="9" s="1"/>
  <c r="LTK27" i="9" s="1"/>
  <c r="LTM27" i="9" s="1"/>
  <c r="LTO27" i="9" s="1"/>
  <c r="LTQ27" i="9" s="1"/>
  <c r="LTS27" i="9" s="1"/>
  <c r="LTU27" i="9" s="1"/>
  <c r="LTW27" i="9" s="1"/>
  <c r="LTY27" i="9" s="1"/>
  <c r="LUA27" i="9" s="1"/>
  <c r="LUC27" i="9" s="1"/>
  <c r="LUE27" i="9" s="1"/>
  <c r="LUG27" i="9" s="1"/>
  <c r="LUI27" i="9" s="1"/>
  <c r="LUK27" i="9" s="1"/>
  <c r="LUM27" i="9" s="1"/>
  <c r="LUO27" i="9" s="1"/>
  <c r="LUQ27" i="9" s="1"/>
  <c r="LUS27" i="9" s="1"/>
  <c r="LUU27" i="9" s="1"/>
  <c r="LUW27" i="9" s="1"/>
  <c r="LUY27" i="9" s="1"/>
  <c r="LVA27" i="9" s="1"/>
  <c r="LVC27" i="9" s="1"/>
  <c r="LVE27" i="9" s="1"/>
  <c r="LVG27" i="9" s="1"/>
  <c r="LVI27" i="9" s="1"/>
  <c r="LVK27" i="9" s="1"/>
  <c r="LVM27" i="9" s="1"/>
  <c r="LVO27" i="9" s="1"/>
  <c r="LVQ27" i="9" s="1"/>
  <c r="LVS27" i="9" s="1"/>
  <c r="LVU27" i="9" s="1"/>
  <c r="LVW27" i="9" s="1"/>
  <c r="LVY27" i="9" s="1"/>
  <c r="LWA27" i="9" s="1"/>
  <c r="LWC27" i="9" s="1"/>
  <c r="LWE27" i="9" s="1"/>
  <c r="LWG27" i="9" s="1"/>
  <c r="LWI27" i="9" s="1"/>
  <c r="LWK27" i="9" s="1"/>
  <c r="LWM27" i="9" s="1"/>
  <c r="LWO27" i="9" s="1"/>
  <c r="LWQ27" i="9" s="1"/>
  <c r="LWS27" i="9" s="1"/>
  <c r="LWU27" i="9" s="1"/>
  <c r="LWW27" i="9" s="1"/>
  <c r="LWY27" i="9" s="1"/>
  <c r="LXA27" i="9" s="1"/>
  <c r="LXC27" i="9" s="1"/>
  <c r="LXE27" i="9" s="1"/>
  <c r="LXG27" i="9" s="1"/>
  <c r="LXI27" i="9" s="1"/>
  <c r="LXK27" i="9" s="1"/>
  <c r="LXM27" i="9" s="1"/>
  <c r="LXO27" i="9" s="1"/>
  <c r="LXQ27" i="9" s="1"/>
  <c r="LXS27" i="9" s="1"/>
  <c r="LXU27" i="9" s="1"/>
  <c r="LXW27" i="9" s="1"/>
  <c r="LXY27" i="9" s="1"/>
  <c r="LYA27" i="9" s="1"/>
  <c r="LYC27" i="9" s="1"/>
  <c r="LYE27" i="9" s="1"/>
  <c r="LYG27" i="9" s="1"/>
  <c r="LYI27" i="9" s="1"/>
  <c r="LYK27" i="9" s="1"/>
  <c r="LYM27" i="9" s="1"/>
  <c r="LYO27" i="9" s="1"/>
  <c r="LYQ27" i="9" s="1"/>
  <c r="LYS27" i="9" s="1"/>
  <c r="LYU27" i="9" s="1"/>
  <c r="LYW27" i="9" s="1"/>
  <c r="LYY27" i="9" s="1"/>
  <c r="LZA27" i="9" s="1"/>
  <c r="LZC27" i="9" s="1"/>
  <c r="LZE27" i="9" s="1"/>
  <c r="LZG27" i="9" s="1"/>
  <c r="LZI27" i="9" s="1"/>
  <c r="LZK27" i="9" s="1"/>
  <c r="LZM27" i="9" s="1"/>
  <c r="LZO27" i="9" s="1"/>
  <c r="LZQ27" i="9" s="1"/>
  <c r="LZS27" i="9" s="1"/>
  <c r="LZU27" i="9" s="1"/>
  <c r="LZW27" i="9" s="1"/>
  <c r="LZY27" i="9" s="1"/>
  <c r="MAA27" i="9" s="1"/>
  <c r="MAC27" i="9" s="1"/>
  <c r="MAE27" i="9" s="1"/>
  <c r="MAG27" i="9" s="1"/>
  <c r="MAI27" i="9" s="1"/>
  <c r="MAK27" i="9" s="1"/>
  <c r="MAM27" i="9" s="1"/>
  <c r="MAO27" i="9" s="1"/>
  <c r="MAQ27" i="9" s="1"/>
  <c r="MAS27" i="9" s="1"/>
  <c r="MAU27" i="9" s="1"/>
  <c r="MAW27" i="9" s="1"/>
  <c r="MAY27" i="9" s="1"/>
  <c r="MBA27" i="9" s="1"/>
  <c r="MBC27" i="9" s="1"/>
  <c r="MBE27" i="9" s="1"/>
  <c r="MBG27" i="9" s="1"/>
  <c r="MBI27" i="9" s="1"/>
  <c r="MBK27" i="9" s="1"/>
  <c r="MBM27" i="9" s="1"/>
  <c r="MBO27" i="9" s="1"/>
  <c r="MBQ27" i="9" s="1"/>
  <c r="MBS27" i="9" s="1"/>
  <c r="MBU27" i="9" s="1"/>
  <c r="MBW27" i="9" s="1"/>
  <c r="MBY27" i="9" s="1"/>
  <c r="MCA27" i="9" s="1"/>
  <c r="MCC27" i="9" s="1"/>
  <c r="MCE27" i="9" s="1"/>
  <c r="MCG27" i="9" s="1"/>
  <c r="MCI27" i="9" s="1"/>
  <c r="MCK27" i="9" s="1"/>
  <c r="MCM27" i="9" s="1"/>
  <c r="MCO27" i="9" s="1"/>
  <c r="MCQ27" i="9" s="1"/>
  <c r="MCS27" i="9" s="1"/>
  <c r="MCU27" i="9" s="1"/>
  <c r="MCW27" i="9" s="1"/>
  <c r="MCY27" i="9" s="1"/>
  <c r="MDA27" i="9" s="1"/>
  <c r="MDC27" i="9" s="1"/>
  <c r="MDE27" i="9" s="1"/>
  <c r="MDG27" i="9" s="1"/>
  <c r="MDI27" i="9" s="1"/>
  <c r="MDK27" i="9" s="1"/>
  <c r="MDM27" i="9" s="1"/>
  <c r="MDO27" i="9" s="1"/>
  <c r="MDQ27" i="9" s="1"/>
  <c r="MDS27" i="9" s="1"/>
  <c r="MDU27" i="9" s="1"/>
  <c r="MDW27" i="9" s="1"/>
  <c r="MDY27" i="9" s="1"/>
  <c r="MEA27" i="9" s="1"/>
  <c r="MEC27" i="9" s="1"/>
  <c r="MEE27" i="9" s="1"/>
  <c r="MEG27" i="9" s="1"/>
  <c r="MEI27" i="9" s="1"/>
  <c r="MEK27" i="9" s="1"/>
  <c r="MEM27" i="9" s="1"/>
  <c r="MEO27" i="9" s="1"/>
  <c r="MEQ27" i="9" s="1"/>
  <c r="MES27" i="9" s="1"/>
  <c r="MEU27" i="9" s="1"/>
  <c r="MEW27" i="9" s="1"/>
  <c r="MEY27" i="9" s="1"/>
  <c r="MFA27" i="9" s="1"/>
  <c r="MFC27" i="9" s="1"/>
  <c r="MFE27" i="9" s="1"/>
  <c r="MFG27" i="9" s="1"/>
  <c r="MFI27" i="9" s="1"/>
  <c r="MFK27" i="9" s="1"/>
  <c r="MFM27" i="9" s="1"/>
  <c r="MFO27" i="9" s="1"/>
  <c r="MFQ27" i="9" s="1"/>
  <c r="MFS27" i="9" s="1"/>
  <c r="MFU27" i="9" s="1"/>
  <c r="MFW27" i="9" s="1"/>
  <c r="MFY27" i="9" s="1"/>
  <c r="MGA27" i="9" s="1"/>
  <c r="MGC27" i="9" s="1"/>
  <c r="MGE27" i="9" s="1"/>
  <c r="MGG27" i="9" s="1"/>
  <c r="MGI27" i="9" s="1"/>
  <c r="MGK27" i="9" s="1"/>
  <c r="MGM27" i="9" s="1"/>
  <c r="MGO27" i="9" s="1"/>
  <c r="MGQ27" i="9" s="1"/>
  <c r="MGS27" i="9" s="1"/>
  <c r="MGU27" i="9" s="1"/>
  <c r="MGW27" i="9" s="1"/>
  <c r="MGY27" i="9" s="1"/>
  <c r="MHA27" i="9" s="1"/>
  <c r="MHC27" i="9" s="1"/>
  <c r="MHE27" i="9" s="1"/>
  <c r="MHG27" i="9" s="1"/>
  <c r="MHI27" i="9" s="1"/>
  <c r="MHK27" i="9" s="1"/>
  <c r="MHM27" i="9" s="1"/>
  <c r="MHO27" i="9" s="1"/>
  <c r="MHQ27" i="9" s="1"/>
  <c r="MHS27" i="9" s="1"/>
  <c r="MHU27" i="9" s="1"/>
  <c r="MHW27" i="9" s="1"/>
  <c r="MHY27" i="9" s="1"/>
  <c r="MIA27" i="9" s="1"/>
  <c r="MIC27" i="9" s="1"/>
  <c r="MIE27" i="9" s="1"/>
  <c r="MIG27" i="9" s="1"/>
  <c r="MII27" i="9" s="1"/>
  <c r="MIK27" i="9" s="1"/>
  <c r="MIM27" i="9" s="1"/>
  <c r="MIO27" i="9" s="1"/>
  <c r="MIQ27" i="9" s="1"/>
  <c r="MIS27" i="9" s="1"/>
  <c r="MIU27" i="9" s="1"/>
  <c r="MIW27" i="9" s="1"/>
  <c r="MIY27" i="9" s="1"/>
  <c r="MJA27" i="9" s="1"/>
  <c r="MJC27" i="9" s="1"/>
  <c r="MJE27" i="9" s="1"/>
  <c r="MJG27" i="9" s="1"/>
  <c r="MJI27" i="9" s="1"/>
  <c r="MJK27" i="9" s="1"/>
  <c r="MJM27" i="9" s="1"/>
  <c r="MJO27" i="9" s="1"/>
  <c r="MJQ27" i="9" s="1"/>
  <c r="MJS27" i="9" s="1"/>
  <c r="MJU27" i="9" s="1"/>
  <c r="MJW27" i="9" s="1"/>
  <c r="MJY27" i="9" s="1"/>
  <c r="MKA27" i="9" s="1"/>
  <c r="MKC27" i="9" s="1"/>
  <c r="MKE27" i="9" s="1"/>
  <c r="MKG27" i="9" s="1"/>
  <c r="MKI27" i="9" s="1"/>
  <c r="MKK27" i="9" s="1"/>
  <c r="MKM27" i="9" s="1"/>
  <c r="MKO27" i="9" s="1"/>
  <c r="MKQ27" i="9" s="1"/>
  <c r="MKS27" i="9" s="1"/>
  <c r="MKU27" i="9" s="1"/>
  <c r="MKW27" i="9" s="1"/>
  <c r="MKY27" i="9" s="1"/>
  <c r="MLA27" i="9" s="1"/>
  <c r="MLC27" i="9" s="1"/>
  <c r="MLE27" i="9" s="1"/>
  <c r="MLG27" i="9" s="1"/>
  <c r="MLI27" i="9" s="1"/>
  <c r="MLK27" i="9" s="1"/>
  <c r="MLM27" i="9" s="1"/>
  <c r="MLO27" i="9" s="1"/>
  <c r="MLQ27" i="9" s="1"/>
  <c r="MLS27" i="9" s="1"/>
  <c r="MLU27" i="9" s="1"/>
  <c r="MLW27" i="9" s="1"/>
  <c r="MLY27" i="9" s="1"/>
  <c r="MMA27" i="9" s="1"/>
  <c r="MMC27" i="9" s="1"/>
  <c r="MME27" i="9" s="1"/>
  <c r="MMG27" i="9" s="1"/>
  <c r="MMI27" i="9" s="1"/>
  <c r="MMK27" i="9" s="1"/>
  <c r="MMM27" i="9" s="1"/>
  <c r="MMO27" i="9" s="1"/>
  <c r="MMQ27" i="9" s="1"/>
  <c r="MMS27" i="9" s="1"/>
  <c r="MMU27" i="9" s="1"/>
  <c r="MMW27" i="9" s="1"/>
  <c r="MMY27" i="9" s="1"/>
  <c r="MNA27" i="9" s="1"/>
  <c r="MNC27" i="9" s="1"/>
  <c r="MNE27" i="9" s="1"/>
  <c r="MNG27" i="9" s="1"/>
  <c r="MNI27" i="9" s="1"/>
  <c r="MNK27" i="9" s="1"/>
  <c r="MNM27" i="9" s="1"/>
  <c r="MNO27" i="9" s="1"/>
  <c r="MNQ27" i="9" s="1"/>
  <c r="MNS27" i="9" s="1"/>
  <c r="MNU27" i="9" s="1"/>
  <c r="MNW27" i="9" s="1"/>
  <c r="MNY27" i="9" s="1"/>
  <c r="MOA27" i="9" s="1"/>
  <c r="MOC27" i="9" s="1"/>
  <c r="MOE27" i="9" s="1"/>
  <c r="MOG27" i="9" s="1"/>
  <c r="MOI27" i="9" s="1"/>
  <c r="MOK27" i="9" s="1"/>
  <c r="MOM27" i="9" s="1"/>
  <c r="MOO27" i="9" s="1"/>
  <c r="MOQ27" i="9" s="1"/>
  <c r="MOS27" i="9" s="1"/>
  <c r="MOU27" i="9" s="1"/>
  <c r="MOW27" i="9" s="1"/>
  <c r="MOY27" i="9" s="1"/>
  <c r="MPA27" i="9" s="1"/>
  <c r="MPC27" i="9" s="1"/>
  <c r="MPE27" i="9" s="1"/>
  <c r="MPG27" i="9" s="1"/>
  <c r="MPI27" i="9" s="1"/>
  <c r="MPK27" i="9" s="1"/>
  <c r="MPM27" i="9" s="1"/>
  <c r="MPO27" i="9" s="1"/>
  <c r="MPQ27" i="9" s="1"/>
  <c r="MPS27" i="9" s="1"/>
  <c r="MPU27" i="9" s="1"/>
  <c r="MPW27" i="9" s="1"/>
  <c r="MPY27" i="9" s="1"/>
  <c r="MQA27" i="9" s="1"/>
  <c r="MQC27" i="9" s="1"/>
  <c r="MQE27" i="9" s="1"/>
  <c r="MQG27" i="9" s="1"/>
  <c r="MQI27" i="9" s="1"/>
  <c r="MQK27" i="9" s="1"/>
  <c r="MQM27" i="9" s="1"/>
  <c r="MQO27" i="9" s="1"/>
  <c r="MQQ27" i="9" s="1"/>
  <c r="MQS27" i="9" s="1"/>
  <c r="MQU27" i="9" s="1"/>
  <c r="MQW27" i="9" s="1"/>
  <c r="MQY27" i="9" s="1"/>
  <c r="MRA27" i="9" s="1"/>
  <c r="MRC27" i="9" s="1"/>
  <c r="MRE27" i="9" s="1"/>
  <c r="MRG27" i="9" s="1"/>
  <c r="MRI27" i="9" s="1"/>
  <c r="MRK27" i="9" s="1"/>
  <c r="MRM27" i="9" s="1"/>
  <c r="MRO27" i="9" s="1"/>
  <c r="MRQ27" i="9" s="1"/>
  <c r="MRS27" i="9" s="1"/>
  <c r="MRU27" i="9" s="1"/>
  <c r="MRW27" i="9" s="1"/>
  <c r="MRY27" i="9" s="1"/>
  <c r="MSA27" i="9" s="1"/>
  <c r="MSC27" i="9" s="1"/>
  <c r="MSE27" i="9" s="1"/>
  <c r="MSG27" i="9" s="1"/>
  <c r="MSI27" i="9" s="1"/>
  <c r="MSK27" i="9" s="1"/>
  <c r="MSM27" i="9" s="1"/>
  <c r="MSO27" i="9" s="1"/>
  <c r="MSQ27" i="9" s="1"/>
  <c r="MSS27" i="9" s="1"/>
  <c r="MSU27" i="9" s="1"/>
  <c r="MSW27" i="9" s="1"/>
  <c r="MSY27" i="9" s="1"/>
  <c r="MTA27" i="9" s="1"/>
  <c r="MTC27" i="9" s="1"/>
  <c r="MTE27" i="9" s="1"/>
  <c r="MTG27" i="9" s="1"/>
  <c r="MTI27" i="9" s="1"/>
  <c r="MTK27" i="9" s="1"/>
  <c r="MTM27" i="9" s="1"/>
  <c r="MTO27" i="9" s="1"/>
  <c r="MTQ27" i="9" s="1"/>
  <c r="MTS27" i="9" s="1"/>
  <c r="MTU27" i="9" s="1"/>
  <c r="MTW27" i="9" s="1"/>
  <c r="MTY27" i="9" s="1"/>
  <c r="MUA27" i="9" s="1"/>
  <c r="MUC27" i="9" s="1"/>
  <c r="MUE27" i="9" s="1"/>
  <c r="MUG27" i="9" s="1"/>
  <c r="MUI27" i="9" s="1"/>
  <c r="MUK27" i="9" s="1"/>
  <c r="MUM27" i="9" s="1"/>
  <c r="MUO27" i="9" s="1"/>
  <c r="MUQ27" i="9" s="1"/>
  <c r="MUS27" i="9" s="1"/>
  <c r="MUU27" i="9" s="1"/>
  <c r="MUW27" i="9" s="1"/>
  <c r="MUY27" i="9" s="1"/>
  <c r="MVA27" i="9" s="1"/>
  <c r="MVC27" i="9" s="1"/>
  <c r="MVE27" i="9" s="1"/>
  <c r="MVG27" i="9" s="1"/>
  <c r="MVI27" i="9" s="1"/>
  <c r="MVK27" i="9" s="1"/>
  <c r="MVM27" i="9" s="1"/>
  <c r="MVO27" i="9" s="1"/>
  <c r="MVQ27" i="9" s="1"/>
  <c r="MVS27" i="9" s="1"/>
  <c r="MVU27" i="9" s="1"/>
  <c r="MVW27" i="9" s="1"/>
  <c r="MVY27" i="9" s="1"/>
  <c r="MWA27" i="9" s="1"/>
  <c r="MWC27" i="9" s="1"/>
  <c r="MWE27" i="9" s="1"/>
  <c r="MWG27" i="9" s="1"/>
  <c r="MWI27" i="9" s="1"/>
  <c r="MWK27" i="9" s="1"/>
  <c r="MWM27" i="9" s="1"/>
  <c r="MWO27" i="9" s="1"/>
  <c r="MWQ27" i="9" s="1"/>
  <c r="MWS27" i="9" s="1"/>
  <c r="MWU27" i="9" s="1"/>
  <c r="MWW27" i="9" s="1"/>
  <c r="MWY27" i="9" s="1"/>
  <c r="MXA27" i="9" s="1"/>
  <c r="MXC27" i="9" s="1"/>
  <c r="MXE27" i="9" s="1"/>
  <c r="MXG27" i="9" s="1"/>
  <c r="MXI27" i="9" s="1"/>
  <c r="MXK27" i="9" s="1"/>
  <c r="MXM27" i="9" s="1"/>
  <c r="MXO27" i="9" s="1"/>
  <c r="MXQ27" i="9" s="1"/>
  <c r="MXS27" i="9" s="1"/>
  <c r="MXU27" i="9" s="1"/>
  <c r="MXW27" i="9" s="1"/>
  <c r="MXY27" i="9" s="1"/>
  <c r="MYA27" i="9" s="1"/>
  <c r="MYC27" i="9" s="1"/>
  <c r="MYE27" i="9" s="1"/>
  <c r="MYG27" i="9" s="1"/>
  <c r="MYI27" i="9" s="1"/>
  <c r="MYK27" i="9" s="1"/>
  <c r="MYM27" i="9" s="1"/>
  <c r="MYO27" i="9" s="1"/>
  <c r="MYQ27" i="9" s="1"/>
  <c r="MYS27" i="9" s="1"/>
  <c r="MYU27" i="9" s="1"/>
  <c r="MYW27" i="9" s="1"/>
  <c r="MYY27" i="9" s="1"/>
  <c r="MZA27" i="9" s="1"/>
  <c r="MZC27" i="9" s="1"/>
  <c r="MZE27" i="9" s="1"/>
  <c r="MZG27" i="9" s="1"/>
  <c r="MZI27" i="9" s="1"/>
  <c r="MZK27" i="9" s="1"/>
  <c r="MZM27" i="9" s="1"/>
  <c r="MZO27" i="9" s="1"/>
  <c r="MZQ27" i="9" s="1"/>
  <c r="MZS27" i="9" s="1"/>
  <c r="MZU27" i="9" s="1"/>
  <c r="MZW27" i="9" s="1"/>
  <c r="MZY27" i="9" s="1"/>
  <c r="NAA27" i="9" s="1"/>
  <c r="NAC27" i="9" s="1"/>
  <c r="NAE27" i="9" s="1"/>
  <c r="NAG27" i="9" s="1"/>
  <c r="NAI27" i="9" s="1"/>
  <c r="NAK27" i="9" s="1"/>
  <c r="NAM27" i="9" s="1"/>
  <c r="NAO27" i="9" s="1"/>
  <c r="NAQ27" i="9" s="1"/>
  <c r="NAS27" i="9" s="1"/>
  <c r="NAU27" i="9" s="1"/>
  <c r="NAW27" i="9" s="1"/>
  <c r="NAY27" i="9" s="1"/>
  <c r="NBA27" i="9" s="1"/>
  <c r="NBC27" i="9" s="1"/>
  <c r="NBE27" i="9" s="1"/>
  <c r="NBG27" i="9" s="1"/>
  <c r="NBI27" i="9" s="1"/>
  <c r="NBK27" i="9" s="1"/>
  <c r="NBM27" i="9" s="1"/>
  <c r="NBO27" i="9" s="1"/>
  <c r="NBQ27" i="9" s="1"/>
  <c r="NBS27" i="9" s="1"/>
  <c r="NBU27" i="9" s="1"/>
  <c r="NBW27" i="9" s="1"/>
  <c r="NBY27" i="9" s="1"/>
  <c r="NCA27" i="9" s="1"/>
  <c r="NCC27" i="9" s="1"/>
  <c r="NCE27" i="9" s="1"/>
  <c r="NCG27" i="9" s="1"/>
  <c r="NCI27" i="9" s="1"/>
  <c r="NCK27" i="9" s="1"/>
  <c r="NCM27" i="9" s="1"/>
  <c r="NCO27" i="9" s="1"/>
  <c r="NCQ27" i="9" s="1"/>
  <c r="NCS27" i="9" s="1"/>
  <c r="NCU27" i="9" s="1"/>
  <c r="NCW27" i="9" s="1"/>
  <c r="NCY27" i="9" s="1"/>
  <c r="NDA27" i="9" s="1"/>
  <c r="NDC27" i="9" s="1"/>
  <c r="NDE27" i="9" s="1"/>
  <c r="NDG27" i="9" s="1"/>
  <c r="NDI27" i="9" s="1"/>
  <c r="NDK27" i="9" s="1"/>
  <c r="NDM27" i="9" s="1"/>
  <c r="NDO27" i="9" s="1"/>
  <c r="NDQ27" i="9" s="1"/>
  <c r="NDS27" i="9" s="1"/>
  <c r="NDU27" i="9" s="1"/>
  <c r="NDW27" i="9" s="1"/>
  <c r="NDY27" i="9" s="1"/>
  <c r="NEA27" i="9" s="1"/>
  <c r="NEC27" i="9" s="1"/>
  <c r="NEE27" i="9" s="1"/>
  <c r="NEG27" i="9" s="1"/>
  <c r="NEI27" i="9" s="1"/>
  <c r="NEK27" i="9" s="1"/>
  <c r="NEM27" i="9" s="1"/>
  <c r="NEO27" i="9" s="1"/>
  <c r="NEQ27" i="9" s="1"/>
  <c r="NES27" i="9" s="1"/>
  <c r="NEU27" i="9" s="1"/>
  <c r="NEW27" i="9" s="1"/>
  <c r="NEY27" i="9" s="1"/>
  <c r="NFA27" i="9" s="1"/>
  <c r="NFC27" i="9" s="1"/>
  <c r="NFE27" i="9" s="1"/>
  <c r="NFG27" i="9" s="1"/>
  <c r="NFI27" i="9" s="1"/>
  <c r="NFK27" i="9" s="1"/>
  <c r="NFM27" i="9" s="1"/>
  <c r="NFO27" i="9" s="1"/>
  <c r="NFQ27" i="9" s="1"/>
  <c r="NFS27" i="9" s="1"/>
  <c r="NFU27" i="9" s="1"/>
  <c r="NFW27" i="9" s="1"/>
  <c r="NFY27" i="9" s="1"/>
  <c r="NGA27" i="9" s="1"/>
  <c r="NGC27" i="9" s="1"/>
  <c r="NGE27" i="9" s="1"/>
  <c r="NGG27" i="9" s="1"/>
  <c r="NGI27" i="9" s="1"/>
  <c r="NGK27" i="9" s="1"/>
  <c r="NGM27" i="9" s="1"/>
  <c r="NGO27" i="9" s="1"/>
  <c r="NGQ27" i="9" s="1"/>
  <c r="NGS27" i="9" s="1"/>
  <c r="NGU27" i="9" s="1"/>
  <c r="NGW27" i="9" s="1"/>
  <c r="NGY27" i="9" s="1"/>
  <c r="NHA27" i="9" s="1"/>
  <c r="NHC27" i="9" s="1"/>
  <c r="NHE27" i="9" s="1"/>
  <c r="NHG27" i="9" s="1"/>
  <c r="NHI27" i="9" s="1"/>
  <c r="NHK27" i="9" s="1"/>
  <c r="NHM27" i="9" s="1"/>
  <c r="NHO27" i="9" s="1"/>
  <c r="NHQ27" i="9" s="1"/>
  <c r="NHS27" i="9" s="1"/>
  <c r="NHU27" i="9" s="1"/>
  <c r="NHW27" i="9" s="1"/>
  <c r="NHY27" i="9" s="1"/>
  <c r="NIA27" i="9" s="1"/>
  <c r="NIC27" i="9" s="1"/>
  <c r="NIE27" i="9" s="1"/>
  <c r="NIG27" i="9" s="1"/>
  <c r="NII27" i="9" s="1"/>
  <c r="NIK27" i="9" s="1"/>
  <c r="NIM27" i="9" s="1"/>
  <c r="NIO27" i="9" s="1"/>
  <c r="NIQ27" i="9" s="1"/>
  <c r="NIS27" i="9" s="1"/>
  <c r="NIU27" i="9" s="1"/>
  <c r="NIW27" i="9" s="1"/>
  <c r="NIY27" i="9" s="1"/>
  <c r="NJA27" i="9" s="1"/>
  <c r="NJC27" i="9" s="1"/>
  <c r="NJE27" i="9" s="1"/>
  <c r="NJG27" i="9" s="1"/>
  <c r="NJI27" i="9" s="1"/>
  <c r="NJK27" i="9" s="1"/>
  <c r="NJM27" i="9" s="1"/>
  <c r="NJO27" i="9" s="1"/>
  <c r="NJQ27" i="9" s="1"/>
  <c r="NJS27" i="9" s="1"/>
  <c r="NJU27" i="9" s="1"/>
  <c r="NJW27" i="9" s="1"/>
  <c r="NJY27" i="9" s="1"/>
  <c r="NKA27" i="9" s="1"/>
  <c r="NKC27" i="9" s="1"/>
  <c r="NKE27" i="9" s="1"/>
  <c r="NKG27" i="9" s="1"/>
  <c r="NKI27" i="9" s="1"/>
  <c r="NKK27" i="9" s="1"/>
  <c r="NKM27" i="9" s="1"/>
  <c r="NKO27" i="9" s="1"/>
  <c r="NKQ27" i="9" s="1"/>
  <c r="NKS27" i="9" s="1"/>
  <c r="NKU27" i="9" s="1"/>
  <c r="NKW27" i="9" s="1"/>
  <c r="NKY27" i="9" s="1"/>
  <c r="NLA27" i="9" s="1"/>
  <c r="NLC27" i="9" s="1"/>
  <c r="NLE27" i="9" s="1"/>
  <c r="NLG27" i="9" s="1"/>
  <c r="NLI27" i="9" s="1"/>
  <c r="NLK27" i="9" s="1"/>
  <c r="NLM27" i="9" s="1"/>
  <c r="NLO27" i="9" s="1"/>
  <c r="NLQ27" i="9" s="1"/>
  <c r="NLS27" i="9" s="1"/>
  <c r="NLU27" i="9" s="1"/>
  <c r="NLW27" i="9" s="1"/>
  <c r="NLY27" i="9" s="1"/>
  <c r="NMA27" i="9" s="1"/>
  <c r="NMC27" i="9" s="1"/>
  <c r="NME27" i="9" s="1"/>
  <c r="NMG27" i="9" s="1"/>
  <c r="NMI27" i="9" s="1"/>
  <c r="NMK27" i="9" s="1"/>
  <c r="NMM27" i="9" s="1"/>
  <c r="NMO27" i="9" s="1"/>
  <c r="NMQ27" i="9" s="1"/>
  <c r="NMS27" i="9" s="1"/>
  <c r="NMU27" i="9" s="1"/>
  <c r="NMW27" i="9" s="1"/>
  <c r="NMY27" i="9" s="1"/>
  <c r="NNA27" i="9" s="1"/>
  <c r="NNC27" i="9" s="1"/>
  <c r="NNE27" i="9" s="1"/>
  <c r="NNG27" i="9" s="1"/>
  <c r="NNI27" i="9" s="1"/>
  <c r="NNK27" i="9" s="1"/>
  <c r="NNM27" i="9" s="1"/>
  <c r="NNO27" i="9" s="1"/>
  <c r="NNQ27" i="9" s="1"/>
  <c r="NNS27" i="9" s="1"/>
  <c r="NNU27" i="9" s="1"/>
  <c r="NNW27" i="9" s="1"/>
  <c r="NNY27" i="9" s="1"/>
  <c r="NOA27" i="9" s="1"/>
  <c r="NOC27" i="9" s="1"/>
  <c r="NOE27" i="9" s="1"/>
  <c r="NOG27" i="9" s="1"/>
  <c r="NOI27" i="9" s="1"/>
  <c r="NOK27" i="9" s="1"/>
  <c r="NOM27" i="9" s="1"/>
  <c r="NOO27" i="9" s="1"/>
  <c r="NOQ27" i="9" s="1"/>
  <c r="NOS27" i="9" s="1"/>
  <c r="NOU27" i="9" s="1"/>
  <c r="NOW27" i="9" s="1"/>
  <c r="NOY27" i="9" s="1"/>
  <c r="NPA27" i="9" s="1"/>
  <c r="NPC27" i="9" s="1"/>
  <c r="NPE27" i="9" s="1"/>
  <c r="NPG27" i="9" s="1"/>
  <c r="NPI27" i="9" s="1"/>
  <c r="NPK27" i="9" s="1"/>
  <c r="NPM27" i="9" s="1"/>
  <c r="NPO27" i="9" s="1"/>
  <c r="NPQ27" i="9" s="1"/>
  <c r="NPS27" i="9" s="1"/>
  <c r="NPU27" i="9" s="1"/>
  <c r="NPW27" i="9" s="1"/>
  <c r="NPY27" i="9" s="1"/>
  <c r="NQA27" i="9" s="1"/>
  <c r="NQC27" i="9" s="1"/>
  <c r="NQE27" i="9" s="1"/>
  <c r="NQG27" i="9" s="1"/>
  <c r="NQI27" i="9" s="1"/>
  <c r="NQK27" i="9" s="1"/>
  <c r="NQM27" i="9" s="1"/>
  <c r="NQO27" i="9" s="1"/>
  <c r="NQQ27" i="9" s="1"/>
  <c r="NQS27" i="9" s="1"/>
  <c r="NQU27" i="9" s="1"/>
  <c r="NQW27" i="9" s="1"/>
  <c r="NQY27" i="9" s="1"/>
  <c r="NRA27" i="9" s="1"/>
  <c r="NRC27" i="9" s="1"/>
  <c r="NRE27" i="9" s="1"/>
  <c r="NRG27" i="9" s="1"/>
  <c r="NRI27" i="9" s="1"/>
  <c r="NRK27" i="9" s="1"/>
  <c r="NRM27" i="9" s="1"/>
  <c r="NRO27" i="9" s="1"/>
  <c r="NRQ27" i="9" s="1"/>
  <c r="NRS27" i="9" s="1"/>
  <c r="NRU27" i="9" s="1"/>
  <c r="NRW27" i="9" s="1"/>
  <c r="NRY27" i="9" s="1"/>
  <c r="NSA27" i="9" s="1"/>
  <c r="NSC27" i="9" s="1"/>
  <c r="NSE27" i="9" s="1"/>
  <c r="NSG27" i="9" s="1"/>
  <c r="NSI27" i="9" s="1"/>
  <c r="NSK27" i="9" s="1"/>
  <c r="NSM27" i="9" s="1"/>
  <c r="NSO27" i="9" s="1"/>
  <c r="NSQ27" i="9" s="1"/>
  <c r="NSS27" i="9" s="1"/>
  <c r="NSU27" i="9" s="1"/>
  <c r="NSW27" i="9" s="1"/>
  <c r="NSY27" i="9" s="1"/>
  <c r="NTA27" i="9" s="1"/>
  <c r="NTC27" i="9" s="1"/>
  <c r="NTE27" i="9" s="1"/>
  <c r="NTG27" i="9" s="1"/>
  <c r="NTI27" i="9" s="1"/>
  <c r="NTK27" i="9" s="1"/>
  <c r="NTM27" i="9" s="1"/>
  <c r="NTO27" i="9" s="1"/>
  <c r="NTQ27" i="9" s="1"/>
  <c r="NTS27" i="9" s="1"/>
  <c r="NTU27" i="9" s="1"/>
  <c r="NTW27" i="9" s="1"/>
  <c r="NTY27" i="9" s="1"/>
  <c r="NUA27" i="9" s="1"/>
  <c r="NUC27" i="9" s="1"/>
  <c r="NUE27" i="9" s="1"/>
  <c r="NUG27" i="9" s="1"/>
  <c r="NUI27" i="9" s="1"/>
  <c r="NUK27" i="9" s="1"/>
  <c r="NUM27" i="9" s="1"/>
  <c r="NUO27" i="9" s="1"/>
  <c r="NUQ27" i="9" s="1"/>
  <c r="NUS27" i="9" s="1"/>
  <c r="NUU27" i="9" s="1"/>
  <c r="NUW27" i="9" s="1"/>
  <c r="NUY27" i="9" s="1"/>
  <c r="NVA27" i="9" s="1"/>
  <c r="NVC27" i="9" s="1"/>
  <c r="NVE27" i="9" s="1"/>
  <c r="NVG27" i="9" s="1"/>
  <c r="NVI27" i="9" s="1"/>
  <c r="NVK27" i="9" s="1"/>
  <c r="NVM27" i="9" s="1"/>
  <c r="NVO27" i="9" s="1"/>
  <c r="NVQ27" i="9" s="1"/>
  <c r="NVS27" i="9" s="1"/>
  <c r="NVU27" i="9" s="1"/>
  <c r="NVW27" i="9" s="1"/>
  <c r="NVY27" i="9" s="1"/>
  <c r="NWA27" i="9" s="1"/>
  <c r="NWC27" i="9" s="1"/>
  <c r="NWE27" i="9" s="1"/>
  <c r="NWG27" i="9" s="1"/>
  <c r="NWI27" i="9" s="1"/>
  <c r="NWK27" i="9" s="1"/>
  <c r="NWM27" i="9" s="1"/>
  <c r="NWO27" i="9" s="1"/>
  <c r="NWQ27" i="9" s="1"/>
  <c r="NWS27" i="9" s="1"/>
  <c r="NWU27" i="9" s="1"/>
  <c r="NWW27" i="9" s="1"/>
  <c r="NWY27" i="9" s="1"/>
  <c r="NXA27" i="9" s="1"/>
  <c r="NXC27" i="9" s="1"/>
  <c r="NXE27" i="9" s="1"/>
  <c r="NXG27" i="9" s="1"/>
  <c r="NXI27" i="9" s="1"/>
  <c r="NXK27" i="9" s="1"/>
  <c r="NXM27" i="9" s="1"/>
  <c r="NXO27" i="9" s="1"/>
  <c r="NXQ27" i="9" s="1"/>
  <c r="NXS27" i="9" s="1"/>
  <c r="NXU27" i="9" s="1"/>
  <c r="NXW27" i="9" s="1"/>
  <c r="NXY27" i="9" s="1"/>
  <c r="NYA27" i="9" s="1"/>
  <c r="NYC27" i="9" s="1"/>
  <c r="NYE27" i="9" s="1"/>
  <c r="NYG27" i="9" s="1"/>
  <c r="NYI27" i="9" s="1"/>
  <c r="NYK27" i="9" s="1"/>
  <c r="NYM27" i="9" s="1"/>
  <c r="NYO27" i="9" s="1"/>
  <c r="NYQ27" i="9" s="1"/>
  <c r="NYS27" i="9" s="1"/>
  <c r="NYU27" i="9" s="1"/>
  <c r="NYW27" i="9" s="1"/>
  <c r="NYY27" i="9" s="1"/>
  <c r="NZA27" i="9" s="1"/>
  <c r="NZC27" i="9" s="1"/>
  <c r="NZE27" i="9" s="1"/>
  <c r="NZG27" i="9" s="1"/>
  <c r="NZI27" i="9" s="1"/>
  <c r="NZK27" i="9" s="1"/>
  <c r="NZM27" i="9" s="1"/>
  <c r="NZO27" i="9" s="1"/>
  <c r="NZQ27" i="9" s="1"/>
  <c r="NZS27" i="9" s="1"/>
  <c r="NZU27" i="9" s="1"/>
  <c r="NZW27" i="9" s="1"/>
  <c r="NZY27" i="9" s="1"/>
  <c r="OAA27" i="9" s="1"/>
  <c r="OAC27" i="9" s="1"/>
  <c r="OAE27" i="9" s="1"/>
  <c r="OAG27" i="9" s="1"/>
  <c r="OAI27" i="9" s="1"/>
  <c r="OAK27" i="9" s="1"/>
  <c r="OAM27" i="9" s="1"/>
  <c r="OAO27" i="9" s="1"/>
  <c r="OAQ27" i="9" s="1"/>
  <c r="OAS27" i="9" s="1"/>
  <c r="OAU27" i="9" s="1"/>
  <c r="OAW27" i="9" s="1"/>
  <c r="OAY27" i="9" s="1"/>
  <c r="OBA27" i="9" s="1"/>
  <c r="OBC27" i="9" s="1"/>
  <c r="OBE27" i="9" s="1"/>
  <c r="OBG27" i="9" s="1"/>
  <c r="OBI27" i="9" s="1"/>
  <c r="OBK27" i="9" s="1"/>
  <c r="OBM27" i="9" s="1"/>
  <c r="OBO27" i="9" s="1"/>
  <c r="OBQ27" i="9" s="1"/>
  <c r="OBS27" i="9" s="1"/>
  <c r="OBU27" i="9" s="1"/>
  <c r="OBW27" i="9" s="1"/>
  <c r="OBY27" i="9" s="1"/>
  <c r="OCA27" i="9" s="1"/>
  <c r="OCC27" i="9" s="1"/>
  <c r="OCE27" i="9" s="1"/>
  <c r="OCG27" i="9" s="1"/>
  <c r="OCI27" i="9" s="1"/>
  <c r="OCK27" i="9" s="1"/>
  <c r="OCM27" i="9" s="1"/>
  <c r="OCO27" i="9" s="1"/>
  <c r="OCQ27" i="9" s="1"/>
  <c r="OCS27" i="9" s="1"/>
  <c r="OCU27" i="9" s="1"/>
  <c r="OCW27" i="9" s="1"/>
  <c r="OCY27" i="9" s="1"/>
  <c r="ODA27" i="9" s="1"/>
  <c r="ODC27" i="9" s="1"/>
  <c r="ODE27" i="9" s="1"/>
  <c r="ODG27" i="9" s="1"/>
  <c r="ODI27" i="9" s="1"/>
  <c r="ODK27" i="9" s="1"/>
  <c r="ODM27" i="9" s="1"/>
  <c r="ODO27" i="9" s="1"/>
  <c r="ODQ27" i="9" s="1"/>
  <c r="ODS27" i="9" s="1"/>
  <c r="ODU27" i="9" s="1"/>
  <c r="ODW27" i="9" s="1"/>
  <c r="ODY27" i="9" s="1"/>
  <c r="OEA27" i="9" s="1"/>
  <c r="OEC27" i="9" s="1"/>
  <c r="OEE27" i="9" s="1"/>
  <c r="OEG27" i="9" s="1"/>
  <c r="OEI27" i="9" s="1"/>
  <c r="OEK27" i="9" s="1"/>
  <c r="OEM27" i="9" s="1"/>
  <c r="OEO27" i="9" s="1"/>
  <c r="OEQ27" i="9" s="1"/>
  <c r="OES27" i="9" s="1"/>
  <c r="OEU27" i="9" s="1"/>
  <c r="OEW27" i="9" s="1"/>
  <c r="OEY27" i="9" s="1"/>
  <c r="OFA27" i="9" s="1"/>
  <c r="OFC27" i="9" s="1"/>
  <c r="OFE27" i="9" s="1"/>
  <c r="OFG27" i="9" s="1"/>
  <c r="OFI27" i="9" s="1"/>
  <c r="OFK27" i="9" s="1"/>
  <c r="OFM27" i="9" s="1"/>
  <c r="OFO27" i="9" s="1"/>
  <c r="OFQ27" i="9" s="1"/>
  <c r="OFS27" i="9" s="1"/>
  <c r="OFU27" i="9" s="1"/>
  <c r="OFW27" i="9" s="1"/>
  <c r="OFY27" i="9" s="1"/>
  <c r="OGA27" i="9" s="1"/>
  <c r="OGC27" i="9" s="1"/>
  <c r="OGE27" i="9" s="1"/>
  <c r="OGG27" i="9" s="1"/>
  <c r="OGI27" i="9" s="1"/>
  <c r="OGK27" i="9" s="1"/>
  <c r="OGM27" i="9" s="1"/>
  <c r="OGO27" i="9" s="1"/>
  <c r="OGQ27" i="9" s="1"/>
  <c r="OGS27" i="9" s="1"/>
  <c r="OGU27" i="9" s="1"/>
  <c r="OGW27" i="9" s="1"/>
  <c r="OGY27" i="9" s="1"/>
  <c r="OHA27" i="9" s="1"/>
  <c r="OHC27" i="9" s="1"/>
  <c r="OHE27" i="9" s="1"/>
  <c r="OHG27" i="9" s="1"/>
  <c r="OHI27" i="9" s="1"/>
  <c r="OHK27" i="9" s="1"/>
  <c r="OHM27" i="9" s="1"/>
  <c r="OHO27" i="9" s="1"/>
  <c r="OHQ27" i="9" s="1"/>
  <c r="OHS27" i="9" s="1"/>
  <c r="OHU27" i="9" s="1"/>
  <c r="OHW27" i="9" s="1"/>
  <c r="OHY27" i="9" s="1"/>
  <c r="OIA27" i="9" s="1"/>
  <c r="OIC27" i="9" s="1"/>
  <c r="OIE27" i="9" s="1"/>
  <c r="OIG27" i="9" s="1"/>
  <c r="OII27" i="9" s="1"/>
  <c r="OIK27" i="9" s="1"/>
  <c r="OIM27" i="9" s="1"/>
  <c r="OIO27" i="9" s="1"/>
  <c r="OIQ27" i="9" s="1"/>
  <c r="OIS27" i="9" s="1"/>
  <c r="OIU27" i="9" s="1"/>
  <c r="OIW27" i="9" s="1"/>
  <c r="OIY27" i="9" s="1"/>
  <c r="OJA27" i="9" s="1"/>
  <c r="OJC27" i="9" s="1"/>
  <c r="OJE27" i="9" s="1"/>
  <c r="OJG27" i="9" s="1"/>
  <c r="OJI27" i="9" s="1"/>
  <c r="OJK27" i="9" s="1"/>
  <c r="OJM27" i="9" s="1"/>
  <c r="OJO27" i="9" s="1"/>
  <c r="OJQ27" i="9" s="1"/>
  <c r="OJS27" i="9" s="1"/>
  <c r="OJU27" i="9" s="1"/>
  <c r="OJW27" i="9" s="1"/>
  <c r="OJY27" i="9" s="1"/>
  <c r="OKA27" i="9" s="1"/>
  <c r="OKC27" i="9" s="1"/>
  <c r="OKE27" i="9" s="1"/>
  <c r="OKG27" i="9" s="1"/>
  <c r="OKI27" i="9" s="1"/>
  <c r="OKK27" i="9" s="1"/>
  <c r="OKM27" i="9" s="1"/>
  <c r="OKO27" i="9" s="1"/>
  <c r="OKQ27" i="9" s="1"/>
  <c r="OKS27" i="9" s="1"/>
  <c r="OKU27" i="9" s="1"/>
  <c r="OKW27" i="9" s="1"/>
  <c r="OKY27" i="9" s="1"/>
  <c r="OLA27" i="9" s="1"/>
  <c r="OLC27" i="9" s="1"/>
  <c r="OLE27" i="9" s="1"/>
  <c r="OLG27" i="9" s="1"/>
  <c r="OLI27" i="9" s="1"/>
  <c r="OLK27" i="9" s="1"/>
  <c r="OLM27" i="9" s="1"/>
  <c r="OLO27" i="9" s="1"/>
  <c r="OLQ27" i="9" s="1"/>
  <c r="OLS27" i="9" s="1"/>
  <c r="OLU27" i="9" s="1"/>
  <c r="OLW27" i="9" s="1"/>
  <c r="OLY27" i="9" s="1"/>
  <c r="OMA27" i="9" s="1"/>
  <c r="OMC27" i="9" s="1"/>
  <c r="OME27" i="9" s="1"/>
  <c r="OMG27" i="9" s="1"/>
  <c r="OMI27" i="9" s="1"/>
  <c r="OMK27" i="9" s="1"/>
  <c r="OMM27" i="9" s="1"/>
  <c r="OMO27" i="9" s="1"/>
  <c r="OMQ27" i="9" s="1"/>
  <c r="OMS27" i="9" s="1"/>
  <c r="OMU27" i="9" s="1"/>
  <c r="OMW27" i="9" s="1"/>
  <c r="OMY27" i="9" s="1"/>
  <c r="ONA27" i="9" s="1"/>
  <c r="ONC27" i="9" s="1"/>
  <c r="ONE27" i="9" s="1"/>
  <c r="ONG27" i="9" s="1"/>
  <c r="ONI27" i="9" s="1"/>
  <c r="ONK27" i="9" s="1"/>
  <c r="ONM27" i="9" s="1"/>
  <c r="ONO27" i="9" s="1"/>
  <c r="ONQ27" i="9" s="1"/>
  <c r="ONS27" i="9" s="1"/>
  <c r="ONU27" i="9" s="1"/>
  <c r="ONW27" i="9" s="1"/>
  <c r="ONY27" i="9" s="1"/>
  <c r="OOA27" i="9" s="1"/>
  <c r="OOC27" i="9" s="1"/>
  <c r="OOE27" i="9" s="1"/>
  <c r="OOG27" i="9" s="1"/>
  <c r="OOI27" i="9" s="1"/>
  <c r="OOK27" i="9" s="1"/>
  <c r="OOM27" i="9" s="1"/>
  <c r="OOO27" i="9" s="1"/>
  <c r="OOQ27" i="9" s="1"/>
  <c r="OOS27" i="9" s="1"/>
  <c r="OOU27" i="9" s="1"/>
  <c r="OOW27" i="9" s="1"/>
  <c r="OOY27" i="9" s="1"/>
  <c r="OPA27" i="9" s="1"/>
  <c r="OPC27" i="9" s="1"/>
  <c r="OPE27" i="9" s="1"/>
  <c r="OPG27" i="9" s="1"/>
  <c r="OPI27" i="9" s="1"/>
  <c r="OPK27" i="9" s="1"/>
  <c r="OPM27" i="9" s="1"/>
  <c r="OPO27" i="9" s="1"/>
  <c r="OPQ27" i="9" s="1"/>
  <c r="OPS27" i="9" s="1"/>
  <c r="OPU27" i="9" s="1"/>
  <c r="OPW27" i="9" s="1"/>
  <c r="OPY27" i="9" s="1"/>
  <c r="OQA27" i="9" s="1"/>
  <c r="OQC27" i="9" s="1"/>
  <c r="OQE27" i="9" s="1"/>
  <c r="OQG27" i="9" s="1"/>
  <c r="OQI27" i="9" s="1"/>
  <c r="OQK27" i="9" s="1"/>
  <c r="OQM27" i="9" s="1"/>
  <c r="OQO27" i="9" s="1"/>
  <c r="OQQ27" i="9" s="1"/>
  <c r="OQS27" i="9" s="1"/>
  <c r="OQU27" i="9" s="1"/>
  <c r="OQW27" i="9" s="1"/>
  <c r="OQY27" i="9" s="1"/>
  <c r="ORA27" i="9" s="1"/>
  <c r="ORC27" i="9" s="1"/>
  <c r="ORE27" i="9" s="1"/>
  <c r="ORG27" i="9" s="1"/>
  <c r="ORI27" i="9" s="1"/>
  <c r="ORK27" i="9" s="1"/>
  <c r="ORM27" i="9" s="1"/>
  <c r="ORO27" i="9" s="1"/>
  <c r="ORQ27" i="9" s="1"/>
  <c r="ORS27" i="9" s="1"/>
  <c r="ORU27" i="9" s="1"/>
  <c r="ORW27" i="9" s="1"/>
  <c r="ORY27" i="9" s="1"/>
  <c r="OSA27" i="9" s="1"/>
  <c r="OSC27" i="9" s="1"/>
  <c r="OSE27" i="9" s="1"/>
  <c r="OSG27" i="9" s="1"/>
  <c r="OSI27" i="9" s="1"/>
  <c r="OSK27" i="9" s="1"/>
  <c r="OSM27" i="9" s="1"/>
  <c r="OSO27" i="9" s="1"/>
  <c r="OSQ27" i="9" s="1"/>
  <c r="OSS27" i="9" s="1"/>
  <c r="OSU27" i="9" s="1"/>
  <c r="OSW27" i="9" s="1"/>
  <c r="OSY27" i="9" s="1"/>
  <c r="OTA27" i="9" s="1"/>
  <c r="OTC27" i="9" s="1"/>
  <c r="OTE27" i="9" s="1"/>
  <c r="OTG27" i="9" s="1"/>
  <c r="OTI27" i="9" s="1"/>
  <c r="OTK27" i="9" s="1"/>
  <c r="OTM27" i="9" s="1"/>
  <c r="OTO27" i="9" s="1"/>
  <c r="OTQ27" i="9" s="1"/>
  <c r="OTS27" i="9" s="1"/>
  <c r="OTU27" i="9" s="1"/>
  <c r="OTW27" i="9" s="1"/>
  <c r="OTY27" i="9" s="1"/>
  <c r="OUA27" i="9" s="1"/>
  <c r="OUC27" i="9" s="1"/>
  <c r="OUE27" i="9" s="1"/>
  <c r="OUG27" i="9" s="1"/>
  <c r="OUI27" i="9" s="1"/>
  <c r="OUK27" i="9" s="1"/>
  <c r="OUM27" i="9" s="1"/>
  <c r="OUO27" i="9" s="1"/>
  <c r="OUQ27" i="9" s="1"/>
  <c r="OUS27" i="9" s="1"/>
  <c r="OUU27" i="9" s="1"/>
  <c r="OUW27" i="9" s="1"/>
  <c r="OUY27" i="9" s="1"/>
  <c r="OVA27" i="9" s="1"/>
  <c r="OVC27" i="9" s="1"/>
  <c r="OVE27" i="9" s="1"/>
  <c r="OVG27" i="9" s="1"/>
  <c r="OVI27" i="9" s="1"/>
  <c r="OVK27" i="9" s="1"/>
  <c r="OVM27" i="9" s="1"/>
  <c r="OVO27" i="9" s="1"/>
  <c r="OVQ27" i="9" s="1"/>
  <c r="OVS27" i="9" s="1"/>
  <c r="OVU27" i="9" s="1"/>
  <c r="OVW27" i="9" s="1"/>
  <c r="OVY27" i="9" s="1"/>
  <c r="OWA27" i="9" s="1"/>
  <c r="OWC27" i="9" s="1"/>
  <c r="OWE27" i="9" s="1"/>
  <c r="OWG27" i="9" s="1"/>
  <c r="OWI27" i="9" s="1"/>
  <c r="OWK27" i="9" s="1"/>
  <c r="OWM27" i="9" s="1"/>
  <c r="OWO27" i="9" s="1"/>
  <c r="OWQ27" i="9" s="1"/>
  <c r="OWS27" i="9" s="1"/>
  <c r="OWU27" i="9" s="1"/>
  <c r="OWW27" i="9" s="1"/>
  <c r="OWY27" i="9" s="1"/>
  <c r="OXA27" i="9" s="1"/>
  <c r="OXC27" i="9" s="1"/>
  <c r="OXE27" i="9" s="1"/>
  <c r="OXG27" i="9" s="1"/>
  <c r="OXI27" i="9" s="1"/>
  <c r="OXK27" i="9" s="1"/>
  <c r="OXM27" i="9" s="1"/>
  <c r="OXO27" i="9" s="1"/>
  <c r="OXQ27" i="9" s="1"/>
  <c r="OXS27" i="9" s="1"/>
  <c r="OXU27" i="9" s="1"/>
  <c r="OXW27" i="9" s="1"/>
  <c r="OXY27" i="9" s="1"/>
  <c r="OYA27" i="9" s="1"/>
  <c r="OYC27" i="9" s="1"/>
  <c r="OYE27" i="9" s="1"/>
  <c r="OYG27" i="9" s="1"/>
  <c r="OYI27" i="9" s="1"/>
  <c r="OYK27" i="9" s="1"/>
  <c r="OYM27" i="9" s="1"/>
  <c r="OYO27" i="9" s="1"/>
  <c r="OYQ27" i="9" s="1"/>
  <c r="OYS27" i="9" s="1"/>
  <c r="OYU27" i="9" s="1"/>
  <c r="OYW27" i="9" s="1"/>
  <c r="OYY27" i="9" s="1"/>
  <c r="OZA27" i="9" s="1"/>
  <c r="OZC27" i="9" s="1"/>
  <c r="OZE27" i="9" s="1"/>
  <c r="OZG27" i="9" s="1"/>
  <c r="OZI27" i="9" s="1"/>
  <c r="OZK27" i="9" s="1"/>
  <c r="OZM27" i="9" s="1"/>
  <c r="OZO27" i="9" s="1"/>
  <c r="OZQ27" i="9" s="1"/>
  <c r="OZS27" i="9" s="1"/>
  <c r="OZU27" i="9" s="1"/>
  <c r="OZW27" i="9" s="1"/>
  <c r="OZY27" i="9" s="1"/>
  <c r="PAA27" i="9" s="1"/>
  <c r="PAC27" i="9" s="1"/>
  <c r="PAE27" i="9" s="1"/>
  <c r="PAG27" i="9" s="1"/>
  <c r="PAI27" i="9" s="1"/>
  <c r="PAK27" i="9" s="1"/>
  <c r="PAM27" i="9" s="1"/>
  <c r="PAO27" i="9" s="1"/>
  <c r="PAQ27" i="9" s="1"/>
  <c r="PAS27" i="9" s="1"/>
  <c r="PAU27" i="9" s="1"/>
  <c r="PAW27" i="9" s="1"/>
  <c r="PAY27" i="9" s="1"/>
  <c r="PBA27" i="9" s="1"/>
  <c r="PBC27" i="9" s="1"/>
  <c r="PBE27" i="9" s="1"/>
  <c r="PBG27" i="9" s="1"/>
  <c r="PBI27" i="9" s="1"/>
  <c r="PBK27" i="9" s="1"/>
  <c r="PBM27" i="9" s="1"/>
  <c r="PBO27" i="9" s="1"/>
  <c r="PBQ27" i="9" s="1"/>
  <c r="PBS27" i="9" s="1"/>
  <c r="PBU27" i="9" s="1"/>
  <c r="PBW27" i="9" s="1"/>
  <c r="PBY27" i="9" s="1"/>
  <c r="PCA27" i="9" s="1"/>
  <c r="PCC27" i="9" s="1"/>
  <c r="PCE27" i="9" s="1"/>
  <c r="PCG27" i="9" s="1"/>
  <c r="PCI27" i="9" s="1"/>
  <c r="PCK27" i="9" s="1"/>
  <c r="PCM27" i="9" s="1"/>
  <c r="PCO27" i="9" s="1"/>
  <c r="PCQ27" i="9" s="1"/>
  <c r="PCS27" i="9" s="1"/>
  <c r="PCU27" i="9" s="1"/>
  <c r="PCW27" i="9" s="1"/>
  <c r="PCY27" i="9" s="1"/>
  <c r="PDA27" i="9" s="1"/>
  <c r="PDC27" i="9" s="1"/>
  <c r="PDE27" i="9" s="1"/>
  <c r="PDG27" i="9" s="1"/>
  <c r="PDI27" i="9" s="1"/>
  <c r="PDK27" i="9" s="1"/>
  <c r="PDM27" i="9" s="1"/>
  <c r="PDO27" i="9" s="1"/>
  <c r="PDQ27" i="9" s="1"/>
  <c r="PDS27" i="9" s="1"/>
  <c r="PDU27" i="9" s="1"/>
  <c r="PDW27" i="9" s="1"/>
  <c r="PDY27" i="9" s="1"/>
  <c r="PEA27" i="9" s="1"/>
  <c r="PEC27" i="9" s="1"/>
  <c r="PEE27" i="9" s="1"/>
  <c r="PEG27" i="9" s="1"/>
  <c r="PEI27" i="9" s="1"/>
  <c r="PEK27" i="9" s="1"/>
  <c r="PEM27" i="9" s="1"/>
  <c r="PEO27" i="9" s="1"/>
  <c r="PEQ27" i="9" s="1"/>
  <c r="PES27" i="9" s="1"/>
  <c r="PEU27" i="9" s="1"/>
  <c r="PEW27" i="9" s="1"/>
  <c r="PEY27" i="9" s="1"/>
  <c r="PFA27" i="9" s="1"/>
  <c r="PFC27" i="9" s="1"/>
  <c r="PFE27" i="9" s="1"/>
  <c r="PFG27" i="9" s="1"/>
  <c r="PFI27" i="9" s="1"/>
  <c r="PFK27" i="9" s="1"/>
  <c r="PFM27" i="9" s="1"/>
  <c r="PFO27" i="9" s="1"/>
  <c r="PFQ27" i="9" s="1"/>
  <c r="PFS27" i="9" s="1"/>
  <c r="PFU27" i="9" s="1"/>
  <c r="PFW27" i="9" s="1"/>
  <c r="PFY27" i="9" s="1"/>
  <c r="PGA27" i="9" s="1"/>
  <c r="PGC27" i="9" s="1"/>
  <c r="PGE27" i="9" s="1"/>
  <c r="PGG27" i="9" s="1"/>
  <c r="PGI27" i="9" s="1"/>
  <c r="PGK27" i="9" s="1"/>
  <c r="PGM27" i="9" s="1"/>
  <c r="PGO27" i="9" s="1"/>
  <c r="PGQ27" i="9" s="1"/>
  <c r="PGS27" i="9" s="1"/>
  <c r="PGU27" i="9" s="1"/>
  <c r="PGW27" i="9" s="1"/>
  <c r="PGY27" i="9" s="1"/>
  <c r="PHA27" i="9" s="1"/>
  <c r="PHC27" i="9" s="1"/>
  <c r="PHE27" i="9" s="1"/>
  <c r="PHG27" i="9" s="1"/>
  <c r="PHI27" i="9" s="1"/>
  <c r="PHK27" i="9" s="1"/>
  <c r="PHM27" i="9" s="1"/>
  <c r="PHO27" i="9" s="1"/>
  <c r="PHQ27" i="9" s="1"/>
  <c r="PHS27" i="9" s="1"/>
  <c r="PHU27" i="9" s="1"/>
  <c r="PHW27" i="9" s="1"/>
  <c r="PHY27" i="9" s="1"/>
  <c r="PIA27" i="9" s="1"/>
  <c r="PIC27" i="9" s="1"/>
  <c r="PIE27" i="9" s="1"/>
  <c r="PIG27" i="9" s="1"/>
  <c r="PII27" i="9" s="1"/>
  <c r="PIK27" i="9" s="1"/>
  <c r="PIM27" i="9" s="1"/>
  <c r="PIO27" i="9" s="1"/>
  <c r="PIQ27" i="9" s="1"/>
  <c r="PIS27" i="9" s="1"/>
  <c r="PIU27" i="9" s="1"/>
  <c r="PIW27" i="9" s="1"/>
  <c r="PIY27" i="9" s="1"/>
  <c r="PJA27" i="9" s="1"/>
  <c r="PJC27" i="9" s="1"/>
  <c r="PJE27" i="9" s="1"/>
  <c r="PJG27" i="9" s="1"/>
  <c r="PJI27" i="9" s="1"/>
  <c r="PJK27" i="9" s="1"/>
  <c r="PJM27" i="9" s="1"/>
  <c r="PJO27" i="9" s="1"/>
  <c r="PJQ27" i="9" s="1"/>
  <c r="PJS27" i="9" s="1"/>
  <c r="PJU27" i="9" s="1"/>
  <c r="PJW27" i="9" s="1"/>
  <c r="PJY27" i="9" s="1"/>
  <c r="PKA27" i="9" s="1"/>
  <c r="PKC27" i="9" s="1"/>
  <c r="PKE27" i="9" s="1"/>
  <c r="PKG27" i="9" s="1"/>
  <c r="PKI27" i="9" s="1"/>
  <c r="PKK27" i="9" s="1"/>
  <c r="PKM27" i="9" s="1"/>
  <c r="PKO27" i="9" s="1"/>
  <c r="PKQ27" i="9" s="1"/>
  <c r="PKS27" i="9" s="1"/>
  <c r="PKU27" i="9" s="1"/>
  <c r="PKW27" i="9" s="1"/>
  <c r="PKY27" i="9" s="1"/>
  <c r="PLA27" i="9" s="1"/>
  <c r="PLC27" i="9" s="1"/>
  <c r="PLE27" i="9" s="1"/>
  <c r="PLG27" i="9" s="1"/>
  <c r="PLI27" i="9" s="1"/>
  <c r="PLK27" i="9" s="1"/>
  <c r="PLM27" i="9" s="1"/>
  <c r="PLO27" i="9" s="1"/>
  <c r="PLQ27" i="9" s="1"/>
  <c r="PLS27" i="9" s="1"/>
  <c r="PLU27" i="9" s="1"/>
  <c r="PLW27" i="9" s="1"/>
  <c r="PLY27" i="9" s="1"/>
  <c r="PMA27" i="9" s="1"/>
  <c r="PMC27" i="9" s="1"/>
  <c r="PME27" i="9" s="1"/>
  <c r="PMG27" i="9" s="1"/>
  <c r="PMI27" i="9" s="1"/>
  <c r="PMK27" i="9" s="1"/>
  <c r="PMM27" i="9" s="1"/>
  <c r="PMO27" i="9" s="1"/>
  <c r="PMQ27" i="9" s="1"/>
  <c r="PMS27" i="9" s="1"/>
  <c r="PMU27" i="9" s="1"/>
  <c r="PMW27" i="9" s="1"/>
  <c r="PMY27" i="9" s="1"/>
  <c r="PNA27" i="9" s="1"/>
  <c r="PNC27" i="9" s="1"/>
  <c r="PNE27" i="9" s="1"/>
  <c r="PNG27" i="9" s="1"/>
  <c r="PNI27" i="9" s="1"/>
  <c r="PNK27" i="9" s="1"/>
  <c r="PNM27" i="9" s="1"/>
  <c r="PNO27" i="9" s="1"/>
  <c r="PNQ27" i="9" s="1"/>
  <c r="PNS27" i="9" s="1"/>
  <c r="PNU27" i="9" s="1"/>
  <c r="PNW27" i="9" s="1"/>
  <c r="PNY27" i="9" s="1"/>
  <c r="POA27" i="9" s="1"/>
  <c r="POC27" i="9" s="1"/>
  <c r="POE27" i="9" s="1"/>
  <c r="POG27" i="9" s="1"/>
  <c r="POI27" i="9" s="1"/>
  <c r="POK27" i="9" s="1"/>
  <c r="POM27" i="9" s="1"/>
  <c r="POO27" i="9" s="1"/>
  <c r="POQ27" i="9" s="1"/>
  <c r="POS27" i="9" s="1"/>
  <c r="POU27" i="9" s="1"/>
  <c r="POW27" i="9" s="1"/>
  <c r="POY27" i="9" s="1"/>
  <c r="PPA27" i="9" s="1"/>
  <c r="PPC27" i="9" s="1"/>
  <c r="PPE27" i="9" s="1"/>
  <c r="PPG27" i="9" s="1"/>
  <c r="PPI27" i="9" s="1"/>
  <c r="PPK27" i="9" s="1"/>
  <c r="PPM27" i="9" s="1"/>
  <c r="PPO27" i="9" s="1"/>
  <c r="PPQ27" i="9" s="1"/>
  <c r="PPS27" i="9" s="1"/>
  <c r="PPU27" i="9" s="1"/>
  <c r="PPW27" i="9" s="1"/>
  <c r="PPY27" i="9" s="1"/>
  <c r="PQA27" i="9" s="1"/>
  <c r="PQC27" i="9" s="1"/>
  <c r="PQE27" i="9" s="1"/>
  <c r="PQG27" i="9" s="1"/>
  <c r="PQI27" i="9" s="1"/>
  <c r="PQK27" i="9" s="1"/>
  <c r="PQM27" i="9" s="1"/>
  <c r="PQO27" i="9" s="1"/>
  <c r="PQQ27" i="9" s="1"/>
  <c r="PQS27" i="9" s="1"/>
  <c r="PQU27" i="9" s="1"/>
  <c r="PQW27" i="9" s="1"/>
  <c r="PQY27" i="9" s="1"/>
  <c r="PRA27" i="9" s="1"/>
  <c r="PRC27" i="9" s="1"/>
  <c r="PRE27" i="9" s="1"/>
  <c r="PRG27" i="9" s="1"/>
  <c r="PRI27" i="9" s="1"/>
  <c r="PRK27" i="9" s="1"/>
  <c r="PRM27" i="9" s="1"/>
  <c r="PRO27" i="9" s="1"/>
  <c r="PRQ27" i="9" s="1"/>
  <c r="PRS27" i="9" s="1"/>
  <c r="PRU27" i="9" s="1"/>
  <c r="PRW27" i="9" s="1"/>
  <c r="PRY27" i="9" s="1"/>
  <c r="PSA27" i="9" s="1"/>
  <c r="PSC27" i="9" s="1"/>
  <c r="PSE27" i="9" s="1"/>
  <c r="PSG27" i="9" s="1"/>
  <c r="PSI27" i="9" s="1"/>
  <c r="PSK27" i="9" s="1"/>
  <c r="PSM27" i="9" s="1"/>
  <c r="PSO27" i="9" s="1"/>
  <c r="PSQ27" i="9" s="1"/>
  <c r="PSS27" i="9" s="1"/>
  <c r="PSU27" i="9" s="1"/>
  <c r="PSW27" i="9" s="1"/>
  <c r="PSY27" i="9" s="1"/>
  <c r="PTA27" i="9" s="1"/>
  <c r="PTC27" i="9" s="1"/>
  <c r="PTE27" i="9" s="1"/>
  <c r="PTG27" i="9" s="1"/>
  <c r="PTI27" i="9" s="1"/>
  <c r="PTK27" i="9" s="1"/>
  <c r="PTM27" i="9" s="1"/>
  <c r="PTO27" i="9" s="1"/>
  <c r="PTQ27" i="9" s="1"/>
  <c r="PTS27" i="9" s="1"/>
  <c r="PTU27" i="9" s="1"/>
  <c r="PTW27" i="9" s="1"/>
  <c r="PTY27" i="9" s="1"/>
  <c r="PUA27" i="9" s="1"/>
  <c r="PUC27" i="9" s="1"/>
  <c r="PUE27" i="9" s="1"/>
  <c r="PUG27" i="9" s="1"/>
  <c r="PUI27" i="9" s="1"/>
  <c r="PUK27" i="9" s="1"/>
  <c r="PUM27" i="9" s="1"/>
  <c r="PUO27" i="9" s="1"/>
  <c r="PUQ27" i="9" s="1"/>
  <c r="PUS27" i="9" s="1"/>
  <c r="PUU27" i="9" s="1"/>
  <c r="PUW27" i="9" s="1"/>
  <c r="PUY27" i="9" s="1"/>
  <c r="PVA27" i="9" s="1"/>
  <c r="PVC27" i="9" s="1"/>
  <c r="PVE27" i="9" s="1"/>
  <c r="PVG27" i="9" s="1"/>
  <c r="PVI27" i="9" s="1"/>
  <c r="PVK27" i="9" s="1"/>
  <c r="PVM27" i="9" s="1"/>
  <c r="PVO27" i="9" s="1"/>
  <c r="PVQ27" i="9" s="1"/>
  <c r="PVS27" i="9" s="1"/>
  <c r="PVU27" i="9" s="1"/>
  <c r="PVW27" i="9" s="1"/>
  <c r="PVY27" i="9" s="1"/>
  <c r="PWA27" i="9" s="1"/>
  <c r="PWC27" i="9" s="1"/>
  <c r="PWE27" i="9" s="1"/>
  <c r="PWG27" i="9" s="1"/>
  <c r="PWI27" i="9" s="1"/>
  <c r="PWK27" i="9" s="1"/>
  <c r="PWM27" i="9" s="1"/>
  <c r="PWO27" i="9" s="1"/>
  <c r="PWQ27" i="9" s="1"/>
  <c r="PWS27" i="9" s="1"/>
  <c r="PWU27" i="9" s="1"/>
  <c r="PWW27" i="9" s="1"/>
  <c r="PWY27" i="9" s="1"/>
  <c r="PXA27" i="9" s="1"/>
  <c r="PXC27" i="9" s="1"/>
  <c r="PXE27" i="9" s="1"/>
  <c r="PXG27" i="9" s="1"/>
  <c r="PXI27" i="9" s="1"/>
  <c r="PXK27" i="9" s="1"/>
  <c r="PXM27" i="9" s="1"/>
  <c r="PXO27" i="9" s="1"/>
  <c r="PXQ27" i="9" s="1"/>
  <c r="PXS27" i="9" s="1"/>
  <c r="PXU27" i="9" s="1"/>
  <c r="PXW27" i="9" s="1"/>
  <c r="PXY27" i="9" s="1"/>
  <c r="PYA27" i="9" s="1"/>
  <c r="PYC27" i="9" s="1"/>
  <c r="PYE27" i="9" s="1"/>
  <c r="PYG27" i="9" s="1"/>
  <c r="PYI27" i="9" s="1"/>
  <c r="PYK27" i="9" s="1"/>
  <c r="PYM27" i="9" s="1"/>
  <c r="PYO27" i="9" s="1"/>
  <c r="PYQ27" i="9" s="1"/>
  <c r="PYS27" i="9" s="1"/>
  <c r="PYU27" i="9" s="1"/>
  <c r="PYW27" i="9" s="1"/>
  <c r="PYY27" i="9" s="1"/>
  <c r="PZA27" i="9" s="1"/>
  <c r="PZC27" i="9" s="1"/>
  <c r="PZE27" i="9" s="1"/>
  <c r="PZG27" i="9" s="1"/>
  <c r="PZI27" i="9" s="1"/>
  <c r="PZK27" i="9" s="1"/>
  <c r="PZM27" i="9" s="1"/>
  <c r="PZO27" i="9" s="1"/>
  <c r="PZQ27" i="9" s="1"/>
  <c r="PZS27" i="9" s="1"/>
  <c r="PZU27" i="9" s="1"/>
  <c r="PZW27" i="9" s="1"/>
  <c r="PZY27" i="9" s="1"/>
  <c r="QAA27" i="9" s="1"/>
  <c r="QAC27" i="9" s="1"/>
  <c r="QAE27" i="9" s="1"/>
  <c r="QAG27" i="9" s="1"/>
  <c r="QAI27" i="9" s="1"/>
  <c r="QAK27" i="9" s="1"/>
  <c r="QAM27" i="9" s="1"/>
  <c r="QAO27" i="9" s="1"/>
  <c r="QAQ27" i="9" s="1"/>
  <c r="QAS27" i="9" s="1"/>
  <c r="QAU27" i="9" s="1"/>
  <c r="QAW27" i="9" s="1"/>
  <c r="QAY27" i="9" s="1"/>
  <c r="QBA27" i="9" s="1"/>
  <c r="QBC27" i="9" s="1"/>
  <c r="QBE27" i="9" s="1"/>
  <c r="QBG27" i="9" s="1"/>
  <c r="QBI27" i="9" s="1"/>
  <c r="QBK27" i="9" s="1"/>
  <c r="QBM27" i="9" s="1"/>
  <c r="QBO27" i="9" s="1"/>
  <c r="QBQ27" i="9" s="1"/>
  <c r="QBS27" i="9" s="1"/>
  <c r="QBU27" i="9" s="1"/>
  <c r="QBW27" i="9" s="1"/>
  <c r="QBY27" i="9" s="1"/>
  <c r="QCA27" i="9" s="1"/>
  <c r="QCC27" i="9" s="1"/>
  <c r="QCE27" i="9" s="1"/>
  <c r="QCG27" i="9" s="1"/>
  <c r="QCI27" i="9" s="1"/>
  <c r="QCK27" i="9" s="1"/>
  <c r="QCM27" i="9" s="1"/>
  <c r="QCO27" i="9" s="1"/>
  <c r="QCQ27" i="9" s="1"/>
  <c r="QCS27" i="9" s="1"/>
  <c r="QCU27" i="9" s="1"/>
  <c r="QCW27" i="9" s="1"/>
  <c r="QCY27" i="9" s="1"/>
  <c r="QDA27" i="9" s="1"/>
  <c r="QDC27" i="9" s="1"/>
  <c r="QDE27" i="9" s="1"/>
  <c r="QDG27" i="9" s="1"/>
  <c r="QDI27" i="9" s="1"/>
  <c r="QDK27" i="9" s="1"/>
  <c r="QDM27" i="9" s="1"/>
  <c r="QDO27" i="9" s="1"/>
  <c r="QDQ27" i="9" s="1"/>
  <c r="QDS27" i="9" s="1"/>
  <c r="QDU27" i="9" s="1"/>
  <c r="QDW27" i="9" s="1"/>
  <c r="QDY27" i="9" s="1"/>
  <c r="QEA27" i="9" s="1"/>
  <c r="QEC27" i="9" s="1"/>
  <c r="QEE27" i="9" s="1"/>
  <c r="QEG27" i="9" s="1"/>
  <c r="QEI27" i="9" s="1"/>
  <c r="QEK27" i="9" s="1"/>
  <c r="QEM27" i="9" s="1"/>
  <c r="QEO27" i="9" s="1"/>
  <c r="QEQ27" i="9" s="1"/>
  <c r="QES27" i="9" s="1"/>
  <c r="QEU27" i="9" s="1"/>
  <c r="QEW27" i="9" s="1"/>
  <c r="QEY27" i="9" s="1"/>
  <c r="QFA27" i="9" s="1"/>
  <c r="QFC27" i="9" s="1"/>
  <c r="QFE27" i="9" s="1"/>
  <c r="QFG27" i="9" s="1"/>
  <c r="QFI27" i="9" s="1"/>
  <c r="QFK27" i="9" s="1"/>
  <c r="QFM27" i="9" s="1"/>
  <c r="QFO27" i="9" s="1"/>
  <c r="QFQ27" i="9" s="1"/>
  <c r="QFS27" i="9" s="1"/>
  <c r="QFU27" i="9" s="1"/>
  <c r="QFW27" i="9" s="1"/>
  <c r="QFY27" i="9" s="1"/>
  <c r="QGA27" i="9" s="1"/>
  <c r="QGC27" i="9" s="1"/>
  <c r="QGE27" i="9" s="1"/>
  <c r="QGG27" i="9" s="1"/>
  <c r="QGI27" i="9" s="1"/>
  <c r="QGK27" i="9" s="1"/>
  <c r="QGM27" i="9" s="1"/>
  <c r="QGO27" i="9" s="1"/>
  <c r="QGQ27" i="9" s="1"/>
  <c r="QGS27" i="9" s="1"/>
  <c r="QGU27" i="9" s="1"/>
  <c r="QGW27" i="9" s="1"/>
  <c r="QGY27" i="9" s="1"/>
  <c r="QHA27" i="9" s="1"/>
  <c r="QHC27" i="9" s="1"/>
  <c r="QHE27" i="9" s="1"/>
  <c r="QHG27" i="9" s="1"/>
  <c r="QHI27" i="9" s="1"/>
  <c r="QHK27" i="9" s="1"/>
  <c r="QHM27" i="9" s="1"/>
  <c r="QHO27" i="9" s="1"/>
  <c r="QHQ27" i="9" s="1"/>
  <c r="QHS27" i="9" s="1"/>
  <c r="QHU27" i="9" s="1"/>
  <c r="QHW27" i="9" s="1"/>
  <c r="QHY27" i="9" s="1"/>
  <c r="QIA27" i="9" s="1"/>
  <c r="QIC27" i="9" s="1"/>
  <c r="QIE27" i="9" s="1"/>
  <c r="QIG27" i="9" s="1"/>
  <c r="QII27" i="9" s="1"/>
  <c r="QIK27" i="9" s="1"/>
  <c r="QIM27" i="9" s="1"/>
  <c r="QIO27" i="9" s="1"/>
  <c r="QIQ27" i="9" s="1"/>
  <c r="QIS27" i="9" s="1"/>
  <c r="QIU27" i="9" s="1"/>
  <c r="QIW27" i="9" s="1"/>
  <c r="QIY27" i="9" s="1"/>
  <c r="QJA27" i="9" s="1"/>
  <c r="QJC27" i="9" s="1"/>
  <c r="QJE27" i="9" s="1"/>
  <c r="QJG27" i="9" s="1"/>
  <c r="QJI27" i="9" s="1"/>
  <c r="QJK27" i="9" s="1"/>
  <c r="QJM27" i="9" s="1"/>
  <c r="QJO27" i="9" s="1"/>
  <c r="QJQ27" i="9" s="1"/>
  <c r="QJS27" i="9" s="1"/>
  <c r="QJU27" i="9" s="1"/>
  <c r="QJW27" i="9" s="1"/>
  <c r="QJY27" i="9" s="1"/>
  <c r="QKA27" i="9" s="1"/>
  <c r="QKC27" i="9" s="1"/>
  <c r="QKE27" i="9" s="1"/>
  <c r="QKG27" i="9" s="1"/>
  <c r="QKI27" i="9" s="1"/>
  <c r="QKK27" i="9" s="1"/>
  <c r="QKM27" i="9" s="1"/>
  <c r="QKO27" i="9" s="1"/>
  <c r="QKQ27" i="9" s="1"/>
  <c r="QKS27" i="9" s="1"/>
  <c r="QKU27" i="9" s="1"/>
  <c r="QKW27" i="9" s="1"/>
  <c r="QKY27" i="9" s="1"/>
  <c r="QLA27" i="9" s="1"/>
  <c r="QLC27" i="9" s="1"/>
  <c r="QLE27" i="9" s="1"/>
  <c r="QLG27" i="9" s="1"/>
  <c r="QLI27" i="9" s="1"/>
  <c r="QLK27" i="9" s="1"/>
  <c r="QLM27" i="9" s="1"/>
  <c r="QLO27" i="9" s="1"/>
  <c r="QLQ27" i="9" s="1"/>
  <c r="QLS27" i="9" s="1"/>
  <c r="QLU27" i="9" s="1"/>
  <c r="QLW27" i="9" s="1"/>
  <c r="QLY27" i="9" s="1"/>
  <c r="QMA27" i="9" s="1"/>
  <c r="QMC27" i="9" s="1"/>
  <c r="QME27" i="9" s="1"/>
  <c r="QMG27" i="9" s="1"/>
  <c r="QMI27" i="9" s="1"/>
  <c r="QMK27" i="9" s="1"/>
  <c r="QMM27" i="9" s="1"/>
  <c r="QMO27" i="9" s="1"/>
  <c r="QMQ27" i="9" s="1"/>
  <c r="QMS27" i="9" s="1"/>
  <c r="QMU27" i="9" s="1"/>
  <c r="QMW27" i="9" s="1"/>
  <c r="QMY27" i="9" s="1"/>
  <c r="QNA27" i="9" s="1"/>
  <c r="QNC27" i="9" s="1"/>
  <c r="QNE27" i="9" s="1"/>
  <c r="QNG27" i="9" s="1"/>
  <c r="QNI27" i="9" s="1"/>
  <c r="QNK27" i="9" s="1"/>
  <c r="QNM27" i="9" s="1"/>
  <c r="QNO27" i="9" s="1"/>
  <c r="QNQ27" i="9" s="1"/>
  <c r="QNS27" i="9" s="1"/>
  <c r="QNU27" i="9" s="1"/>
  <c r="QNW27" i="9" s="1"/>
  <c r="QNY27" i="9" s="1"/>
  <c r="QOA27" i="9" s="1"/>
  <c r="QOC27" i="9" s="1"/>
  <c r="QOE27" i="9" s="1"/>
  <c r="QOG27" i="9" s="1"/>
  <c r="QOI27" i="9" s="1"/>
  <c r="QOK27" i="9" s="1"/>
  <c r="QOM27" i="9" s="1"/>
  <c r="QOO27" i="9" s="1"/>
  <c r="QOQ27" i="9" s="1"/>
  <c r="QOS27" i="9" s="1"/>
  <c r="QOU27" i="9" s="1"/>
  <c r="QOW27" i="9" s="1"/>
  <c r="QOY27" i="9" s="1"/>
  <c r="QPA27" i="9" s="1"/>
  <c r="QPC27" i="9" s="1"/>
  <c r="QPE27" i="9" s="1"/>
  <c r="QPG27" i="9" s="1"/>
  <c r="QPI27" i="9" s="1"/>
  <c r="QPK27" i="9" s="1"/>
  <c r="QPM27" i="9" s="1"/>
  <c r="QPO27" i="9" s="1"/>
  <c r="QPQ27" i="9" s="1"/>
  <c r="QPS27" i="9" s="1"/>
  <c r="QPU27" i="9" s="1"/>
  <c r="QPW27" i="9" s="1"/>
  <c r="QPY27" i="9" s="1"/>
  <c r="QQA27" i="9" s="1"/>
  <c r="QQC27" i="9" s="1"/>
  <c r="QQE27" i="9" s="1"/>
  <c r="QQG27" i="9" s="1"/>
  <c r="QQI27" i="9" s="1"/>
  <c r="QQK27" i="9" s="1"/>
  <c r="QQM27" i="9" s="1"/>
  <c r="QQO27" i="9" s="1"/>
  <c r="QQQ27" i="9" s="1"/>
  <c r="QQS27" i="9" s="1"/>
  <c r="QQU27" i="9" s="1"/>
  <c r="QQW27" i="9" s="1"/>
  <c r="QQY27" i="9" s="1"/>
  <c r="QRA27" i="9" s="1"/>
  <c r="QRC27" i="9" s="1"/>
  <c r="QRE27" i="9" s="1"/>
  <c r="QRG27" i="9" s="1"/>
  <c r="QRI27" i="9" s="1"/>
  <c r="QRK27" i="9" s="1"/>
  <c r="QRM27" i="9" s="1"/>
  <c r="QRO27" i="9" s="1"/>
  <c r="QRQ27" i="9" s="1"/>
  <c r="QRS27" i="9" s="1"/>
  <c r="QRU27" i="9" s="1"/>
  <c r="QRW27" i="9" s="1"/>
  <c r="QRY27" i="9" s="1"/>
  <c r="QSA27" i="9" s="1"/>
  <c r="QSC27" i="9" s="1"/>
  <c r="QSE27" i="9" s="1"/>
  <c r="QSG27" i="9" s="1"/>
  <c r="QSI27" i="9" s="1"/>
  <c r="QSK27" i="9" s="1"/>
  <c r="QSM27" i="9" s="1"/>
  <c r="QSO27" i="9" s="1"/>
  <c r="QSQ27" i="9" s="1"/>
  <c r="QSS27" i="9" s="1"/>
  <c r="QSU27" i="9" s="1"/>
  <c r="QSW27" i="9" s="1"/>
  <c r="QSY27" i="9" s="1"/>
  <c r="QTA27" i="9" s="1"/>
  <c r="QTC27" i="9" s="1"/>
  <c r="QTE27" i="9" s="1"/>
  <c r="QTG27" i="9" s="1"/>
  <c r="QTI27" i="9" s="1"/>
  <c r="QTK27" i="9" s="1"/>
  <c r="QTM27" i="9" s="1"/>
  <c r="QTO27" i="9" s="1"/>
  <c r="QTQ27" i="9" s="1"/>
  <c r="QTS27" i="9" s="1"/>
  <c r="QTU27" i="9" s="1"/>
  <c r="QTW27" i="9" s="1"/>
  <c r="QTY27" i="9" s="1"/>
  <c r="QUA27" i="9" s="1"/>
  <c r="QUC27" i="9" s="1"/>
  <c r="QUE27" i="9" s="1"/>
  <c r="QUG27" i="9" s="1"/>
  <c r="QUI27" i="9" s="1"/>
  <c r="QUK27" i="9" s="1"/>
  <c r="QUM27" i="9" s="1"/>
  <c r="QUO27" i="9" s="1"/>
  <c r="QUQ27" i="9" s="1"/>
  <c r="QUS27" i="9" s="1"/>
  <c r="QUU27" i="9" s="1"/>
  <c r="QUW27" i="9" s="1"/>
  <c r="QUY27" i="9" s="1"/>
  <c r="QVA27" i="9" s="1"/>
  <c r="QVC27" i="9" s="1"/>
  <c r="QVE27" i="9" s="1"/>
  <c r="QVG27" i="9" s="1"/>
  <c r="QVI27" i="9" s="1"/>
  <c r="QVK27" i="9" s="1"/>
  <c r="QVM27" i="9" s="1"/>
  <c r="QVO27" i="9" s="1"/>
  <c r="QVQ27" i="9" s="1"/>
  <c r="QVS27" i="9" s="1"/>
  <c r="QVU27" i="9" s="1"/>
  <c r="QVW27" i="9" s="1"/>
  <c r="QVY27" i="9" s="1"/>
  <c r="QWA27" i="9" s="1"/>
  <c r="QWC27" i="9" s="1"/>
  <c r="QWE27" i="9" s="1"/>
  <c r="QWG27" i="9" s="1"/>
  <c r="QWI27" i="9" s="1"/>
  <c r="QWK27" i="9" s="1"/>
  <c r="QWM27" i="9" s="1"/>
  <c r="QWO27" i="9" s="1"/>
  <c r="QWQ27" i="9" s="1"/>
  <c r="QWS27" i="9" s="1"/>
  <c r="QWU27" i="9" s="1"/>
  <c r="QWW27" i="9" s="1"/>
  <c r="QWY27" i="9" s="1"/>
  <c r="QXA27" i="9" s="1"/>
  <c r="QXC27" i="9" s="1"/>
  <c r="QXE27" i="9" s="1"/>
  <c r="QXG27" i="9" s="1"/>
  <c r="QXI27" i="9" s="1"/>
  <c r="QXK27" i="9" s="1"/>
  <c r="QXM27" i="9" s="1"/>
  <c r="QXO27" i="9" s="1"/>
  <c r="QXQ27" i="9" s="1"/>
  <c r="QXS27" i="9" s="1"/>
  <c r="QXU27" i="9" s="1"/>
  <c r="QXW27" i="9" s="1"/>
  <c r="QXY27" i="9" s="1"/>
  <c r="QYA27" i="9" s="1"/>
  <c r="QYC27" i="9" s="1"/>
  <c r="QYE27" i="9" s="1"/>
  <c r="QYG27" i="9" s="1"/>
  <c r="QYI27" i="9" s="1"/>
  <c r="QYK27" i="9" s="1"/>
  <c r="QYM27" i="9" s="1"/>
  <c r="QYO27" i="9" s="1"/>
  <c r="QYQ27" i="9" s="1"/>
  <c r="QYS27" i="9" s="1"/>
  <c r="QYU27" i="9" s="1"/>
  <c r="QYW27" i="9" s="1"/>
  <c r="QYY27" i="9" s="1"/>
  <c r="QZA27" i="9" s="1"/>
  <c r="QZC27" i="9" s="1"/>
  <c r="QZE27" i="9" s="1"/>
  <c r="QZG27" i="9" s="1"/>
  <c r="QZI27" i="9" s="1"/>
  <c r="QZK27" i="9" s="1"/>
  <c r="QZM27" i="9" s="1"/>
  <c r="QZO27" i="9" s="1"/>
  <c r="QZQ27" i="9" s="1"/>
  <c r="QZS27" i="9" s="1"/>
  <c r="QZU27" i="9" s="1"/>
  <c r="QZW27" i="9" s="1"/>
  <c r="QZY27" i="9" s="1"/>
  <c r="RAA27" i="9" s="1"/>
  <c r="RAC27" i="9" s="1"/>
  <c r="RAE27" i="9" s="1"/>
  <c r="RAG27" i="9" s="1"/>
  <c r="RAI27" i="9" s="1"/>
  <c r="RAK27" i="9" s="1"/>
  <c r="RAM27" i="9" s="1"/>
  <c r="RAO27" i="9" s="1"/>
  <c r="RAQ27" i="9" s="1"/>
  <c r="RAS27" i="9" s="1"/>
  <c r="RAU27" i="9" s="1"/>
  <c r="RAW27" i="9" s="1"/>
  <c r="RAY27" i="9" s="1"/>
  <c r="RBA27" i="9" s="1"/>
  <c r="RBC27" i="9" s="1"/>
  <c r="RBE27" i="9" s="1"/>
  <c r="RBG27" i="9" s="1"/>
  <c r="RBI27" i="9" s="1"/>
  <c r="RBK27" i="9" s="1"/>
  <c r="RBM27" i="9" s="1"/>
  <c r="RBO27" i="9" s="1"/>
  <c r="RBQ27" i="9" s="1"/>
  <c r="RBS27" i="9" s="1"/>
  <c r="RBU27" i="9" s="1"/>
  <c r="RBW27" i="9" s="1"/>
  <c r="RBY27" i="9" s="1"/>
  <c r="RCA27" i="9" s="1"/>
  <c r="RCC27" i="9" s="1"/>
  <c r="RCE27" i="9" s="1"/>
  <c r="RCG27" i="9" s="1"/>
  <c r="RCI27" i="9" s="1"/>
  <c r="RCK27" i="9" s="1"/>
  <c r="RCM27" i="9" s="1"/>
  <c r="RCO27" i="9" s="1"/>
  <c r="RCQ27" i="9" s="1"/>
  <c r="RCS27" i="9" s="1"/>
  <c r="RCU27" i="9" s="1"/>
  <c r="RCW27" i="9" s="1"/>
  <c r="RCY27" i="9" s="1"/>
  <c r="RDA27" i="9" s="1"/>
  <c r="RDC27" i="9" s="1"/>
  <c r="RDE27" i="9" s="1"/>
  <c r="RDG27" i="9" s="1"/>
  <c r="RDI27" i="9" s="1"/>
  <c r="RDK27" i="9" s="1"/>
  <c r="RDM27" i="9" s="1"/>
  <c r="RDO27" i="9" s="1"/>
  <c r="RDQ27" i="9" s="1"/>
  <c r="RDS27" i="9" s="1"/>
  <c r="RDU27" i="9" s="1"/>
  <c r="RDW27" i="9" s="1"/>
  <c r="RDY27" i="9" s="1"/>
  <c r="REA27" i="9" s="1"/>
  <c r="REC27" i="9" s="1"/>
  <c r="REE27" i="9" s="1"/>
  <c r="REG27" i="9" s="1"/>
  <c r="REI27" i="9" s="1"/>
  <c r="REK27" i="9" s="1"/>
  <c r="REM27" i="9" s="1"/>
  <c r="REO27" i="9" s="1"/>
  <c r="REQ27" i="9" s="1"/>
  <c r="RES27" i="9" s="1"/>
  <c r="REU27" i="9" s="1"/>
  <c r="REW27" i="9" s="1"/>
  <c r="REY27" i="9" s="1"/>
  <c r="RFA27" i="9" s="1"/>
  <c r="RFC27" i="9" s="1"/>
  <c r="RFE27" i="9" s="1"/>
  <c r="RFG27" i="9" s="1"/>
  <c r="RFI27" i="9" s="1"/>
  <c r="RFK27" i="9" s="1"/>
  <c r="RFM27" i="9" s="1"/>
  <c r="RFO27" i="9" s="1"/>
  <c r="RFQ27" i="9" s="1"/>
  <c r="RFS27" i="9" s="1"/>
  <c r="RFU27" i="9" s="1"/>
  <c r="RFW27" i="9" s="1"/>
  <c r="RFY27" i="9" s="1"/>
  <c r="RGA27" i="9" s="1"/>
  <c r="RGC27" i="9" s="1"/>
  <c r="RGE27" i="9" s="1"/>
  <c r="RGG27" i="9" s="1"/>
  <c r="RGI27" i="9" s="1"/>
  <c r="RGK27" i="9" s="1"/>
  <c r="RGM27" i="9" s="1"/>
  <c r="RGO27" i="9" s="1"/>
  <c r="RGQ27" i="9" s="1"/>
  <c r="RGS27" i="9" s="1"/>
  <c r="RGU27" i="9" s="1"/>
  <c r="RGW27" i="9" s="1"/>
  <c r="RGY27" i="9" s="1"/>
  <c r="RHA27" i="9" s="1"/>
  <c r="RHC27" i="9" s="1"/>
  <c r="RHE27" i="9" s="1"/>
  <c r="RHG27" i="9" s="1"/>
  <c r="RHI27" i="9" s="1"/>
  <c r="RHK27" i="9" s="1"/>
  <c r="RHM27" i="9" s="1"/>
  <c r="RHO27" i="9" s="1"/>
  <c r="RHQ27" i="9" s="1"/>
  <c r="RHS27" i="9" s="1"/>
  <c r="RHU27" i="9" s="1"/>
  <c r="RHW27" i="9" s="1"/>
  <c r="RHY27" i="9" s="1"/>
  <c r="RIA27" i="9" s="1"/>
  <c r="RIC27" i="9" s="1"/>
  <c r="RIE27" i="9" s="1"/>
  <c r="RIG27" i="9" s="1"/>
  <c r="RII27" i="9" s="1"/>
  <c r="RIK27" i="9" s="1"/>
  <c r="RIM27" i="9" s="1"/>
  <c r="RIO27" i="9" s="1"/>
  <c r="RIQ27" i="9" s="1"/>
  <c r="RIS27" i="9" s="1"/>
  <c r="RIU27" i="9" s="1"/>
  <c r="RIW27" i="9" s="1"/>
  <c r="RIY27" i="9" s="1"/>
  <c r="RJA27" i="9" s="1"/>
  <c r="RJC27" i="9" s="1"/>
  <c r="RJE27" i="9" s="1"/>
  <c r="RJG27" i="9" s="1"/>
  <c r="RJI27" i="9" s="1"/>
  <c r="RJK27" i="9" s="1"/>
  <c r="RJM27" i="9" s="1"/>
  <c r="RJO27" i="9" s="1"/>
  <c r="RJQ27" i="9" s="1"/>
  <c r="RJS27" i="9" s="1"/>
  <c r="RJU27" i="9" s="1"/>
  <c r="RJW27" i="9" s="1"/>
  <c r="RJY27" i="9" s="1"/>
  <c r="RKA27" i="9" s="1"/>
  <c r="RKC27" i="9" s="1"/>
  <c r="RKE27" i="9" s="1"/>
  <c r="RKG27" i="9" s="1"/>
  <c r="RKI27" i="9" s="1"/>
  <c r="RKK27" i="9" s="1"/>
  <c r="RKM27" i="9" s="1"/>
  <c r="RKO27" i="9" s="1"/>
  <c r="RKQ27" i="9" s="1"/>
  <c r="RKS27" i="9" s="1"/>
  <c r="RKU27" i="9" s="1"/>
  <c r="RKW27" i="9" s="1"/>
  <c r="RKY27" i="9" s="1"/>
  <c r="RLA27" i="9" s="1"/>
  <c r="RLC27" i="9" s="1"/>
  <c r="RLE27" i="9" s="1"/>
  <c r="RLG27" i="9" s="1"/>
  <c r="RLI27" i="9" s="1"/>
  <c r="RLK27" i="9" s="1"/>
  <c r="RLM27" i="9" s="1"/>
  <c r="RLO27" i="9" s="1"/>
  <c r="RLQ27" i="9" s="1"/>
  <c r="RLS27" i="9" s="1"/>
  <c r="RLU27" i="9" s="1"/>
  <c r="RLW27" i="9" s="1"/>
  <c r="RLY27" i="9" s="1"/>
  <c r="RMA27" i="9" s="1"/>
  <c r="RMC27" i="9" s="1"/>
  <c r="RME27" i="9" s="1"/>
  <c r="RMG27" i="9" s="1"/>
  <c r="RMI27" i="9" s="1"/>
  <c r="RMK27" i="9" s="1"/>
  <c r="RMM27" i="9" s="1"/>
  <c r="RMO27" i="9" s="1"/>
  <c r="RMQ27" i="9" s="1"/>
  <c r="RMS27" i="9" s="1"/>
  <c r="RMU27" i="9" s="1"/>
  <c r="RMW27" i="9" s="1"/>
  <c r="RMY27" i="9" s="1"/>
  <c r="RNA27" i="9" s="1"/>
  <c r="RNC27" i="9" s="1"/>
  <c r="RNE27" i="9" s="1"/>
  <c r="RNG27" i="9" s="1"/>
  <c r="RNI27" i="9" s="1"/>
  <c r="RNK27" i="9" s="1"/>
  <c r="RNM27" i="9" s="1"/>
  <c r="RNO27" i="9" s="1"/>
  <c r="RNQ27" i="9" s="1"/>
  <c r="RNS27" i="9" s="1"/>
  <c r="RNU27" i="9" s="1"/>
  <c r="RNW27" i="9" s="1"/>
  <c r="RNY27" i="9" s="1"/>
  <c r="ROA27" i="9" s="1"/>
  <c r="ROC27" i="9" s="1"/>
  <c r="ROE27" i="9" s="1"/>
  <c r="ROG27" i="9" s="1"/>
  <c r="ROI27" i="9" s="1"/>
  <c r="ROK27" i="9" s="1"/>
  <c r="ROM27" i="9" s="1"/>
  <c r="ROO27" i="9" s="1"/>
  <c r="ROQ27" i="9" s="1"/>
  <c r="ROS27" i="9" s="1"/>
  <c r="ROU27" i="9" s="1"/>
  <c r="ROW27" i="9" s="1"/>
  <c r="ROY27" i="9" s="1"/>
  <c r="RPA27" i="9" s="1"/>
  <c r="RPC27" i="9" s="1"/>
  <c r="RPE27" i="9" s="1"/>
  <c r="RPG27" i="9" s="1"/>
  <c r="RPI27" i="9" s="1"/>
  <c r="RPK27" i="9" s="1"/>
  <c r="RPM27" i="9" s="1"/>
  <c r="RPO27" i="9" s="1"/>
  <c r="RPQ27" i="9" s="1"/>
  <c r="RPS27" i="9" s="1"/>
  <c r="RPU27" i="9" s="1"/>
  <c r="RPW27" i="9" s="1"/>
  <c r="RPY27" i="9" s="1"/>
  <c r="RQA27" i="9" s="1"/>
  <c r="RQC27" i="9" s="1"/>
  <c r="RQE27" i="9" s="1"/>
  <c r="RQG27" i="9" s="1"/>
  <c r="RQI27" i="9" s="1"/>
  <c r="RQK27" i="9" s="1"/>
  <c r="RQM27" i="9" s="1"/>
  <c r="RQO27" i="9" s="1"/>
  <c r="RQQ27" i="9" s="1"/>
  <c r="RQS27" i="9" s="1"/>
  <c r="RQU27" i="9" s="1"/>
  <c r="RQW27" i="9" s="1"/>
  <c r="RQY27" i="9" s="1"/>
  <c r="RRA27" i="9" s="1"/>
  <c r="RRC27" i="9" s="1"/>
  <c r="RRE27" i="9" s="1"/>
  <c r="RRG27" i="9" s="1"/>
  <c r="RRI27" i="9" s="1"/>
  <c r="RRK27" i="9" s="1"/>
  <c r="RRM27" i="9" s="1"/>
  <c r="RRO27" i="9" s="1"/>
  <c r="RRQ27" i="9" s="1"/>
  <c r="RRS27" i="9" s="1"/>
  <c r="RRU27" i="9" s="1"/>
  <c r="RRW27" i="9" s="1"/>
  <c r="RRY27" i="9" s="1"/>
  <c r="RSA27" i="9" s="1"/>
  <c r="RSC27" i="9" s="1"/>
  <c r="RSE27" i="9" s="1"/>
  <c r="RSG27" i="9" s="1"/>
  <c r="RSI27" i="9" s="1"/>
  <c r="RSK27" i="9" s="1"/>
  <c r="RSM27" i="9" s="1"/>
  <c r="RSO27" i="9" s="1"/>
  <c r="RSQ27" i="9" s="1"/>
  <c r="RSS27" i="9" s="1"/>
  <c r="RSU27" i="9" s="1"/>
  <c r="RSW27" i="9" s="1"/>
  <c r="RSY27" i="9" s="1"/>
  <c r="RTA27" i="9" s="1"/>
  <c r="RTC27" i="9" s="1"/>
  <c r="RTE27" i="9" s="1"/>
  <c r="RTG27" i="9" s="1"/>
  <c r="RTI27" i="9" s="1"/>
  <c r="RTK27" i="9" s="1"/>
  <c r="RTM27" i="9" s="1"/>
  <c r="RTO27" i="9" s="1"/>
  <c r="RTQ27" i="9" s="1"/>
  <c r="RTS27" i="9" s="1"/>
  <c r="RTU27" i="9" s="1"/>
  <c r="RTW27" i="9" s="1"/>
  <c r="RTY27" i="9" s="1"/>
  <c r="RUA27" i="9" s="1"/>
  <c r="RUC27" i="9" s="1"/>
  <c r="RUE27" i="9" s="1"/>
  <c r="RUG27" i="9" s="1"/>
  <c r="RUI27" i="9" s="1"/>
  <c r="RUK27" i="9" s="1"/>
  <c r="RUM27" i="9" s="1"/>
  <c r="RUO27" i="9" s="1"/>
  <c r="RUQ27" i="9" s="1"/>
  <c r="RUS27" i="9" s="1"/>
  <c r="RUU27" i="9" s="1"/>
  <c r="RUW27" i="9" s="1"/>
  <c r="RUY27" i="9" s="1"/>
  <c r="RVA27" i="9" s="1"/>
  <c r="RVC27" i="9" s="1"/>
  <c r="RVE27" i="9" s="1"/>
  <c r="RVG27" i="9" s="1"/>
  <c r="RVI27" i="9" s="1"/>
  <c r="RVK27" i="9" s="1"/>
  <c r="RVM27" i="9" s="1"/>
  <c r="RVO27" i="9" s="1"/>
  <c r="RVQ27" i="9" s="1"/>
  <c r="RVS27" i="9" s="1"/>
  <c r="RVU27" i="9" s="1"/>
  <c r="RVW27" i="9" s="1"/>
  <c r="RVY27" i="9" s="1"/>
  <c r="RWA27" i="9" s="1"/>
  <c r="RWC27" i="9" s="1"/>
  <c r="RWE27" i="9" s="1"/>
  <c r="RWG27" i="9" s="1"/>
  <c r="RWI27" i="9" s="1"/>
  <c r="RWK27" i="9" s="1"/>
  <c r="RWM27" i="9" s="1"/>
  <c r="RWO27" i="9" s="1"/>
  <c r="RWQ27" i="9" s="1"/>
  <c r="RWS27" i="9" s="1"/>
  <c r="RWU27" i="9" s="1"/>
  <c r="RWW27" i="9" s="1"/>
  <c r="RWY27" i="9" s="1"/>
  <c r="RXA27" i="9" s="1"/>
  <c r="RXC27" i="9" s="1"/>
  <c r="RXE27" i="9" s="1"/>
  <c r="RXG27" i="9" s="1"/>
  <c r="RXI27" i="9" s="1"/>
  <c r="RXK27" i="9" s="1"/>
  <c r="RXM27" i="9" s="1"/>
  <c r="RXO27" i="9" s="1"/>
  <c r="RXQ27" i="9" s="1"/>
  <c r="RXS27" i="9" s="1"/>
  <c r="RXU27" i="9" s="1"/>
  <c r="RXW27" i="9" s="1"/>
  <c r="RXY27" i="9" s="1"/>
  <c r="RYA27" i="9" s="1"/>
  <c r="RYC27" i="9" s="1"/>
  <c r="RYE27" i="9" s="1"/>
  <c r="RYG27" i="9" s="1"/>
  <c r="RYI27" i="9" s="1"/>
  <c r="RYK27" i="9" s="1"/>
  <c r="RYM27" i="9" s="1"/>
  <c r="RYO27" i="9" s="1"/>
  <c r="RYQ27" i="9" s="1"/>
  <c r="RYS27" i="9" s="1"/>
  <c r="RYU27" i="9" s="1"/>
  <c r="RYW27" i="9" s="1"/>
  <c r="RYY27" i="9" s="1"/>
  <c r="RZA27" i="9" s="1"/>
  <c r="RZC27" i="9" s="1"/>
  <c r="RZE27" i="9" s="1"/>
  <c r="RZG27" i="9" s="1"/>
  <c r="RZI27" i="9" s="1"/>
  <c r="RZK27" i="9" s="1"/>
  <c r="RZM27" i="9" s="1"/>
  <c r="RZO27" i="9" s="1"/>
  <c r="RZQ27" i="9" s="1"/>
  <c r="RZS27" i="9" s="1"/>
  <c r="RZU27" i="9" s="1"/>
  <c r="RZW27" i="9" s="1"/>
  <c r="RZY27" i="9" s="1"/>
  <c r="SAA27" i="9" s="1"/>
  <c r="SAC27" i="9" s="1"/>
  <c r="SAE27" i="9" s="1"/>
  <c r="SAG27" i="9" s="1"/>
  <c r="SAI27" i="9" s="1"/>
  <c r="SAK27" i="9" s="1"/>
  <c r="SAM27" i="9" s="1"/>
  <c r="SAO27" i="9" s="1"/>
  <c r="SAQ27" i="9" s="1"/>
  <c r="SAS27" i="9" s="1"/>
  <c r="SAU27" i="9" s="1"/>
  <c r="SAW27" i="9" s="1"/>
  <c r="SAY27" i="9" s="1"/>
  <c r="SBA27" i="9" s="1"/>
  <c r="SBC27" i="9" s="1"/>
  <c r="SBE27" i="9" s="1"/>
  <c r="SBG27" i="9" s="1"/>
  <c r="SBI27" i="9" s="1"/>
  <c r="SBK27" i="9" s="1"/>
  <c r="SBM27" i="9" s="1"/>
  <c r="SBO27" i="9" s="1"/>
  <c r="SBQ27" i="9" s="1"/>
  <c r="SBS27" i="9" s="1"/>
  <c r="SBU27" i="9" s="1"/>
  <c r="SBW27" i="9" s="1"/>
  <c r="SBY27" i="9" s="1"/>
  <c r="SCA27" i="9" s="1"/>
  <c r="SCC27" i="9" s="1"/>
  <c r="SCE27" i="9" s="1"/>
  <c r="SCG27" i="9" s="1"/>
  <c r="SCI27" i="9" s="1"/>
  <c r="SCK27" i="9" s="1"/>
  <c r="SCM27" i="9" s="1"/>
  <c r="SCO27" i="9" s="1"/>
  <c r="SCQ27" i="9" s="1"/>
  <c r="SCS27" i="9" s="1"/>
  <c r="SCU27" i="9" s="1"/>
  <c r="SCW27" i="9" s="1"/>
  <c r="SCY27" i="9" s="1"/>
  <c r="SDA27" i="9" s="1"/>
  <c r="SDC27" i="9" s="1"/>
  <c r="SDE27" i="9" s="1"/>
  <c r="SDG27" i="9" s="1"/>
  <c r="SDI27" i="9" s="1"/>
  <c r="SDK27" i="9" s="1"/>
  <c r="SDM27" i="9" s="1"/>
  <c r="SDO27" i="9" s="1"/>
  <c r="SDQ27" i="9" s="1"/>
  <c r="SDS27" i="9" s="1"/>
  <c r="SDU27" i="9" s="1"/>
  <c r="SDW27" i="9" s="1"/>
  <c r="SDY27" i="9" s="1"/>
  <c r="SEA27" i="9" s="1"/>
  <c r="SEC27" i="9" s="1"/>
  <c r="SEE27" i="9" s="1"/>
  <c r="SEG27" i="9" s="1"/>
  <c r="SEI27" i="9" s="1"/>
  <c r="SEK27" i="9" s="1"/>
  <c r="SEM27" i="9" s="1"/>
  <c r="SEO27" i="9" s="1"/>
  <c r="SEQ27" i="9" s="1"/>
  <c r="SES27" i="9" s="1"/>
  <c r="SEU27" i="9" s="1"/>
  <c r="SEW27" i="9" s="1"/>
  <c r="SEY27" i="9" s="1"/>
  <c r="SFA27" i="9" s="1"/>
  <c r="SFC27" i="9" s="1"/>
  <c r="SFE27" i="9" s="1"/>
  <c r="SFG27" i="9" s="1"/>
  <c r="SFI27" i="9" s="1"/>
  <c r="SFK27" i="9" s="1"/>
  <c r="SFM27" i="9" s="1"/>
  <c r="SFO27" i="9" s="1"/>
  <c r="SFQ27" i="9" s="1"/>
  <c r="SFS27" i="9" s="1"/>
  <c r="SFU27" i="9" s="1"/>
  <c r="SFW27" i="9" s="1"/>
  <c r="SFY27" i="9" s="1"/>
  <c r="SGA27" i="9" s="1"/>
  <c r="SGC27" i="9" s="1"/>
  <c r="SGE27" i="9" s="1"/>
  <c r="SGG27" i="9" s="1"/>
  <c r="SGI27" i="9" s="1"/>
  <c r="SGK27" i="9" s="1"/>
  <c r="SGM27" i="9" s="1"/>
  <c r="SGO27" i="9" s="1"/>
  <c r="SGQ27" i="9" s="1"/>
  <c r="SGS27" i="9" s="1"/>
  <c r="SGU27" i="9" s="1"/>
  <c r="SGW27" i="9" s="1"/>
  <c r="SGY27" i="9" s="1"/>
  <c r="SHA27" i="9" s="1"/>
  <c r="SHC27" i="9" s="1"/>
  <c r="SHE27" i="9" s="1"/>
  <c r="SHG27" i="9" s="1"/>
  <c r="SHI27" i="9" s="1"/>
  <c r="SHK27" i="9" s="1"/>
  <c r="SHM27" i="9" s="1"/>
  <c r="SHO27" i="9" s="1"/>
  <c r="SHQ27" i="9" s="1"/>
  <c r="SHS27" i="9" s="1"/>
  <c r="SHU27" i="9" s="1"/>
  <c r="SHW27" i="9" s="1"/>
  <c r="SHY27" i="9" s="1"/>
  <c r="SIA27" i="9" s="1"/>
  <c r="SIC27" i="9" s="1"/>
  <c r="SIE27" i="9" s="1"/>
  <c r="SIG27" i="9" s="1"/>
  <c r="SII27" i="9" s="1"/>
  <c r="SIK27" i="9" s="1"/>
  <c r="SIM27" i="9" s="1"/>
  <c r="SIO27" i="9" s="1"/>
  <c r="SIQ27" i="9" s="1"/>
  <c r="SIS27" i="9" s="1"/>
  <c r="SIU27" i="9" s="1"/>
  <c r="SIW27" i="9" s="1"/>
  <c r="SIY27" i="9" s="1"/>
  <c r="SJA27" i="9" s="1"/>
  <c r="SJC27" i="9" s="1"/>
  <c r="SJE27" i="9" s="1"/>
  <c r="SJG27" i="9" s="1"/>
  <c r="SJI27" i="9" s="1"/>
  <c r="SJK27" i="9" s="1"/>
  <c r="SJM27" i="9" s="1"/>
  <c r="SJO27" i="9" s="1"/>
  <c r="SJQ27" i="9" s="1"/>
  <c r="SJS27" i="9" s="1"/>
  <c r="SJU27" i="9" s="1"/>
  <c r="SJW27" i="9" s="1"/>
  <c r="SJY27" i="9" s="1"/>
  <c r="SKA27" i="9" s="1"/>
  <c r="SKC27" i="9" s="1"/>
  <c r="SKE27" i="9" s="1"/>
  <c r="SKG27" i="9" s="1"/>
  <c r="SKI27" i="9" s="1"/>
  <c r="SKK27" i="9" s="1"/>
  <c r="SKM27" i="9" s="1"/>
  <c r="SKO27" i="9" s="1"/>
  <c r="SKQ27" i="9" s="1"/>
  <c r="SKS27" i="9" s="1"/>
  <c r="SKU27" i="9" s="1"/>
  <c r="SKW27" i="9" s="1"/>
  <c r="SKY27" i="9" s="1"/>
  <c r="SLA27" i="9" s="1"/>
  <c r="SLC27" i="9" s="1"/>
  <c r="SLE27" i="9" s="1"/>
  <c r="SLG27" i="9" s="1"/>
  <c r="SLI27" i="9" s="1"/>
  <c r="SLK27" i="9" s="1"/>
  <c r="SLM27" i="9" s="1"/>
  <c r="SLO27" i="9" s="1"/>
  <c r="SLQ27" i="9" s="1"/>
  <c r="SLS27" i="9" s="1"/>
  <c r="SLU27" i="9" s="1"/>
  <c r="SLW27" i="9" s="1"/>
  <c r="SLY27" i="9" s="1"/>
  <c r="SMA27" i="9" s="1"/>
  <c r="SMC27" i="9" s="1"/>
  <c r="SME27" i="9" s="1"/>
  <c r="SMG27" i="9" s="1"/>
  <c r="SMI27" i="9" s="1"/>
  <c r="SMK27" i="9" s="1"/>
  <c r="SMM27" i="9" s="1"/>
  <c r="SMO27" i="9" s="1"/>
  <c r="SMQ27" i="9" s="1"/>
  <c r="SMS27" i="9" s="1"/>
  <c r="SMU27" i="9" s="1"/>
  <c r="SMW27" i="9" s="1"/>
  <c r="SMY27" i="9" s="1"/>
  <c r="SNA27" i="9" s="1"/>
  <c r="SNC27" i="9" s="1"/>
  <c r="SNE27" i="9" s="1"/>
  <c r="SNG27" i="9" s="1"/>
  <c r="SNI27" i="9" s="1"/>
  <c r="SNK27" i="9" s="1"/>
  <c r="SNM27" i="9" s="1"/>
  <c r="SNO27" i="9" s="1"/>
  <c r="SNQ27" i="9" s="1"/>
  <c r="SNS27" i="9" s="1"/>
  <c r="SNU27" i="9" s="1"/>
  <c r="SNW27" i="9" s="1"/>
  <c r="SNY27" i="9" s="1"/>
  <c r="SOA27" i="9" s="1"/>
  <c r="SOC27" i="9" s="1"/>
  <c r="SOE27" i="9" s="1"/>
  <c r="SOG27" i="9" s="1"/>
  <c r="SOI27" i="9" s="1"/>
  <c r="SOK27" i="9" s="1"/>
  <c r="SOM27" i="9" s="1"/>
  <c r="SOO27" i="9" s="1"/>
  <c r="SOQ27" i="9" s="1"/>
  <c r="SOS27" i="9" s="1"/>
  <c r="SOU27" i="9" s="1"/>
  <c r="SOW27" i="9" s="1"/>
  <c r="SOY27" i="9" s="1"/>
  <c r="SPA27" i="9" s="1"/>
  <c r="SPC27" i="9" s="1"/>
  <c r="SPE27" i="9" s="1"/>
  <c r="SPG27" i="9" s="1"/>
  <c r="SPI27" i="9" s="1"/>
  <c r="SPK27" i="9" s="1"/>
  <c r="SPM27" i="9" s="1"/>
  <c r="SPO27" i="9" s="1"/>
  <c r="SPQ27" i="9" s="1"/>
  <c r="SPS27" i="9" s="1"/>
  <c r="SPU27" i="9" s="1"/>
  <c r="SPW27" i="9" s="1"/>
  <c r="SPY27" i="9" s="1"/>
  <c r="SQA27" i="9" s="1"/>
  <c r="SQC27" i="9" s="1"/>
  <c r="SQE27" i="9" s="1"/>
  <c r="SQG27" i="9" s="1"/>
  <c r="SQI27" i="9" s="1"/>
  <c r="SQK27" i="9" s="1"/>
  <c r="SQM27" i="9" s="1"/>
  <c r="SQO27" i="9" s="1"/>
  <c r="SQQ27" i="9" s="1"/>
  <c r="SQS27" i="9" s="1"/>
  <c r="SQU27" i="9" s="1"/>
  <c r="SQW27" i="9" s="1"/>
  <c r="SQY27" i="9" s="1"/>
  <c r="SRA27" i="9" s="1"/>
  <c r="SRC27" i="9" s="1"/>
  <c r="SRE27" i="9" s="1"/>
  <c r="SRG27" i="9" s="1"/>
  <c r="SRI27" i="9" s="1"/>
  <c r="SRK27" i="9" s="1"/>
  <c r="SRM27" i="9" s="1"/>
  <c r="SRO27" i="9" s="1"/>
  <c r="SRQ27" i="9" s="1"/>
  <c r="SRS27" i="9" s="1"/>
  <c r="SRU27" i="9" s="1"/>
  <c r="SRW27" i="9" s="1"/>
  <c r="SRY27" i="9" s="1"/>
  <c r="SSA27" i="9" s="1"/>
  <c r="SSC27" i="9" s="1"/>
  <c r="SSE27" i="9" s="1"/>
  <c r="SSG27" i="9" s="1"/>
  <c r="SSI27" i="9" s="1"/>
  <c r="SSK27" i="9" s="1"/>
  <c r="SSM27" i="9" s="1"/>
  <c r="SSO27" i="9" s="1"/>
  <c r="SSQ27" i="9" s="1"/>
  <c r="SSS27" i="9" s="1"/>
  <c r="SSU27" i="9" s="1"/>
  <c r="SSW27" i="9" s="1"/>
  <c r="SSY27" i="9" s="1"/>
  <c r="STA27" i="9" s="1"/>
  <c r="STC27" i="9" s="1"/>
  <c r="STE27" i="9" s="1"/>
  <c r="STG27" i="9" s="1"/>
  <c r="STI27" i="9" s="1"/>
  <c r="STK27" i="9" s="1"/>
  <c r="STM27" i="9" s="1"/>
  <c r="STO27" i="9" s="1"/>
  <c r="STQ27" i="9" s="1"/>
  <c r="STS27" i="9" s="1"/>
  <c r="STU27" i="9" s="1"/>
  <c r="STW27" i="9" s="1"/>
  <c r="STY27" i="9" s="1"/>
  <c r="SUA27" i="9" s="1"/>
  <c r="SUC27" i="9" s="1"/>
  <c r="SUE27" i="9" s="1"/>
  <c r="SUG27" i="9" s="1"/>
  <c r="SUI27" i="9" s="1"/>
  <c r="SUK27" i="9" s="1"/>
  <c r="SUM27" i="9" s="1"/>
  <c r="SUO27" i="9" s="1"/>
  <c r="SUQ27" i="9" s="1"/>
  <c r="SUS27" i="9" s="1"/>
  <c r="SUU27" i="9" s="1"/>
  <c r="SUW27" i="9" s="1"/>
  <c r="SUY27" i="9" s="1"/>
  <c r="SVA27" i="9" s="1"/>
  <c r="SVC27" i="9" s="1"/>
  <c r="SVE27" i="9" s="1"/>
  <c r="SVG27" i="9" s="1"/>
  <c r="SVI27" i="9" s="1"/>
  <c r="SVK27" i="9" s="1"/>
  <c r="SVM27" i="9" s="1"/>
  <c r="SVO27" i="9" s="1"/>
  <c r="SVQ27" i="9" s="1"/>
  <c r="SVS27" i="9" s="1"/>
  <c r="SVU27" i="9" s="1"/>
  <c r="SVW27" i="9" s="1"/>
  <c r="SVY27" i="9" s="1"/>
  <c r="SWA27" i="9" s="1"/>
  <c r="SWC27" i="9" s="1"/>
  <c r="SWE27" i="9" s="1"/>
  <c r="SWG27" i="9" s="1"/>
  <c r="SWI27" i="9" s="1"/>
  <c r="SWK27" i="9" s="1"/>
  <c r="SWM27" i="9" s="1"/>
  <c r="SWO27" i="9" s="1"/>
  <c r="SWQ27" i="9" s="1"/>
  <c r="SWS27" i="9" s="1"/>
  <c r="SWU27" i="9" s="1"/>
  <c r="SWW27" i="9" s="1"/>
  <c r="SWY27" i="9" s="1"/>
  <c r="SXA27" i="9" s="1"/>
  <c r="SXC27" i="9" s="1"/>
  <c r="SXE27" i="9" s="1"/>
  <c r="SXG27" i="9" s="1"/>
  <c r="SXI27" i="9" s="1"/>
  <c r="SXK27" i="9" s="1"/>
  <c r="SXM27" i="9" s="1"/>
  <c r="SXO27" i="9" s="1"/>
  <c r="SXQ27" i="9" s="1"/>
  <c r="SXS27" i="9" s="1"/>
  <c r="SXU27" i="9" s="1"/>
  <c r="SXW27" i="9" s="1"/>
  <c r="SXY27" i="9" s="1"/>
  <c r="SYA27" i="9" s="1"/>
  <c r="SYC27" i="9" s="1"/>
  <c r="SYE27" i="9" s="1"/>
  <c r="SYG27" i="9" s="1"/>
  <c r="SYI27" i="9" s="1"/>
  <c r="SYK27" i="9" s="1"/>
  <c r="SYM27" i="9" s="1"/>
  <c r="SYO27" i="9" s="1"/>
  <c r="SYQ27" i="9" s="1"/>
  <c r="SYS27" i="9" s="1"/>
  <c r="SYU27" i="9" s="1"/>
  <c r="SYW27" i="9" s="1"/>
  <c r="SYY27" i="9" s="1"/>
  <c r="SZA27" i="9" s="1"/>
  <c r="SZC27" i="9" s="1"/>
  <c r="SZE27" i="9" s="1"/>
  <c r="SZG27" i="9" s="1"/>
  <c r="SZI27" i="9" s="1"/>
  <c r="SZK27" i="9" s="1"/>
  <c r="SZM27" i="9" s="1"/>
  <c r="SZO27" i="9" s="1"/>
  <c r="SZQ27" i="9" s="1"/>
  <c r="SZS27" i="9" s="1"/>
  <c r="SZU27" i="9" s="1"/>
  <c r="SZW27" i="9" s="1"/>
  <c r="SZY27" i="9" s="1"/>
  <c r="TAA27" i="9" s="1"/>
  <c r="TAC27" i="9" s="1"/>
  <c r="TAE27" i="9" s="1"/>
  <c r="TAG27" i="9" s="1"/>
  <c r="TAI27" i="9" s="1"/>
  <c r="TAK27" i="9" s="1"/>
  <c r="TAM27" i="9" s="1"/>
  <c r="TAO27" i="9" s="1"/>
  <c r="TAQ27" i="9" s="1"/>
  <c r="TAS27" i="9" s="1"/>
  <c r="TAU27" i="9" s="1"/>
  <c r="TAW27" i="9" s="1"/>
  <c r="TAY27" i="9" s="1"/>
  <c r="TBA27" i="9" s="1"/>
  <c r="TBC27" i="9" s="1"/>
  <c r="TBE27" i="9" s="1"/>
  <c r="TBG27" i="9" s="1"/>
  <c r="TBI27" i="9" s="1"/>
  <c r="TBK27" i="9" s="1"/>
  <c r="TBM27" i="9" s="1"/>
  <c r="TBO27" i="9" s="1"/>
  <c r="TBQ27" i="9" s="1"/>
  <c r="TBS27" i="9" s="1"/>
  <c r="TBU27" i="9" s="1"/>
  <c r="TBW27" i="9" s="1"/>
  <c r="TBY27" i="9" s="1"/>
  <c r="TCA27" i="9" s="1"/>
  <c r="TCC27" i="9" s="1"/>
  <c r="TCE27" i="9" s="1"/>
  <c r="TCG27" i="9" s="1"/>
  <c r="TCI27" i="9" s="1"/>
  <c r="TCK27" i="9" s="1"/>
  <c r="TCM27" i="9" s="1"/>
  <c r="TCO27" i="9" s="1"/>
  <c r="TCQ27" i="9" s="1"/>
  <c r="TCS27" i="9" s="1"/>
  <c r="TCU27" i="9" s="1"/>
  <c r="TCW27" i="9" s="1"/>
  <c r="TCY27" i="9" s="1"/>
  <c r="TDA27" i="9" s="1"/>
  <c r="TDC27" i="9" s="1"/>
  <c r="TDE27" i="9" s="1"/>
  <c r="TDG27" i="9" s="1"/>
  <c r="TDI27" i="9" s="1"/>
  <c r="TDK27" i="9" s="1"/>
  <c r="TDM27" i="9" s="1"/>
  <c r="TDO27" i="9" s="1"/>
  <c r="TDQ27" i="9" s="1"/>
  <c r="TDS27" i="9" s="1"/>
  <c r="TDU27" i="9" s="1"/>
  <c r="TDW27" i="9" s="1"/>
  <c r="TDY27" i="9" s="1"/>
  <c r="TEA27" i="9" s="1"/>
  <c r="TEC27" i="9" s="1"/>
  <c r="TEE27" i="9" s="1"/>
  <c r="TEG27" i="9" s="1"/>
  <c r="TEI27" i="9" s="1"/>
  <c r="TEK27" i="9" s="1"/>
  <c r="TEM27" i="9" s="1"/>
  <c r="TEO27" i="9" s="1"/>
  <c r="TEQ27" i="9" s="1"/>
  <c r="TES27" i="9" s="1"/>
  <c r="TEU27" i="9" s="1"/>
  <c r="TEW27" i="9" s="1"/>
  <c r="TEY27" i="9" s="1"/>
  <c r="TFA27" i="9" s="1"/>
  <c r="TFC27" i="9" s="1"/>
  <c r="TFE27" i="9" s="1"/>
  <c r="TFG27" i="9" s="1"/>
  <c r="TFI27" i="9" s="1"/>
  <c r="TFK27" i="9" s="1"/>
  <c r="TFM27" i="9" s="1"/>
  <c r="TFO27" i="9" s="1"/>
  <c r="TFQ27" i="9" s="1"/>
  <c r="TFS27" i="9" s="1"/>
  <c r="TFU27" i="9" s="1"/>
  <c r="TFW27" i="9" s="1"/>
  <c r="TFY27" i="9" s="1"/>
  <c r="TGA27" i="9" s="1"/>
  <c r="TGC27" i="9" s="1"/>
  <c r="TGE27" i="9" s="1"/>
  <c r="TGG27" i="9" s="1"/>
  <c r="TGI27" i="9" s="1"/>
  <c r="TGK27" i="9" s="1"/>
  <c r="TGM27" i="9" s="1"/>
  <c r="TGO27" i="9" s="1"/>
  <c r="TGQ27" i="9" s="1"/>
  <c r="TGS27" i="9" s="1"/>
  <c r="TGU27" i="9" s="1"/>
  <c r="TGW27" i="9" s="1"/>
  <c r="TGY27" i="9" s="1"/>
  <c r="THA27" i="9" s="1"/>
  <c r="THC27" i="9" s="1"/>
  <c r="THE27" i="9" s="1"/>
  <c r="THG27" i="9" s="1"/>
  <c r="THI27" i="9" s="1"/>
  <c r="THK27" i="9" s="1"/>
  <c r="THM27" i="9" s="1"/>
  <c r="THO27" i="9" s="1"/>
  <c r="THQ27" i="9" s="1"/>
  <c r="THS27" i="9" s="1"/>
  <c r="THU27" i="9" s="1"/>
  <c r="THW27" i="9" s="1"/>
  <c r="THY27" i="9" s="1"/>
  <c r="TIA27" i="9" s="1"/>
  <c r="TIC27" i="9" s="1"/>
  <c r="TIE27" i="9" s="1"/>
  <c r="TIG27" i="9" s="1"/>
  <c r="TII27" i="9" s="1"/>
  <c r="TIK27" i="9" s="1"/>
  <c r="TIM27" i="9" s="1"/>
  <c r="TIO27" i="9" s="1"/>
  <c r="TIQ27" i="9" s="1"/>
  <c r="TIS27" i="9" s="1"/>
  <c r="TIU27" i="9" s="1"/>
  <c r="TIW27" i="9" s="1"/>
  <c r="TIY27" i="9" s="1"/>
  <c r="TJA27" i="9" s="1"/>
  <c r="TJC27" i="9" s="1"/>
  <c r="TJE27" i="9" s="1"/>
  <c r="TJG27" i="9" s="1"/>
  <c r="TJI27" i="9" s="1"/>
  <c r="TJK27" i="9" s="1"/>
  <c r="TJM27" i="9" s="1"/>
  <c r="TJO27" i="9" s="1"/>
  <c r="TJQ27" i="9" s="1"/>
  <c r="TJS27" i="9" s="1"/>
  <c r="TJU27" i="9" s="1"/>
  <c r="TJW27" i="9" s="1"/>
  <c r="TJY27" i="9" s="1"/>
  <c r="TKA27" i="9" s="1"/>
  <c r="TKC27" i="9" s="1"/>
  <c r="TKE27" i="9" s="1"/>
  <c r="TKG27" i="9" s="1"/>
  <c r="TKI27" i="9" s="1"/>
  <c r="TKK27" i="9" s="1"/>
  <c r="TKM27" i="9" s="1"/>
  <c r="TKO27" i="9" s="1"/>
  <c r="TKQ27" i="9" s="1"/>
  <c r="TKS27" i="9" s="1"/>
  <c r="TKU27" i="9" s="1"/>
  <c r="TKW27" i="9" s="1"/>
  <c r="TKY27" i="9" s="1"/>
  <c r="TLA27" i="9" s="1"/>
  <c r="TLC27" i="9" s="1"/>
  <c r="TLE27" i="9" s="1"/>
  <c r="TLG27" i="9" s="1"/>
  <c r="TLI27" i="9" s="1"/>
  <c r="TLK27" i="9" s="1"/>
  <c r="TLM27" i="9" s="1"/>
  <c r="TLO27" i="9" s="1"/>
  <c r="TLQ27" i="9" s="1"/>
  <c r="TLS27" i="9" s="1"/>
  <c r="TLU27" i="9" s="1"/>
  <c r="TLW27" i="9" s="1"/>
  <c r="TLY27" i="9" s="1"/>
  <c r="TMA27" i="9" s="1"/>
  <c r="TMC27" i="9" s="1"/>
  <c r="TME27" i="9" s="1"/>
  <c r="TMG27" i="9" s="1"/>
  <c r="TMI27" i="9" s="1"/>
  <c r="TMK27" i="9" s="1"/>
  <c r="TMM27" i="9" s="1"/>
  <c r="TMO27" i="9" s="1"/>
  <c r="TMQ27" i="9" s="1"/>
  <c r="TMS27" i="9" s="1"/>
  <c r="TMU27" i="9" s="1"/>
  <c r="TMW27" i="9" s="1"/>
  <c r="TMY27" i="9" s="1"/>
  <c r="TNA27" i="9" s="1"/>
  <c r="TNC27" i="9" s="1"/>
  <c r="TNE27" i="9" s="1"/>
  <c r="TNG27" i="9" s="1"/>
  <c r="TNI27" i="9" s="1"/>
  <c r="TNK27" i="9" s="1"/>
  <c r="TNM27" i="9" s="1"/>
  <c r="TNO27" i="9" s="1"/>
  <c r="TNQ27" i="9" s="1"/>
  <c r="TNS27" i="9" s="1"/>
  <c r="TNU27" i="9" s="1"/>
  <c r="TNW27" i="9" s="1"/>
  <c r="TNY27" i="9" s="1"/>
  <c r="TOA27" i="9" s="1"/>
  <c r="TOC27" i="9" s="1"/>
  <c r="TOE27" i="9" s="1"/>
  <c r="TOG27" i="9" s="1"/>
  <c r="TOI27" i="9" s="1"/>
  <c r="TOK27" i="9" s="1"/>
  <c r="TOM27" i="9" s="1"/>
  <c r="TOO27" i="9" s="1"/>
  <c r="TOQ27" i="9" s="1"/>
  <c r="TOS27" i="9" s="1"/>
  <c r="TOU27" i="9" s="1"/>
  <c r="TOW27" i="9" s="1"/>
  <c r="TOY27" i="9" s="1"/>
  <c r="TPA27" i="9" s="1"/>
  <c r="TPC27" i="9" s="1"/>
  <c r="TPE27" i="9" s="1"/>
  <c r="TPG27" i="9" s="1"/>
  <c r="TPI27" i="9" s="1"/>
  <c r="TPK27" i="9" s="1"/>
  <c r="TPM27" i="9" s="1"/>
  <c r="TPO27" i="9" s="1"/>
  <c r="TPQ27" i="9" s="1"/>
  <c r="TPS27" i="9" s="1"/>
  <c r="TPU27" i="9" s="1"/>
  <c r="TPW27" i="9" s="1"/>
  <c r="TPY27" i="9" s="1"/>
  <c r="TQA27" i="9" s="1"/>
  <c r="TQC27" i="9" s="1"/>
  <c r="TQE27" i="9" s="1"/>
  <c r="TQG27" i="9" s="1"/>
  <c r="TQI27" i="9" s="1"/>
  <c r="TQK27" i="9" s="1"/>
  <c r="TQM27" i="9" s="1"/>
  <c r="TQO27" i="9" s="1"/>
  <c r="TQQ27" i="9" s="1"/>
  <c r="TQS27" i="9" s="1"/>
  <c r="TQU27" i="9" s="1"/>
  <c r="TQW27" i="9" s="1"/>
  <c r="TQY27" i="9" s="1"/>
  <c r="TRA27" i="9" s="1"/>
  <c r="TRC27" i="9" s="1"/>
  <c r="TRE27" i="9" s="1"/>
  <c r="TRG27" i="9" s="1"/>
  <c r="TRI27" i="9" s="1"/>
  <c r="TRK27" i="9" s="1"/>
  <c r="TRM27" i="9" s="1"/>
  <c r="TRO27" i="9" s="1"/>
  <c r="TRQ27" i="9" s="1"/>
  <c r="TRS27" i="9" s="1"/>
  <c r="TRU27" i="9" s="1"/>
  <c r="TRW27" i="9" s="1"/>
  <c r="TRY27" i="9" s="1"/>
  <c r="TSA27" i="9" s="1"/>
  <c r="TSC27" i="9" s="1"/>
  <c r="TSE27" i="9" s="1"/>
  <c r="TSG27" i="9" s="1"/>
  <c r="TSI27" i="9" s="1"/>
  <c r="TSK27" i="9" s="1"/>
  <c r="TSM27" i="9" s="1"/>
  <c r="TSO27" i="9" s="1"/>
  <c r="TSQ27" i="9" s="1"/>
  <c r="TSS27" i="9" s="1"/>
  <c r="TSU27" i="9" s="1"/>
  <c r="TSW27" i="9" s="1"/>
  <c r="TSY27" i="9" s="1"/>
  <c r="TTA27" i="9" s="1"/>
  <c r="TTC27" i="9" s="1"/>
  <c r="TTE27" i="9" s="1"/>
  <c r="TTG27" i="9" s="1"/>
  <c r="TTI27" i="9" s="1"/>
  <c r="TTK27" i="9" s="1"/>
  <c r="TTM27" i="9" s="1"/>
  <c r="TTO27" i="9" s="1"/>
  <c r="TTQ27" i="9" s="1"/>
  <c r="TTS27" i="9" s="1"/>
  <c r="TTU27" i="9" s="1"/>
  <c r="TTW27" i="9" s="1"/>
  <c r="TTY27" i="9" s="1"/>
  <c r="TUA27" i="9" s="1"/>
  <c r="TUC27" i="9" s="1"/>
  <c r="TUE27" i="9" s="1"/>
  <c r="TUG27" i="9" s="1"/>
  <c r="TUI27" i="9" s="1"/>
  <c r="TUK27" i="9" s="1"/>
  <c r="TUM27" i="9" s="1"/>
  <c r="TUO27" i="9" s="1"/>
  <c r="TUQ27" i="9" s="1"/>
  <c r="TUS27" i="9" s="1"/>
  <c r="TUU27" i="9" s="1"/>
  <c r="TUW27" i="9" s="1"/>
  <c r="TUY27" i="9" s="1"/>
  <c r="TVA27" i="9" s="1"/>
  <c r="TVC27" i="9" s="1"/>
  <c r="TVE27" i="9" s="1"/>
  <c r="TVG27" i="9" s="1"/>
  <c r="TVI27" i="9" s="1"/>
  <c r="TVK27" i="9" s="1"/>
  <c r="TVM27" i="9" s="1"/>
  <c r="TVO27" i="9" s="1"/>
  <c r="TVQ27" i="9" s="1"/>
  <c r="TVS27" i="9" s="1"/>
  <c r="TVU27" i="9" s="1"/>
  <c r="TVW27" i="9" s="1"/>
  <c r="TVY27" i="9" s="1"/>
  <c r="TWA27" i="9" s="1"/>
  <c r="TWC27" i="9" s="1"/>
  <c r="TWE27" i="9" s="1"/>
  <c r="TWG27" i="9" s="1"/>
  <c r="TWI27" i="9" s="1"/>
  <c r="TWK27" i="9" s="1"/>
  <c r="TWM27" i="9" s="1"/>
  <c r="TWO27" i="9" s="1"/>
  <c r="TWQ27" i="9" s="1"/>
  <c r="TWS27" i="9" s="1"/>
  <c r="TWU27" i="9" s="1"/>
  <c r="TWW27" i="9" s="1"/>
  <c r="TWY27" i="9" s="1"/>
  <c r="TXA27" i="9" s="1"/>
  <c r="TXC27" i="9" s="1"/>
  <c r="TXE27" i="9" s="1"/>
  <c r="TXG27" i="9" s="1"/>
  <c r="TXI27" i="9" s="1"/>
  <c r="TXK27" i="9" s="1"/>
  <c r="TXM27" i="9" s="1"/>
  <c r="TXO27" i="9" s="1"/>
  <c r="TXQ27" i="9" s="1"/>
  <c r="TXS27" i="9" s="1"/>
  <c r="TXU27" i="9" s="1"/>
  <c r="TXW27" i="9" s="1"/>
  <c r="TXY27" i="9" s="1"/>
  <c r="TYA27" i="9" s="1"/>
  <c r="TYC27" i="9" s="1"/>
  <c r="TYE27" i="9" s="1"/>
  <c r="TYG27" i="9" s="1"/>
  <c r="TYI27" i="9" s="1"/>
  <c r="TYK27" i="9" s="1"/>
  <c r="TYM27" i="9" s="1"/>
  <c r="TYO27" i="9" s="1"/>
  <c r="TYQ27" i="9" s="1"/>
  <c r="TYS27" i="9" s="1"/>
  <c r="TYU27" i="9" s="1"/>
  <c r="TYW27" i="9" s="1"/>
  <c r="TYY27" i="9" s="1"/>
  <c r="TZA27" i="9" s="1"/>
  <c r="TZC27" i="9" s="1"/>
  <c r="TZE27" i="9" s="1"/>
  <c r="TZG27" i="9" s="1"/>
  <c r="TZI27" i="9" s="1"/>
  <c r="TZK27" i="9" s="1"/>
  <c r="TZM27" i="9" s="1"/>
  <c r="TZO27" i="9" s="1"/>
  <c r="TZQ27" i="9" s="1"/>
  <c r="TZS27" i="9" s="1"/>
  <c r="TZU27" i="9" s="1"/>
  <c r="TZW27" i="9" s="1"/>
  <c r="TZY27" i="9" s="1"/>
  <c r="UAA27" i="9" s="1"/>
  <c r="UAC27" i="9" s="1"/>
  <c r="UAE27" i="9" s="1"/>
  <c r="UAG27" i="9" s="1"/>
  <c r="UAI27" i="9" s="1"/>
  <c r="UAK27" i="9" s="1"/>
  <c r="UAM27" i="9" s="1"/>
  <c r="UAO27" i="9" s="1"/>
  <c r="UAQ27" i="9" s="1"/>
  <c r="UAS27" i="9" s="1"/>
  <c r="UAU27" i="9" s="1"/>
  <c r="UAW27" i="9" s="1"/>
  <c r="UAY27" i="9" s="1"/>
  <c r="UBA27" i="9" s="1"/>
  <c r="UBC27" i="9" s="1"/>
  <c r="UBE27" i="9" s="1"/>
  <c r="UBG27" i="9" s="1"/>
  <c r="UBI27" i="9" s="1"/>
  <c r="UBK27" i="9" s="1"/>
  <c r="UBM27" i="9" s="1"/>
  <c r="UBO27" i="9" s="1"/>
  <c r="UBQ27" i="9" s="1"/>
  <c r="UBS27" i="9" s="1"/>
  <c r="UBU27" i="9" s="1"/>
  <c r="UBW27" i="9" s="1"/>
  <c r="UBY27" i="9" s="1"/>
  <c r="UCA27" i="9" s="1"/>
  <c r="UCC27" i="9" s="1"/>
  <c r="UCE27" i="9" s="1"/>
  <c r="UCG27" i="9" s="1"/>
  <c r="UCI27" i="9" s="1"/>
  <c r="UCK27" i="9" s="1"/>
  <c r="UCM27" i="9" s="1"/>
  <c r="UCO27" i="9" s="1"/>
  <c r="UCQ27" i="9" s="1"/>
  <c r="UCS27" i="9" s="1"/>
  <c r="UCU27" i="9" s="1"/>
  <c r="UCW27" i="9" s="1"/>
  <c r="UCY27" i="9" s="1"/>
  <c r="UDA27" i="9" s="1"/>
  <c r="UDC27" i="9" s="1"/>
  <c r="UDE27" i="9" s="1"/>
  <c r="UDG27" i="9" s="1"/>
  <c r="UDI27" i="9" s="1"/>
  <c r="UDK27" i="9" s="1"/>
  <c r="UDM27" i="9" s="1"/>
  <c r="UDO27" i="9" s="1"/>
  <c r="UDQ27" i="9" s="1"/>
  <c r="UDS27" i="9" s="1"/>
  <c r="UDU27" i="9" s="1"/>
  <c r="UDW27" i="9" s="1"/>
  <c r="UDY27" i="9" s="1"/>
  <c r="UEA27" i="9" s="1"/>
  <c r="UEC27" i="9" s="1"/>
  <c r="UEE27" i="9" s="1"/>
  <c r="UEG27" i="9" s="1"/>
  <c r="UEI27" i="9" s="1"/>
  <c r="UEK27" i="9" s="1"/>
  <c r="UEM27" i="9" s="1"/>
  <c r="UEO27" i="9" s="1"/>
  <c r="UEQ27" i="9" s="1"/>
  <c r="UES27" i="9" s="1"/>
  <c r="UEU27" i="9" s="1"/>
  <c r="UEW27" i="9" s="1"/>
  <c r="UEY27" i="9" s="1"/>
  <c r="UFA27" i="9" s="1"/>
  <c r="UFC27" i="9" s="1"/>
  <c r="UFE27" i="9" s="1"/>
  <c r="UFG27" i="9" s="1"/>
  <c r="UFI27" i="9" s="1"/>
  <c r="UFK27" i="9" s="1"/>
  <c r="UFM27" i="9" s="1"/>
  <c r="UFO27" i="9" s="1"/>
  <c r="UFQ27" i="9" s="1"/>
  <c r="UFS27" i="9" s="1"/>
  <c r="UFU27" i="9" s="1"/>
  <c r="UFW27" i="9" s="1"/>
  <c r="UFY27" i="9" s="1"/>
  <c r="UGA27" i="9" s="1"/>
  <c r="UGC27" i="9" s="1"/>
  <c r="UGE27" i="9" s="1"/>
  <c r="UGG27" i="9" s="1"/>
  <c r="UGI27" i="9" s="1"/>
  <c r="UGK27" i="9" s="1"/>
  <c r="UGM27" i="9" s="1"/>
  <c r="UGO27" i="9" s="1"/>
  <c r="UGQ27" i="9" s="1"/>
  <c r="UGS27" i="9" s="1"/>
  <c r="UGU27" i="9" s="1"/>
  <c r="UGW27" i="9" s="1"/>
  <c r="UGY27" i="9" s="1"/>
  <c r="UHA27" i="9" s="1"/>
  <c r="UHC27" i="9" s="1"/>
  <c r="UHE27" i="9" s="1"/>
  <c r="UHG27" i="9" s="1"/>
  <c r="UHI27" i="9" s="1"/>
  <c r="UHK27" i="9" s="1"/>
  <c r="UHM27" i="9" s="1"/>
  <c r="UHO27" i="9" s="1"/>
  <c r="UHQ27" i="9" s="1"/>
  <c r="UHS27" i="9" s="1"/>
  <c r="UHU27" i="9" s="1"/>
  <c r="UHW27" i="9" s="1"/>
  <c r="UHY27" i="9" s="1"/>
  <c r="UIA27" i="9" s="1"/>
  <c r="UIC27" i="9" s="1"/>
  <c r="UIE27" i="9" s="1"/>
  <c r="UIG27" i="9" s="1"/>
  <c r="UII27" i="9" s="1"/>
  <c r="UIK27" i="9" s="1"/>
  <c r="UIM27" i="9" s="1"/>
  <c r="UIO27" i="9" s="1"/>
  <c r="UIQ27" i="9" s="1"/>
  <c r="UIS27" i="9" s="1"/>
  <c r="UIU27" i="9" s="1"/>
  <c r="UIW27" i="9" s="1"/>
  <c r="UIY27" i="9" s="1"/>
  <c r="UJA27" i="9" s="1"/>
  <c r="UJC27" i="9" s="1"/>
  <c r="UJE27" i="9" s="1"/>
  <c r="UJG27" i="9" s="1"/>
  <c r="UJI27" i="9" s="1"/>
  <c r="UJK27" i="9" s="1"/>
  <c r="UJM27" i="9" s="1"/>
  <c r="UJO27" i="9" s="1"/>
  <c r="UJQ27" i="9" s="1"/>
  <c r="UJS27" i="9" s="1"/>
  <c r="UJU27" i="9" s="1"/>
  <c r="UJW27" i="9" s="1"/>
  <c r="UJY27" i="9" s="1"/>
  <c r="UKA27" i="9" s="1"/>
  <c r="UKC27" i="9" s="1"/>
  <c r="UKE27" i="9" s="1"/>
  <c r="UKG27" i="9" s="1"/>
  <c r="UKI27" i="9" s="1"/>
  <c r="UKK27" i="9" s="1"/>
  <c r="UKM27" i="9" s="1"/>
  <c r="UKO27" i="9" s="1"/>
  <c r="UKQ27" i="9" s="1"/>
  <c r="UKS27" i="9" s="1"/>
  <c r="UKU27" i="9" s="1"/>
  <c r="UKW27" i="9" s="1"/>
  <c r="UKY27" i="9" s="1"/>
  <c r="ULA27" i="9" s="1"/>
  <c r="ULC27" i="9" s="1"/>
  <c r="ULE27" i="9" s="1"/>
  <c r="ULG27" i="9" s="1"/>
  <c r="ULI27" i="9" s="1"/>
  <c r="ULK27" i="9" s="1"/>
  <c r="ULM27" i="9" s="1"/>
  <c r="ULO27" i="9" s="1"/>
  <c r="ULQ27" i="9" s="1"/>
  <c r="ULS27" i="9" s="1"/>
  <c r="ULU27" i="9" s="1"/>
  <c r="ULW27" i="9" s="1"/>
  <c r="ULY27" i="9" s="1"/>
  <c r="UMA27" i="9" s="1"/>
  <c r="UMC27" i="9" s="1"/>
  <c r="UME27" i="9" s="1"/>
  <c r="UMG27" i="9" s="1"/>
  <c r="UMI27" i="9" s="1"/>
  <c r="UMK27" i="9" s="1"/>
  <c r="UMM27" i="9" s="1"/>
  <c r="UMO27" i="9" s="1"/>
  <c r="UMQ27" i="9" s="1"/>
  <c r="UMS27" i="9" s="1"/>
  <c r="UMU27" i="9" s="1"/>
  <c r="UMW27" i="9" s="1"/>
  <c r="UMY27" i="9" s="1"/>
  <c r="UNA27" i="9" s="1"/>
  <c r="UNC27" i="9" s="1"/>
  <c r="UNE27" i="9" s="1"/>
  <c r="UNG27" i="9" s="1"/>
  <c r="UNI27" i="9" s="1"/>
  <c r="UNK27" i="9" s="1"/>
  <c r="UNM27" i="9" s="1"/>
  <c r="UNO27" i="9" s="1"/>
  <c r="UNQ27" i="9" s="1"/>
  <c r="UNS27" i="9" s="1"/>
  <c r="UNU27" i="9" s="1"/>
  <c r="UNW27" i="9" s="1"/>
  <c r="UNY27" i="9" s="1"/>
  <c r="UOA27" i="9" s="1"/>
  <c r="UOC27" i="9" s="1"/>
  <c r="UOE27" i="9" s="1"/>
  <c r="UOG27" i="9" s="1"/>
  <c r="UOI27" i="9" s="1"/>
  <c r="UOK27" i="9" s="1"/>
  <c r="UOM27" i="9" s="1"/>
  <c r="UOO27" i="9" s="1"/>
  <c r="UOQ27" i="9" s="1"/>
  <c r="UOS27" i="9" s="1"/>
  <c r="UOU27" i="9" s="1"/>
  <c r="UOW27" i="9" s="1"/>
  <c r="UOY27" i="9" s="1"/>
  <c r="UPA27" i="9" s="1"/>
  <c r="UPC27" i="9" s="1"/>
  <c r="UPE27" i="9" s="1"/>
  <c r="UPG27" i="9" s="1"/>
  <c r="UPI27" i="9" s="1"/>
  <c r="UPK27" i="9" s="1"/>
  <c r="UPM27" i="9" s="1"/>
  <c r="UPO27" i="9" s="1"/>
  <c r="UPQ27" i="9" s="1"/>
  <c r="UPS27" i="9" s="1"/>
  <c r="UPU27" i="9" s="1"/>
  <c r="UPW27" i="9" s="1"/>
  <c r="UPY27" i="9" s="1"/>
  <c r="UQA27" i="9" s="1"/>
  <c r="UQC27" i="9" s="1"/>
  <c r="UQE27" i="9" s="1"/>
  <c r="UQG27" i="9" s="1"/>
  <c r="UQI27" i="9" s="1"/>
  <c r="UQK27" i="9" s="1"/>
  <c r="UQM27" i="9" s="1"/>
  <c r="UQO27" i="9" s="1"/>
  <c r="UQQ27" i="9" s="1"/>
  <c r="UQS27" i="9" s="1"/>
  <c r="UQU27" i="9" s="1"/>
  <c r="UQW27" i="9" s="1"/>
  <c r="UQY27" i="9" s="1"/>
  <c r="URA27" i="9" s="1"/>
  <c r="URC27" i="9" s="1"/>
  <c r="URE27" i="9" s="1"/>
  <c r="URG27" i="9" s="1"/>
  <c r="URI27" i="9" s="1"/>
  <c r="URK27" i="9" s="1"/>
  <c r="URM27" i="9" s="1"/>
  <c r="URO27" i="9" s="1"/>
  <c r="URQ27" i="9" s="1"/>
  <c r="URS27" i="9" s="1"/>
  <c r="URU27" i="9" s="1"/>
  <c r="URW27" i="9" s="1"/>
  <c r="URY27" i="9" s="1"/>
  <c r="USA27" i="9" s="1"/>
  <c r="USC27" i="9" s="1"/>
  <c r="USE27" i="9" s="1"/>
  <c r="USG27" i="9" s="1"/>
  <c r="USI27" i="9" s="1"/>
  <c r="USK27" i="9" s="1"/>
  <c r="USM27" i="9" s="1"/>
  <c r="USO27" i="9" s="1"/>
  <c r="USQ27" i="9" s="1"/>
  <c r="USS27" i="9" s="1"/>
  <c r="USU27" i="9" s="1"/>
  <c r="USW27" i="9" s="1"/>
  <c r="USY27" i="9" s="1"/>
  <c r="UTA27" i="9" s="1"/>
  <c r="UTC27" i="9" s="1"/>
  <c r="UTE27" i="9" s="1"/>
  <c r="UTG27" i="9" s="1"/>
  <c r="UTI27" i="9" s="1"/>
  <c r="UTK27" i="9" s="1"/>
  <c r="UTM27" i="9" s="1"/>
  <c r="UTO27" i="9" s="1"/>
  <c r="UTQ27" i="9" s="1"/>
  <c r="UTS27" i="9" s="1"/>
  <c r="UTU27" i="9" s="1"/>
  <c r="UTW27" i="9" s="1"/>
  <c r="UTY27" i="9" s="1"/>
  <c r="UUA27" i="9" s="1"/>
  <c r="UUC27" i="9" s="1"/>
  <c r="UUE27" i="9" s="1"/>
  <c r="UUG27" i="9" s="1"/>
  <c r="UUI27" i="9" s="1"/>
  <c r="UUK27" i="9" s="1"/>
  <c r="UUM27" i="9" s="1"/>
  <c r="UUO27" i="9" s="1"/>
  <c r="UUQ27" i="9" s="1"/>
  <c r="UUS27" i="9" s="1"/>
  <c r="UUU27" i="9" s="1"/>
  <c r="UUW27" i="9" s="1"/>
  <c r="UUY27" i="9" s="1"/>
  <c r="UVA27" i="9" s="1"/>
  <c r="UVC27" i="9" s="1"/>
  <c r="UVE27" i="9" s="1"/>
  <c r="UVG27" i="9" s="1"/>
  <c r="UVI27" i="9" s="1"/>
  <c r="UVK27" i="9" s="1"/>
  <c r="UVM27" i="9" s="1"/>
  <c r="UVO27" i="9" s="1"/>
  <c r="UVQ27" i="9" s="1"/>
  <c r="UVS27" i="9" s="1"/>
  <c r="UVU27" i="9" s="1"/>
  <c r="UVW27" i="9" s="1"/>
  <c r="UVY27" i="9" s="1"/>
  <c r="UWA27" i="9" s="1"/>
  <c r="UWC27" i="9" s="1"/>
  <c r="UWE27" i="9" s="1"/>
  <c r="UWG27" i="9" s="1"/>
  <c r="UWI27" i="9" s="1"/>
  <c r="UWK27" i="9" s="1"/>
  <c r="UWM27" i="9" s="1"/>
  <c r="UWO27" i="9" s="1"/>
  <c r="UWQ27" i="9" s="1"/>
  <c r="UWS27" i="9" s="1"/>
  <c r="UWU27" i="9" s="1"/>
  <c r="UWW27" i="9" s="1"/>
  <c r="UWY27" i="9" s="1"/>
  <c r="UXA27" i="9" s="1"/>
  <c r="UXC27" i="9" s="1"/>
  <c r="UXE27" i="9" s="1"/>
  <c r="UXG27" i="9" s="1"/>
  <c r="UXI27" i="9" s="1"/>
  <c r="UXK27" i="9" s="1"/>
  <c r="UXM27" i="9" s="1"/>
  <c r="UXO27" i="9" s="1"/>
  <c r="UXQ27" i="9" s="1"/>
  <c r="UXS27" i="9" s="1"/>
  <c r="UXU27" i="9" s="1"/>
  <c r="UXW27" i="9" s="1"/>
  <c r="UXY27" i="9" s="1"/>
  <c r="UYA27" i="9" s="1"/>
  <c r="UYC27" i="9" s="1"/>
  <c r="UYE27" i="9" s="1"/>
  <c r="UYG27" i="9" s="1"/>
  <c r="UYI27" i="9" s="1"/>
  <c r="UYK27" i="9" s="1"/>
  <c r="UYM27" i="9" s="1"/>
  <c r="UYO27" i="9" s="1"/>
  <c r="UYQ27" i="9" s="1"/>
  <c r="UYS27" i="9" s="1"/>
  <c r="UYU27" i="9" s="1"/>
  <c r="UYW27" i="9" s="1"/>
  <c r="UYY27" i="9" s="1"/>
  <c r="UZA27" i="9" s="1"/>
  <c r="UZC27" i="9" s="1"/>
  <c r="UZE27" i="9" s="1"/>
  <c r="UZG27" i="9" s="1"/>
  <c r="UZI27" i="9" s="1"/>
  <c r="UZK27" i="9" s="1"/>
  <c r="UZM27" i="9" s="1"/>
  <c r="UZO27" i="9" s="1"/>
  <c r="UZQ27" i="9" s="1"/>
  <c r="UZS27" i="9" s="1"/>
  <c r="UZU27" i="9" s="1"/>
  <c r="UZW27" i="9" s="1"/>
  <c r="UZY27" i="9" s="1"/>
  <c r="VAA27" i="9" s="1"/>
  <c r="VAC27" i="9" s="1"/>
  <c r="VAE27" i="9" s="1"/>
  <c r="VAG27" i="9" s="1"/>
  <c r="VAI27" i="9" s="1"/>
  <c r="VAK27" i="9" s="1"/>
  <c r="VAM27" i="9" s="1"/>
  <c r="VAO27" i="9" s="1"/>
  <c r="VAQ27" i="9" s="1"/>
  <c r="VAS27" i="9" s="1"/>
  <c r="VAU27" i="9" s="1"/>
  <c r="VAW27" i="9" s="1"/>
  <c r="VAY27" i="9" s="1"/>
  <c r="VBA27" i="9" s="1"/>
  <c r="VBC27" i="9" s="1"/>
  <c r="VBE27" i="9" s="1"/>
  <c r="VBG27" i="9" s="1"/>
  <c r="VBI27" i="9" s="1"/>
  <c r="VBK27" i="9" s="1"/>
  <c r="VBM27" i="9" s="1"/>
  <c r="VBO27" i="9" s="1"/>
  <c r="VBQ27" i="9" s="1"/>
  <c r="VBS27" i="9" s="1"/>
  <c r="VBU27" i="9" s="1"/>
  <c r="VBW27" i="9" s="1"/>
  <c r="VBY27" i="9" s="1"/>
  <c r="VCA27" i="9" s="1"/>
  <c r="VCC27" i="9" s="1"/>
  <c r="VCE27" i="9" s="1"/>
  <c r="VCG27" i="9" s="1"/>
  <c r="VCI27" i="9" s="1"/>
  <c r="VCK27" i="9" s="1"/>
  <c r="VCM27" i="9" s="1"/>
  <c r="VCO27" i="9" s="1"/>
  <c r="VCQ27" i="9" s="1"/>
  <c r="VCS27" i="9" s="1"/>
  <c r="VCU27" i="9" s="1"/>
  <c r="VCW27" i="9" s="1"/>
  <c r="VCY27" i="9" s="1"/>
  <c r="VDA27" i="9" s="1"/>
  <c r="VDC27" i="9" s="1"/>
  <c r="VDE27" i="9" s="1"/>
  <c r="VDG27" i="9" s="1"/>
  <c r="VDI27" i="9" s="1"/>
  <c r="VDK27" i="9" s="1"/>
  <c r="VDM27" i="9" s="1"/>
  <c r="VDO27" i="9" s="1"/>
  <c r="VDQ27" i="9" s="1"/>
  <c r="VDS27" i="9" s="1"/>
  <c r="VDU27" i="9" s="1"/>
  <c r="VDW27" i="9" s="1"/>
  <c r="VDY27" i="9" s="1"/>
  <c r="VEA27" i="9" s="1"/>
  <c r="VEC27" i="9" s="1"/>
  <c r="VEE27" i="9" s="1"/>
  <c r="VEG27" i="9" s="1"/>
  <c r="VEI27" i="9" s="1"/>
  <c r="VEK27" i="9" s="1"/>
  <c r="VEM27" i="9" s="1"/>
  <c r="VEO27" i="9" s="1"/>
  <c r="VEQ27" i="9" s="1"/>
  <c r="VES27" i="9" s="1"/>
  <c r="VEU27" i="9" s="1"/>
  <c r="VEW27" i="9" s="1"/>
  <c r="VEY27" i="9" s="1"/>
  <c r="VFA27" i="9" s="1"/>
  <c r="VFC27" i="9" s="1"/>
  <c r="VFE27" i="9" s="1"/>
  <c r="VFG27" i="9" s="1"/>
  <c r="VFI27" i="9" s="1"/>
  <c r="VFK27" i="9" s="1"/>
  <c r="VFM27" i="9" s="1"/>
  <c r="VFO27" i="9" s="1"/>
  <c r="VFQ27" i="9" s="1"/>
  <c r="VFS27" i="9" s="1"/>
  <c r="VFU27" i="9" s="1"/>
  <c r="VFW27" i="9" s="1"/>
  <c r="VFY27" i="9" s="1"/>
  <c r="VGA27" i="9" s="1"/>
  <c r="VGC27" i="9" s="1"/>
  <c r="VGE27" i="9" s="1"/>
  <c r="VGG27" i="9" s="1"/>
  <c r="VGI27" i="9" s="1"/>
  <c r="VGK27" i="9" s="1"/>
  <c r="VGM27" i="9" s="1"/>
  <c r="VGO27" i="9" s="1"/>
  <c r="VGQ27" i="9" s="1"/>
  <c r="VGS27" i="9" s="1"/>
  <c r="VGU27" i="9" s="1"/>
  <c r="VGW27" i="9" s="1"/>
  <c r="VGY27" i="9" s="1"/>
  <c r="VHA27" i="9" s="1"/>
  <c r="VHC27" i="9" s="1"/>
  <c r="VHE27" i="9" s="1"/>
  <c r="VHG27" i="9" s="1"/>
  <c r="VHI27" i="9" s="1"/>
  <c r="VHK27" i="9" s="1"/>
  <c r="VHM27" i="9" s="1"/>
  <c r="VHO27" i="9" s="1"/>
  <c r="VHQ27" i="9" s="1"/>
  <c r="VHS27" i="9" s="1"/>
  <c r="VHU27" i="9" s="1"/>
  <c r="VHW27" i="9" s="1"/>
  <c r="VHY27" i="9" s="1"/>
  <c r="VIA27" i="9" s="1"/>
  <c r="VIC27" i="9" s="1"/>
  <c r="VIE27" i="9" s="1"/>
  <c r="VIG27" i="9" s="1"/>
  <c r="VII27" i="9" s="1"/>
  <c r="VIK27" i="9" s="1"/>
  <c r="VIM27" i="9" s="1"/>
  <c r="VIO27" i="9" s="1"/>
  <c r="VIQ27" i="9" s="1"/>
  <c r="VIS27" i="9" s="1"/>
  <c r="VIU27" i="9" s="1"/>
  <c r="VIW27" i="9" s="1"/>
  <c r="VIY27" i="9" s="1"/>
  <c r="VJA27" i="9" s="1"/>
  <c r="VJC27" i="9" s="1"/>
  <c r="VJE27" i="9" s="1"/>
  <c r="VJG27" i="9" s="1"/>
  <c r="VJI27" i="9" s="1"/>
  <c r="VJK27" i="9" s="1"/>
  <c r="VJM27" i="9" s="1"/>
  <c r="VJO27" i="9" s="1"/>
  <c r="VJQ27" i="9" s="1"/>
  <c r="VJS27" i="9" s="1"/>
  <c r="VJU27" i="9" s="1"/>
  <c r="VJW27" i="9" s="1"/>
  <c r="VJY27" i="9" s="1"/>
  <c r="VKA27" i="9" s="1"/>
  <c r="VKC27" i="9" s="1"/>
  <c r="VKE27" i="9" s="1"/>
  <c r="VKG27" i="9" s="1"/>
  <c r="VKI27" i="9" s="1"/>
  <c r="VKK27" i="9" s="1"/>
  <c r="VKM27" i="9" s="1"/>
  <c r="VKO27" i="9" s="1"/>
  <c r="VKQ27" i="9" s="1"/>
  <c r="VKS27" i="9" s="1"/>
  <c r="VKU27" i="9" s="1"/>
  <c r="VKW27" i="9" s="1"/>
  <c r="VKY27" i="9" s="1"/>
  <c r="VLA27" i="9" s="1"/>
  <c r="VLC27" i="9" s="1"/>
  <c r="VLE27" i="9" s="1"/>
  <c r="VLG27" i="9" s="1"/>
  <c r="VLI27" i="9" s="1"/>
  <c r="VLK27" i="9" s="1"/>
  <c r="VLM27" i="9" s="1"/>
  <c r="VLO27" i="9" s="1"/>
  <c r="VLQ27" i="9" s="1"/>
  <c r="VLS27" i="9" s="1"/>
  <c r="VLU27" i="9" s="1"/>
  <c r="VLW27" i="9" s="1"/>
  <c r="VLY27" i="9" s="1"/>
  <c r="VMA27" i="9" s="1"/>
  <c r="VMC27" i="9" s="1"/>
  <c r="VME27" i="9" s="1"/>
  <c r="VMG27" i="9" s="1"/>
  <c r="VMI27" i="9" s="1"/>
  <c r="VMK27" i="9" s="1"/>
  <c r="VMM27" i="9" s="1"/>
  <c r="VMO27" i="9" s="1"/>
  <c r="VMQ27" i="9" s="1"/>
  <c r="VMS27" i="9" s="1"/>
  <c r="VMU27" i="9" s="1"/>
  <c r="VMW27" i="9" s="1"/>
  <c r="VMY27" i="9" s="1"/>
  <c r="VNA27" i="9" s="1"/>
  <c r="VNC27" i="9" s="1"/>
  <c r="VNE27" i="9" s="1"/>
  <c r="VNG27" i="9" s="1"/>
  <c r="VNI27" i="9" s="1"/>
  <c r="VNK27" i="9" s="1"/>
  <c r="VNM27" i="9" s="1"/>
  <c r="VNO27" i="9" s="1"/>
  <c r="VNQ27" i="9" s="1"/>
  <c r="VNS27" i="9" s="1"/>
  <c r="VNU27" i="9" s="1"/>
  <c r="VNW27" i="9" s="1"/>
  <c r="VNY27" i="9" s="1"/>
  <c r="VOA27" i="9" s="1"/>
  <c r="VOC27" i="9" s="1"/>
  <c r="VOE27" i="9" s="1"/>
  <c r="VOG27" i="9" s="1"/>
  <c r="VOI27" i="9" s="1"/>
  <c r="VOK27" i="9" s="1"/>
  <c r="VOM27" i="9" s="1"/>
  <c r="VOO27" i="9" s="1"/>
  <c r="VOQ27" i="9" s="1"/>
  <c r="VOS27" i="9" s="1"/>
  <c r="VOU27" i="9" s="1"/>
  <c r="VOW27" i="9" s="1"/>
  <c r="VOY27" i="9" s="1"/>
  <c r="VPA27" i="9" s="1"/>
  <c r="VPC27" i="9" s="1"/>
  <c r="VPE27" i="9" s="1"/>
  <c r="VPG27" i="9" s="1"/>
  <c r="VPI27" i="9" s="1"/>
  <c r="VPK27" i="9" s="1"/>
  <c r="VPM27" i="9" s="1"/>
  <c r="VPO27" i="9" s="1"/>
  <c r="VPQ27" i="9" s="1"/>
  <c r="VPS27" i="9" s="1"/>
  <c r="VPU27" i="9" s="1"/>
  <c r="VPW27" i="9" s="1"/>
  <c r="VPY27" i="9" s="1"/>
  <c r="VQA27" i="9" s="1"/>
  <c r="VQC27" i="9" s="1"/>
  <c r="VQE27" i="9" s="1"/>
  <c r="VQG27" i="9" s="1"/>
  <c r="VQI27" i="9" s="1"/>
  <c r="VQK27" i="9" s="1"/>
  <c r="VQM27" i="9" s="1"/>
  <c r="VQO27" i="9" s="1"/>
  <c r="VQQ27" i="9" s="1"/>
  <c r="VQS27" i="9" s="1"/>
  <c r="VQU27" i="9" s="1"/>
  <c r="VQW27" i="9" s="1"/>
  <c r="VQY27" i="9" s="1"/>
  <c r="VRA27" i="9" s="1"/>
  <c r="VRC27" i="9" s="1"/>
  <c r="VRE27" i="9" s="1"/>
  <c r="VRG27" i="9" s="1"/>
  <c r="VRI27" i="9" s="1"/>
  <c r="VRK27" i="9" s="1"/>
  <c r="VRM27" i="9" s="1"/>
  <c r="VRO27" i="9" s="1"/>
  <c r="VRQ27" i="9" s="1"/>
  <c r="VRS27" i="9" s="1"/>
  <c r="VRU27" i="9" s="1"/>
  <c r="VRW27" i="9" s="1"/>
  <c r="VRY27" i="9" s="1"/>
  <c r="VSA27" i="9" s="1"/>
  <c r="VSC27" i="9" s="1"/>
  <c r="VSE27" i="9" s="1"/>
  <c r="VSG27" i="9" s="1"/>
  <c r="VSI27" i="9" s="1"/>
  <c r="VSK27" i="9" s="1"/>
  <c r="VSM27" i="9" s="1"/>
  <c r="VSO27" i="9" s="1"/>
  <c r="VSQ27" i="9" s="1"/>
  <c r="VSS27" i="9" s="1"/>
  <c r="VSU27" i="9" s="1"/>
  <c r="VSW27" i="9" s="1"/>
  <c r="VSY27" i="9" s="1"/>
  <c r="VTA27" i="9" s="1"/>
  <c r="VTC27" i="9" s="1"/>
  <c r="VTE27" i="9" s="1"/>
  <c r="VTG27" i="9" s="1"/>
  <c r="VTI27" i="9" s="1"/>
  <c r="VTK27" i="9" s="1"/>
  <c r="VTM27" i="9" s="1"/>
  <c r="VTO27" i="9" s="1"/>
  <c r="VTQ27" i="9" s="1"/>
  <c r="VTS27" i="9" s="1"/>
  <c r="VTU27" i="9" s="1"/>
  <c r="VTW27" i="9" s="1"/>
  <c r="VTY27" i="9" s="1"/>
  <c r="VUA27" i="9" s="1"/>
  <c r="VUC27" i="9" s="1"/>
  <c r="VUE27" i="9" s="1"/>
  <c r="VUG27" i="9" s="1"/>
  <c r="VUI27" i="9" s="1"/>
  <c r="VUK27" i="9" s="1"/>
  <c r="VUM27" i="9" s="1"/>
  <c r="VUO27" i="9" s="1"/>
  <c r="VUQ27" i="9" s="1"/>
  <c r="VUS27" i="9" s="1"/>
  <c r="VUU27" i="9" s="1"/>
  <c r="VUW27" i="9" s="1"/>
  <c r="VUY27" i="9" s="1"/>
  <c r="VVA27" i="9" s="1"/>
  <c r="VVC27" i="9" s="1"/>
  <c r="VVE27" i="9" s="1"/>
  <c r="VVG27" i="9" s="1"/>
  <c r="VVI27" i="9" s="1"/>
  <c r="VVK27" i="9" s="1"/>
  <c r="VVM27" i="9" s="1"/>
  <c r="VVO27" i="9" s="1"/>
  <c r="VVQ27" i="9" s="1"/>
  <c r="VVS27" i="9" s="1"/>
  <c r="VVU27" i="9" s="1"/>
  <c r="VVW27" i="9" s="1"/>
  <c r="VVY27" i="9" s="1"/>
  <c r="VWA27" i="9" s="1"/>
  <c r="VWC27" i="9" s="1"/>
  <c r="VWE27" i="9" s="1"/>
  <c r="VWG27" i="9" s="1"/>
  <c r="VWI27" i="9" s="1"/>
  <c r="VWK27" i="9" s="1"/>
  <c r="VWM27" i="9" s="1"/>
  <c r="VWO27" i="9" s="1"/>
  <c r="VWQ27" i="9" s="1"/>
  <c r="VWS27" i="9" s="1"/>
  <c r="VWU27" i="9" s="1"/>
  <c r="VWW27" i="9" s="1"/>
  <c r="VWY27" i="9" s="1"/>
  <c r="VXA27" i="9" s="1"/>
  <c r="VXC27" i="9" s="1"/>
  <c r="VXE27" i="9" s="1"/>
  <c r="VXG27" i="9" s="1"/>
  <c r="VXI27" i="9" s="1"/>
  <c r="VXK27" i="9" s="1"/>
  <c r="VXM27" i="9" s="1"/>
  <c r="VXO27" i="9" s="1"/>
  <c r="VXQ27" i="9" s="1"/>
  <c r="VXS27" i="9" s="1"/>
  <c r="VXU27" i="9" s="1"/>
  <c r="VXW27" i="9" s="1"/>
  <c r="VXY27" i="9" s="1"/>
  <c r="VYA27" i="9" s="1"/>
  <c r="VYC27" i="9" s="1"/>
  <c r="VYE27" i="9" s="1"/>
  <c r="VYG27" i="9" s="1"/>
  <c r="VYI27" i="9" s="1"/>
  <c r="VYK27" i="9" s="1"/>
  <c r="VYM27" i="9" s="1"/>
  <c r="VYO27" i="9" s="1"/>
  <c r="VYQ27" i="9" s="1"/>
  <c r="VYS27" i="9" s="1"/>
  <c r="VYU27" i="9" s="1"/>
  <c r="VYW27" i="9" s="1"/>
  <c r="VYY27" i="9" s="1"/>
  <c r="VZA27" i="9" s="1"/>
  <c r="VZC27" i="9" s="1"/>
  <c r="VZE27" i="9" s="1"/>
  <c r="VZG27" i="9" s="1"/>
  <c r="VZI27" i="9" s="1"/>
  <c r="VZK27" i="9" s="1"/>
  <c r="VZM27" i="9" s="1"/>
  <c r="VZO27" i="9" s="1"/>
  <c r="VZQ27" i="9" s="1"/>
  <c r="VZS27" i="9" s="1"/>
  <c r="VZU27" i="9" s="1"/>
  <c r="VZW27" i="9" s="1"/>
  <c r="VZY27" i="9" s="1"/>
  <c r="WAA27" i="9" s="1"/>
  <c r="WAC27" i="9" s="1"/>
  <c r="WAE27" i="9" s="1"/>
  <c r="WAG27" i="9" s="1"/>
  <c r="WAI27" i="9" s="1"/>
  <c r="WAK27" i="9" s="1"/>
  <c r="WAM27" i="9" s="1"/>
  <c r="WAO27" i="9" s="1"/>
  <c r="WAQ27" i="9" s="1"/>
  <c r="WAS27" i="9" s="1"/>
  <c r="WAU27" i="9" s="1"/>
  <c r="WAW27" i="9" s="1"/>
  <c r="WAY27" i="9" s="1"/>
  <c r="WBA27" i="9" s="1"/>
  <c r="WBC27" i="9" s="1"/>
  <c r="WBE27" i="9" s="1"/>
  <c r="WBG27" i="9" s="1"/>
  <c r="WBI27" i="9" s="1"/>
  <c r="WBK27" i="9" s="1"/>
  <c r="WBM27" i="9" s="1"/>
  <c r="WBO27" i="9" s="1"/>
  <c r="WBQ27" i="9" s="1"/>
  <c r="WBS27" i="9" s="1"/>
  <c r="WBU27" i="9" s="1"/>
  <c r="WBW27" i="9" s="1"/>
  <c r="WBY27" i="9" s="1"/>
  <c r="WCA27" i="9" s="1"/>
  <c r="WCC27" i="9" s="1"/>
  <c r="WCE27" i="9" s="1"/>
  <c r="WCG27" i="9" s="1"/>
  <c r="WCI27" i="9" s="1"/>
  <c r="WCK27" i="9" s="1"/>
  <c r="WCM27" i="9" s="1"/>
  <c r="WCO27" i="9" s="1"/>
  <c r="WCQ27" i="9" s="1"/>
  <c r="WCS27" i="9" s="1"/>
  <c r="WCU27" i="9" s="1"/>
  <c r="WCW27" i="9" s="1"/>
  <c r="WCY27" i="9" s="1"/>
  <c r="WDA27" i="9" s="1"/>
  <c r="WDC27" i="9" s="1"/>
  <c r="WDE27" i="9" s="1"/>
  <c r="WDG27" i="9" s="1"/>
  <c r="WDI27" i="9" s="1"/>
  <c r="WDK27" i="9" s="1"/>
  <c r="WDM27" i="9" s="1"/>
  <c r="WDO27" i="9" s="1"/>
  <c r="WDQ27" i="9" s="1"/>
  <c r="WDS27" i="9" s="1"/>
  <c r="WDU27" i="9" s="1"/>
  <c r="WDW27" i="9" s="1"/>
  <c r="WDY27" i="9" s="1"/>
  <c r="WEA27" i="9" s="1"/>
  <c r="WEC27" i="9" s="1"/>
  <c r="WEE27" i="9" s="1"/>
  <c r="WEG27" i="9" s="1"/>
  <c r="WEI27" i="9" s="1"/>
  <c r="WEK27" i="9" s="1"/>
  <c r="WEM27" i="9" s="1"/>
  <c r="WEO27" i="9" s="1"/>
  <c r="WEQ27" i="9" s="1"/>
  <c r="WES27" i="9" s="1"/>
  <c r="WEU27" i="9" s="1"/>
  <c r="WEW27" i="9" s="1"/>
  <c r="WEY27" i="9" s="1"/>
  <c r="WFA27" i="9" s="1"/>
  <c r="WFC27" i="9" s="1"/>
  <c r="WFE27" i="9" s="1"/>
  <c r="WFG27" i="9" s="1"/>
  <c r="WFI27" i="9" s="1"/>
  <c r="WFK27" i="9" s="1"/>
  <c r="WFM27" i="9" s="1"/>
  <c r="WFO27" i="9" s="1"/>
  <c r="WFQ27" i="9" s="1"/>
  <c r="WFS27" i="9" s="1"/>
  <c r="WFU27" i="9" s="1"/>
  <c r="WFW27" i="9" s="1"/>
  <c r="WFY27" i="9" s="1"/>
  <c r="WGA27" i="9" s="1"/>
  <c r="WGC27" i="9" s="1"/>
  <c r="WGE27" i="9" s="1"/>
  <c r="WGG27" i="9" s="1"/>
  <c r="WGI27" i="9" s="1"/>
  <c r="WGK27" i="9" s="1"/>
  <c r="WGM27" i="9" s="1"/>
  <c r="WGO27" i="9" s="1"/>
  <c r="WGQ27" i="9" s="1"/>
  <c r="WGS27" i="9" s="1"/>
  <c r="WGU27" i="9" s="1"/>
  <c r="WGW27" i="9" s="1"/>
  <c r="WGY27" i="9" s="1"/>
  <c r="WHA27" i="9" s="1"/>
  <c r="WHC27" i="9" s="1"/>
  <c r="WHE27" i="9" s="1"/>
  <c r="WHG27" i="9" s="1"/>
  <c r="WHI27" i="9" s="1"/>
  <c r="WHK27" i="9" s="1"/>
  <c r="WHM27" i="9" s="1"/>
  <c r="WHO27" i="9" s="1"/>
  <c r="WHQ27" i="9" s="1"/>
  <c r="WHS27" i="9" s="1"/>
  <c r="WHU27" i="9" s="1"/>
  <c r="WHW27" i="9" s="1"/>
  <c r="WHY27" i="9" s="1"/>
  <c r="WIA27" i="9" s="1"/>
  <c r="WIC27" i="9" s="1"/>
  <c r="WIE27" i="9" s="1"/>
  <c r="WIG27" i="9" s="1"/>
  <c r="WII27" i="9" s="1"/>
  <c r="WIK27" i="9" s="1"/>
  <c r="WIM27" i="9" s="1"/>
  <c r="WIO27" i="9" s="1"/>
  <c r="WIQ27" i="9" s="1"/>
  <c r="WIS27" i="9" s="1"/>
  <c r="WIU27" i="9" s="1"/>
  <c r="WIW27" i="9" s="1"/>
  <c r="WIY27" i="9" s="1"/>
  <c r="WJA27" i="9" s="1"/>
  <c r="WJC27" i="9" s="1"/>
  <c r="WJE27" i="9" s="1"/>
  <c r="WJG27" i="9" s="1"/>
  <c r="WJI27" i="9" s="1"/>
  <c r="WJK27" i="9" s="1"/>
  <c r="WJM27" i="9" s="1"/>
  <c r="WJO27" i="9" s="1"/>
  <c r="WJQ27" i="9" s="1"/>
  <c r="WJS27" i="9" s="1"/>
  <c r="WJU27" i="9" s="1"/>
  <c r="WJW27" i="9" s="1"/>
  <c r="WJY27" i="9" s="1"/>
  <c r="WKA27" i="9" s="1"/>
  <c r="WKC27" i="9" s="1"/>
  <c r="WKE27" i="9" s="1"/>
  <c r="WKG27" i="9" s="1"/>
  <c r="WKI27" i="9" s="1"/>
  <c r="WKK27" i="9" s="1"/>
  <c r="WKM27" i="9" s="1"/>
  <c r="WKO27" i="9" s="1"/>
  <c r="WKQ27" i="9" s="1"/>
  <c r="WKS27" i="9" s="1"/>
  <c r="WKU27" i="9" s="1"/>
  <c r="WKW27" i="9" s="1"/>
  <c r="WKY27" i="9" s="1"/>
  <c r="WLA27" i="9" s="1"/>
  <c r="WLC27" i="9" s="1"/>
  <c r="WLE27" i="9" s="1"/>
  <c r="WLG27" i="9" s="1"/>
  <c r="WLI27" i="9" s="1"/>
  <c r="WLK27" i="9" s="1"/>
  <c r="WLM27" i="9" s="1"/>
  <c r="WLO27" i="9" s="1"/>
  <c r="WLQ27" i="9" s="1"/>
  <c r="WLS27" i="9" s="1"/>
  <c r="WLU27" i="9" s="1"/>
  <c r="WLW27" i="9" s="1"/>
  <c r="WLY27" i="9" s="1"/>
  <c r="WMA27" i="9" s="1"/>
  <c r="WMC27" i="9" s="1"/>
  <c r="WME27" i="9" s="1"/>
  <c r="WMG27" i="9" s="1"/>
  <c r="WMI27" i="9" s="1"/>
  <c r="WMK27" i="9" s="1"/>
  <c r="WMM27" i="9" s="1"/>
  <c r="WMO27" i="9" s="1"/>
  <c r="WMQ27" i="9" s="1"/>
  <c r="WMS27" i="9" s="1"/>
  <c r="WMU27" i="9" s="1"/>
  <c r="WMW27" i="9" s="1"/>
  <c r="WMY27" i="9" s="1"/>
  <c r="WNA27" i="9" s="1"/>
  <c r="WNC27" i="9" s="1"/>
  <c r="WNE27" i="9" s="1"/>
  <c r="WNG27" i="9" s="1"/>
  <c r="WNI27" i="9" s="1"/>
  <c r="WNK27" i="9" s="1"/>
  <c r="WNM27" i="9" s="1"/>
  <c r="WNO27" i="9" s="1"/>
  <c r="WNQ27" i="9" s="1"/>
  <c r="WNS27" i="9" s="1"/>
  <c r="WNU27" i="9" s="1"/>
  <c r="WNW27" i="9" s="1"/>
  <c r="WNY27" i="9" s="1"/>
  <c r="WOA27" i="9" s="1"/>
  <c r="WOC27" i="9" s="1"/>
  <c r="WOE27" i="9" s="1"/>
  <c r="WOG27" i="9" s="1"/>
  <c r="WOI27" i="9" s="1"/>
  <c r="WOK27" i="9" s="1"/>
  <c r="WOM27" i="9" s="1"/>
  <c r="WOO27" i="9" s="1"/>
  <c r="WOQ27" i="9" s="1"/>
  <c r="WOS27" i="9" s="1"/>
  <c r="WOU27" i="9" s="1"/>
  <c r="WOW27" i="9" s="1"/>
  <c r="WOY27" i="9" s="1"/>
  <c r="WPA27" i="9" s="1"/>
  <c r="WPC27" i="9" s="1"/>
  <c r="WPE27" i="9" s="1"/>
  <c r="WPG27" i="9" s="1"/>
  <c r="WPI27" i="9" s="1"/>
  <c r="WPK27" i="9" s="1"/>
  <c r="WPM27" i="9" s="1"/>
  <c r="WPO27" i="9" s="1"/>
  <c r="WPQ27" i="9" s="1"/>
  <c r="WPS27" i="9" s="1"/>
  <c r="WPU27" i="9" s="1"/>
  <c r="WPW27" i="9" s="1"/>
  <c r="WPY27" i="9" s="1"/>
  <c r="WQA27" i="9" s="1"/>
  <c r="WQC27" i="9" s="1"/>
  <c r="WQE27" i="9" s="1"/>
  <c r="WQG27" i="9" s="1"/>
  <c r="WQI27" i="9" s="1"/>
  <c r="WQK27" i="9" s="1"/>
  <c r="WQM27" i="9" s="1"/>
  <c r="WQO27" i="9" s="1"/>
  <c r="WQQ27" i="9" s="1"/>
  <c r="WQS27" i="9" s="1"/>
  <c r="WQU27" i="9" s="1"/>
  <c r="WQW27" i="9" s="1"/>
  <c r="WQY27" i="9" s="1"/>
  <c r="WRA27" i="9" s="1"/>
  <c r="WRC27" i="9" s="1"/>
  <c r="WRE27" i="9" s="1"/>
  <c r="WRG27" i="9" s="1"/>
  <c r="WRI27" i="9" s="1"/>
  <c r="WRK27" i="9" s="1"/>
  <c r="WRM27" i="9" s="1"/>
  <c r="WRO27" i="9" s="1"/>
  <c r="WRQ27" i="9" s="1"/>
  <c r="WRS27" i="9" s="1"/>
  <c r="WRU27" i="9" s="1"/>
  <c r="WRW27" i="9" s="1"/>
  <c r="WRY27" i="9" s="1"/>
  <c r="WSA27" i="9" s="1"/>
  <c r="WSC27" i="9" s="1"/>
  <c r="WSE27" i="9" s="1"/>
  <c r="WSG27" i="9" s="1"/>
  <c r="WSI27" i="9" s="1"/>
  <c r="WSK27" i="9" s="1"/>
  <c r="WSM27" i="9" s="1"/>
  <c r="WSO27" i="9" s="1"/>
  <c r="WSQ27" i="9" s="1"/>
  <c r="WSS27" i="9" s="1"/>
  <c r="WSU27" i="9" s="1"/>
  <c r="WSW27" i="9" s="1"/>
  <c r="WSY27" i="9" s="1"/>
  <c r="WTA27" i="9" s="1"/>
  <c r="WTC27" i="9" s="1"/>
  <c r="WTE27" i="9" s="1"/>
  <c r="WTG27" i="9" s="1"/>
  <c r="WTI27" i="9" s="1"/>
  <c r="WTK27" i="9" s="1"/>
  <c r="WTM27" i="9" s="1"/>
  <c r="WTO27" i="9" s="1"/>
  <c r="WTQ27" i="9" s="1"/>
  <c r="WTS27" i="9" s="1"/>
  <c r="WTU27" i="9" s="1"/>
  <c r="WTW27" i="9" s="1"/>
  <c r="WTY27" i="9" s="1"/>
  <c r="WUA27" i="9" s="1"/>
  <c r="WUC27" i="9" s="1"/>
  <c r="WUE27" i="9" s="1"/>
  <c r="WUG27" i="9" s="1"/>
  <c r="WUI27" i="9" s="1"/>
  <c r="WUK27" i="9" s="1"/>
  <c r="WUM27" i="9" s="1"/>
  <c r="WUO27" i="9" s="1"/>
  <c r="WUQ27" i="9" s="1"/>
  <c r="WUS27" i="9" s="1"/>
  <c r="WUU27" i="9" s="1"/>
  <c r="WUW27" i="9" s="1"/>
  <c r="WUY27" i="9" s="1"/>
  <c r="WVA27" i="9" s="1"/>
  <c r="WVC27" i="9" s="1"/>
  <c r="WVE27" i="9" s="1"/>
  <c r="WVG27" i="9" s="1"/>
  <c r="WVI27" i="9" s="1"/>
  <c r="WVK27" i="9" s="1"/>
  <c r="WVM27" i="9" s="1"/>
  <c r="WVO27" i="9" s="1"/>
  <c r="WVQ27" i="9" s="1"/>
  <c r="WVS27" i="9" s="1"/>
  <c r="WVU27" i="9" s="1"/>
  <c r="WVW27" i="9" s="1"/>
  <c r="WVY27" i="9" s="1"/>
  <c r="WWA27" i="9" s="1"/>
  <c r="WWC27" i="9" s="1"/>
  <c r="WWE27" i="9" s="1"/>
  <c r="WWG27" i="9" s="1"/>
  <c r="WWI27" i="9" s="1"/>
  <c r="WWK27" i="9" s="1"/>
  <c r="WWM27" i="9" s="1"/>
  <c r="WWO27" i="9" s="1"/>
  <c r="WWQ27" i="9" s="1"/>
  <c r="WWS27" i="9" s="1"/>
  <c r="WWU27" i="9" s="1"/>
  <c r="WWW27" i="9" s="1"/>
  <c r="WWY27" i="9" s="1"/>
  <c r="WXA27" i="9" s="1"/>
  <c r="WXC27" i="9" s="1"/>
  <c r="WXE27" i="9" s="1"/>
  <c r="WXG27" i="9" s="1"/>
  <c r="WXI27" i="9" s="1"/>
  <c r="WXK27" i="9" s="1"/>
  <c r="WXM27" i="9" s="1"/>
  <c r="WXO27" i="9" s="1"/>
  <c r="WXQ27" i="9" s="1"/>
  <c r="WXS27" i="9" s="1"/>
  <c r="WXU27" i="9" s="1"/>
  <c r="WXW27" i="9" s="1"/>
  <c r="WXY27" i="9" s="1"/>
  <c r="WYA27" i="9" s="1"/>
  <c r="WYC27" i="9" s="1"/>
  <c r="WYE27" i="9" s="1"/>
  <c r="WYG27" i="9" s="1"/>
  <c r="WYI27" i="9" s="1"/>
  <c r="WYK27" i="9" s="1"/>
  <c r="WYM27" i="9" s="1"/>
  <c r="WYO27" i="9" s="1"/>
  <c r="WYQ27" i="9" s="1"/>
  <c r="WYS27" i="9" s="1"/>
  <c r="WYU27" i="9" s="1"/>
  <c r="WYW27" i="9" s="1"/>
  <c r="WYY27" i="9" s="1"/>
  <c r="WZA27" i="9" s="1"/>
  <c r="WZC27" i="9" s="1"/>
  <c r="WZE27" i="9" s="1"/>
  <c r="WZG27" i="9" s="1"/>
  <c r="WZI27" i="9" s="1"/>
  <c r="WZK27" i="9" s="1"/>
  <c r="WZM27" i="9" s="1"/>
  <c r="WZO27" i="9" s="1"/>
  <c r="WZQ27" i="9" s="1"/>
  <c r="WZS27" i="9" s="1"/>
  <c r="WZU27" i="9" s="1"/>
  <c r="WZW27" i="9" s="1"/>
  <c r="WZY27" i="9" s="1"/>
  <c r="XAA27" i="9" s="1"/>
  <c r="XAC27" i="9" s="1"/>
  <c r="XAE27" i="9" s="1"/>
  <c r="XAG27" i="9" s="1"/>
  <c r="XAI27" i="9" s="1"/>
  <c r="XAK27" i="9" s="1"/>
  <c r="XAM27" i="9" s="1"/>
  <c r="XAO27" i="9" s="1"/>
  <c r="XAQ27" i="9" s="1"/>
  <c r="XAS27" i="9" s="1"/>
  <c r="XAU27" i="9" s="1"/>
  <c r="XAW27" i="9" s="1"/>
  <c r="XAY27" i="9" s="1"/>
  <c r="XBA27" i="9" s="1"/>
  <c r="XBC27" i="9" s="1"/>
  <c r="XBE27" i="9" s="1"/>
  <c r="XBG27" i="9" s="1"/>
  <c r="XBI27" i="9" s="1"/>
  <c r="XBK27" i="9" s="1"/>
  <c r="XBM27" i="9" s="1"/>
  <c r="XBO27" i="9" s="1"/>
  <c r="XBQ27" i="9" s="1"/>
  <c r="XBS27" i="9" s="1"/>
  <c r="XBU27" i="9" s="1"/>
  <c r="XBW27" i="9" s="1"/>
  <c r="XBY27" i="9" s="1"/>
  <c r="XCA27" i="9" s="1"/>
  <c r="XCC27" i="9" s="1"/>
  <c r="XCE27" i="9" s="1"/>
  <c r="XCG27" i="9" s="1"/>
  <c r="XCI27" i="9" s="1"/>
  <c r="XCK27" i="9" s="1"/>
  <c r="XCM27" i="9" s="1"/>
  <c r="XCO27" i="9" s="1"/>
  <c r="XCQ27" i="9" s="1"/>
  <c r="XCS27" i="9" s="1"/>
  <c r="XCU27" i="9" s="1"/>
  <c r="XCW27" i="9" s="1"/>
  <c r="XCY27" i="9" s="1"/>
  <c r="XDA27" i="9" s="1"/>
  <c r="XDC27" i="9" s="1"/>
  <c r="XDE27" i="9" s="1"/>
  <c r="XDG27" i="9" s="1"/>
  <c r="XDI27" i="9" s="1"/>
  <c r="XDK27" i="9" s="1"/>
  <c r="XDM27" i="9" s="1"/>
  <c r="XDO27" i="9" s="1"/>
  <c r="XDQ27" i="9" s="1"/>
  <c r="XDS27" i="9" s="1"/>
  <c r="XDU27" i="9" s="1"/>
  <c r="XDW27" i="9" s="1"/>
  <c r="XDY27" i="9" s="1"/>
  <c r="XEA27" i="9" s="1"/>
  <c r="XEC27" i="9" s="1"/>
  <c r="XEE27" i="9" s="1"/>
  <c r="XEG27" i="9" s="1"/>
  <c r="XEI27" i="9" s="1"/>
  <c r="XEK27" i="9" s="1"/>
  <c r="XEM27" i="9" s="1"/>
  <c r="XEO27" i="9" s="1"/>
  <c r="XEQ27" i="9" s="1"/>
  <c r="XES27" i="9" s="1"/>
  <c r="XEU27" i="9" s="1"/>
  <c r="XEW27" i="9" s="1"/>
  <c r="XEY27" i="9" s="1"/>
  <c r="XFA27" i="9" s="1"/>
  <c r="XFC27" i="9" s="1"/>
  <c r="G27" i="9"/>
  <c r="Z791" i="3"/>
  <c r="E8" i="10"/>
  <c r="E4" i="10"/>
  <c r="S45" i="4"/>
  <c r="C45" i="4"/>
  <c r="E25" i="4"/>
  <c r="E24" i="4"/>
  <c r="E23" i="4"/>
  <c r="E22" i="4"/>
  <c r="E21" i="4"/>
  <c r="E20" i="4"/>
  <c r="E19" i="4"/>
  <c r="E18" i="4"/>
  <c r="E17" i="4"/>
  <c r="E27" i="4"/>
  <c r="E37" i="4"/>
  <c r="E36" i="4"/>
  <c r="E35" i="4"/>
  <c r="E34" i="4"/>
  <c r="E33" i="4"/>
  <c r="E32" i="4"/>
  <c r="E31" i="4"/>
  <c r="E30" i="4"/>
  <c r="E29" i="4"/>
  <c r="E41" i="4"/>
  <c r="E40" i="4"/>
  <c r="E43" i="4"/>
  <c r="E52" i="4"/>
  <c r="E51" i="4"/>
  <c r="E50" i="4"/>
  <c r="E49" i="4"/>
  <c r="E48" i="4"/>
  <c r="E47" i="4"/>
  <c r="E46" i="4"/>
  <c r="E60" i="4"/>
  <c r="E59" i="4"/>
  <c r="E58" i="4"/>
  <c r="E57" i="4"/>
  <c r="E56" i="4"/>
  <c r="E55" i="4"/>
  <c r="E68" i="4"/>
  <c r="E67" i="4"/>
  <c r="E66" i="4"/>
  <c r="E65" i="4"/>
  <c r="E64" i="4"/>
  <c r="E75" i="4"/>
  <c r="E74" i="4"/>
  <c r="E73" i="4"/>
  <c r="E72" i="4"/>
  <c r="E71" i="4"/>
  <c r="E79" i="4"/>
  <c r="E78" i="4"/>
  <c r="E94" i="4"/>
  <c r="E93" i="4"/>
  <c r="E92" i="4"/>
  <c r="E91" i="4"/>
  <c r="E90" i="4"/>
  <c r="E89" i="4"/>
  <c r="E88" i="4"/>
  <c r="E87" i="4"/>
  <c r="E86" i="4"/>
  <c r="E85" i="4"/>
  <c r="E84" i="4"/>
  <c r="E83" i="4"/>
  <c r="E82" i="4"/>
  <c r="E102" i="4"/>
  <c r="E101" i="4"/>
  <c r="E100" i="4"/>
  <c r="E99" i="4"/>
  <c r="E15" i="4"/>
  <c r="E14" i="4"/>
  <c r="E13" i="4"/>
  <c r="E10" i="4"/>
  <c r="E9" i="4"/>
  <c r="E7" i="4"/>
  <c r="E6" i="4"/>
  <c r="E5" i="4"/>
  <c r="S65" i="4"/>
  <c r="S48" i="4"/>
  <c r="S36" i="4"/>
  <c r="S35" i="4"/>
  <c r="S34" i="4"/>
  <c r="S33" i="4"/>
  <c r="S32" i="4"/>
  <c r="S31" i="4"/>
  <c r="S30" i="4"/>
  <c r="S29" i="4"/>
  <c r="S14" i="4"/>
  <c r="S83" i="4"/>
  <c r="S85" i="4"/>
  <c r="C78" i="4"/>
  <c r="AJ982" i="3"/>
  <c r="AC864" i="3"/>
  <c r="AC868" i="3"/>
  <c r="R632" i="3"/>
  <c r="G17" i="7" l="1"/>
  <c r="S98" i="4"/>
  <c r="S89" i="4"/>
  <c r="S88" i="4"/>
  <c r="S84" i="4"/>
  <c r="S79" i="4"/>
  <c r="S78" i="4"/>
  <c r="S64" i="4"/>
  <c r="S50" i="4"/>
  <c r="S41" i="4"/>
  <c r="S40" i="4"/>
  <c r="C75" i="4"/>
  <c r="C41" i="4"/>
  <c r="C32" i="4"/>
  <c r="C33" i="4" s="1"/>
  <c r="C30" i="4"/>
  <c r="C13" i="4"/>
  <c r="AC871" i="3"/>
  <c r="AC866" i="3"/>
  <c r="W824" i="3"/>
  <c r="K711" i="3"/>
  <c r="O709" i="3"/>
  <c r="K707" i="3"/>
  <c r="K708" i="3" s="1"/>
  <c r="K709" i="3" s="1"/>
  <c r="H661" i="3"/>
  <c r="AA653" i="3"/>
  <c r="H653" i="3"/>
  <c r="G650" i="3"/>
  <c r="Q495" i="3"/>
  <c r="H333" i="3"/>
  <c r="H332" i="3"/>
  <c r="H331" i="3"/>
  <c r="H330" i="3"/>
  <c r="H329" i="3"/>
  <c r="H295" i="3"/>
  <c r="H292" i="3"/>
  <c r="H290" i="3"/>
  <c r="U17" i="28" l="1"/>
  <c r="R9" i="4" l="1"/>
  <c r="R4" i="4"/>
  <c r="T25" i="5" l="1"/>
  <c r="S10" i="4" l="1"/>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K107" i="4" l="1"/>
  <c r="L107" i="4"/>
  <c r="M107" i="4"/>
  <c r="N107" i="4"/>
  <c r="O107" i="4"/>
  <c r="P107" i="4"/>
  <c r="Q107" i="4"/>
  <c r="I107" i="4"/>
  <c r="H107" i="4"/>
  <c r="G107" i="4"/>
  <c r="F107" i="4"/>
  <c r="E107" i="4"/>
  <c r="B100" i="15" l="1"/>
  <c r="C100" i="15"/>
  <c r="E100" i="15" s="1"/>
  <c r="D100" i="15"/>
  <c r="B101" i="15"/>
  <c r="C101" i="15"/>
  <c r="D101" i="15"/>
  <c r="B102" i="15"/>
  <c r="C102" i="15"/>
  <c r="E102" i="15" s="1"/>
  <c r="D102" i="15"/>
  <c r="B103" i="15"/>
  <c r="C103" i="15"/>
  <c r="E103" i="15" s="1"/>
  <c r="D103"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4" i="15" l="1"/>
  <c r="E66" i="15"/>
  <c r="E25" i="15"/>
  <c r="E76" i="15"/>
  <c r="E38"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B67" i="4"/>
  <c r="B66" i="4"/>
  <c r="B65" i="4"/>
  <c r="R65" i="4" s="1"/>
  <c r="B36" i="4"/>
  <c r="R36" i="4"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C69" i="4"/>
  <c r="C76" i="4"/>
  <c r="C80" i="4"/>
  <c r="C95" i="4"/>
  <c r="C103" i="4"/>
  <c r="C65" i="25"/>
  <c r="C66" i="25"/>
  <c r="G67" i="25" s="1"/>
  <c r="Y20" i="5"/>
  <c r="Y22" i="5"/>
  <c r="AI20" i="5"/>
  <c r="S26" i="4"/>
  <c r="S38" i="4"/>
  <c r="S42" i="4"/>
  <c r="S53" i="4"/>
  <c r="E52" i="18" s="1"/>
  <c r="S69" i="4"/>
  <c r="E68" i="18" s="1"/>
  <c r="S80" i="4"/>
  <c r="E79" i="18" s="1"/>
  <c r="S95" i="4"/>
  <c r="E94" i="18" s="1"/>
  <c r="S103" i="4"/>
  <c r="E102" i="18" s="1"/>
  <c r="F25" i="18"/>
  <c r="F37" i="18"/>
  <c r="F41" i="18"/>
  <c r="F52" i="18"/>
  <c r="F68" i="18"/>
  <c r="F79" i="18"/>
  <c r="F94" i="18"/>
  <c r="F102" i="18"/>
  <c r="T20" i="5"/>
  <c r="T22" i="5" s="1"/>
  <c r="T26" i="4"/>
  <c r="T38" i="4"/>
  <c r="H37" i="18" s="1"/>
  <c r="T42" i="4"/>
  <c r="T53" i="4"/>
  <c r="H52" i="18" s="1"/>
  <c r="T11" i="4"/>
  <c r="T69" i="4"/>
  <c r="H68" i="18" s="1"/>
  <c r="T80" i="4"/>
  <c r="H79" i="18" s="1"/>
  <c r="T95" i="4"/>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17" i="27"/>
  <c r="Y20" i="27" s="1"/>
  <c r="Y22" i="27" s="1"/>
  <c r="Y18" i="27"/>
  <c r="Y19" i="27"/>
  <c r="AD13" i="27"/>
  <c r="AI13" i="27"/>
  <c r="AI14" i="27"/>
  <c r="AI20" i="27" s="1"/>
  <c r="AI22" i="27" s="1"/>
  <c r="AI15" i="27"/>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T14" i="26"/>
  <c r="AD14" i="26"/>
  <c r="AI14" i="26"/>
  <c r="T15" i="26"/>
  <c r="AD15" i="26"/>
  <c r="AI15" i="26"/>
  <c r="T16" i="26"/>
  <c r="AD16" i="26"/>
  <c r="AI16" i="26"/>
  <c r="T17" i="26"/>
  <c r="T20" i="26" s="1"/>
  <c r="T22" i="26" s="1"/>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4" i="4"/>
  <c r="F80" i="4"/>
  <c r="G80" i="4"/>
  <c r="H80" i="4"/>
  <c r="B79" i="18"/>
  <c r="G76" i="4"/>
  <c r="F76" i="4"/>
  <c r="B78" i="18"/>
  <c r="E78" i="18"/>
  <c r="H78" i="18"/>
  <c r="B79" i="4"/>
  <c r="R79" i="4" s="1"/>
  <c r="B78" i="4"/>
  <c r="R78" i="4" s="1"/>
  <c r="AG443" i="3"/>
  <c r="B94" i="18"/>
  <c r="B102" i="4"/>
  <c r="B53"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92" i="4"/>
  <c r="R60" i="4"/>
  <c r="R59" i="4"/>
  <c r="R58" i="4"/>
  <c r="R57" i="4"/>
  <c r="R56" i="4"/>
  <c r="R51" i="4"/>
  <c r="R47" i="4"/>
  <c r="R46" i="4"/>
  <c r="R43" i="4"/>
  <c r="R33" i="4"/>
  <c r="R30" i="4"/>
  <c r="R27" i="4"/>
  <c r="R25" i="4"/>
  <c r="R23" i="4"/>
  <c r="R22" i="4"/>
  <c r="R21" i="4"/>
  <c r="R20" i="4"/>
  <c r="R19" i="4"/>
  <c r="R18" i="4"/>
  <c r="R17" i="4"/>
  <c r="R15" i="4"/>
  <c r="R13" i="4"/>
  <c r="R7" i="4"/>
  <c r="D5" i="15"/>
  <c r="D6" i="15"/>
  <c r="D7" i="15"/>
  <c r="D8" i="15"/>
  <c r="D10" i="15"/>
  <c r="D11" i="15"/>
  <c r="D14" i="15"/>
  <c r="D15" i="15"/>
  <c r="D16" i="15"/>
  <c r="D18" i="15"/>
  <c r="E37" i="18"/>
  <c r="E41" i="18"/>
  <c r="H25" i="18"/>
  <c r="H94" i="18"/>
  <c r="H102" i="18"/>
  <c r="B37"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E4" i="4" s="1"/>
  <c r="E8" i="4" s="1"/>
  <c r="B5" i="4"/>
  <c r="B6" i="4"/>
  <c r="R6" i="4" s="1"/>
  <c r="B7" i="4"/>
  <c r="F8" i="4"/>
  <c r="G8" i="4"/>
  <c r="H8" i="4"/>
  <c r="H11" i="4"/>
  <c r="L12" i="4"/>
  <c r="B9" i="4"/>
  <c r="B10" i="4"/>
  <c r="R10" i="4" s="1"/>
  <c r="F11" i="4"/>
  <c r="F12" i="4" s="1"/>
  <c r="G11" i="4"/>
  <c r="I12" i="4"/>
  <c r="O12" i="4"/>
  <c r="B13" i="4"/>
  <c r="B14" i="4"/>
  <c r="R14" i="4" s="1"/>
  <c r="B17" i="4"/>
  <c r="B18" i="4"/>
  <c r="B19" i="4"/>
  <c r="B20" i="4"/>
  <c r="B21" i="4"/>
  <c r="B22" i="4"/>
  <c r="B23" i="4"/>
  <c r="B25" i="4"/>
  <c r="E26" i="4"/>
  <c r="F26" i="4"/>
  <c r="G26" i="4"/>
  <c r="H26" i="4"/>
  <c r="M103" i="4"/>
  <c r="Q103" i="4"/>
  <c r="B27" i="4"/>
  <c r="B29" i="4"/>
  <c r="R29" i="4" s="1"/>
  <c r="B30" i="4"/>
  <c r="B31" i="4"/>
  <c r="R31" i="4" s="1"/>
  <c r="B32" i="4"/>
  <c r="R32" i="4" s="1"/>
  <c r="B33" i="4"/>
  <c r="B34" i="4"/>
  <c r="R34" i="4" s="1"/>
  <c r="B35" i="4"/>
  <c r="R35" i="4" s="1"/>
  <c r="B37" i="4"/>
  <c r="R37" i="4" s="1"/>
  <c r="F38" i="4"/>
  <c r="G38" i="4"/>
  <c r="H38" i="4"/>
  <c r="O103" i="4"/>
  <c r="B40" i="4"/>
  <c r="E42" i="4" s="1"/>
  <c r="B41" i="4"/>
  <c r="R41" i="4" s="1"/>
  <c r="F42" i="4"/>
  <c r="G42" i="4"/>
  <c r="H42" i="4"/>
  <c r="B43" i="4"/>
  <c r="B45" i="4"/>
  <c r="B46" i="4"/>
  <c r="B47" i="4"/>
  <c r="B48" i="4"/>
  <c r="R48" i="4" s="1"/>
  <c r="B49" i="4"/>
  <c r="R49" i="4" s="1"/>
  <c r="B50" i="4"/>
  <c r="B51" i="4"/>
  <c r="B52" i="4"/>
  <c r="R52" i="4" s="1"/>
  <c r="F53" i="4"/>
  <c r="F61" i="4"/>
  <c r="F95" i="4"/>
  <c r="F69" i="4"/>
  <c r="F103" i="4"/>
  <c r="G53" i="4"/>
  <c r="H53" i="4"/>
  <c r="B55" i="4"/>
  <c r="E61" i="4" s="1"/>
  <c r="R55" i="4"/>
  <c r="B56" i="4"/>
  <c r="B57" i="4"/>
  <c r="B58" i="4"/>
  <c r="B59" i="4"/>
  <c r="B60" i="4"/>
  <c r="G61" i="4"/>
  <c r="H61" i="4"/>
  <c r="B64" i="4"/>
  <c r="E69" i="4" s="1"/>
  <c r="B68" i="4"/>
  <c r="R68" i="4"/>
  <c r="G69" i="4"/>
  <c r="H69" i="4"/>
  <c r="B71" i="4"/>
  <c r="B72" i="4"/>
  <c r="R72" i="4" s="1"/>
  <c r="B73" i="4"/>
  <c r="R73" i="4" s="1"/>
  <c r="B74" i="4"/>
  <c r="B75" i="4"/>
  <c r="R75" i="4" s="1"/>
  <c r="H76" i="4"/>
  <c r="B82" i="4"/>
  <c r="R82" i="4" s="1"/>
  <c r="B83" i="4"/>
  <c r="R83" i="4" s="1"/>
  <c r="B84" i="4"/>
  <c r="R84" i="4" s="1"/>
  <c r="B85" i="4"/>
  <c r="R85" i="4" s="1"/>
  <c r="B86" i="4"/>
  <c r="R86" i="4" s="1"/>
  <c r="B87" i="4"/>
  <c r="B88" i="4"/>
  <c r="R88" i="4" s="1"/>
  <c r="B89" i="4"/>
  <c r="R89" i="4" s="1"/>
  <c r="B90" i="4"/>
  <c r="R90" i="4" s="1"/>
  <c r="B91" i="4"/>
  <c r="R91" i="4" s="1"/>
  <c r="B92" i="4"/>
  <c r="B93" i="4"/>
  <c r="R93" i="4" s="1"/>
  <c r="B94" i="4"/>
  <c r="G95" i="4"/>
  <c r="H95" i="4"/>
  <c r="B98" i="4"/>
  <c r="B99" i="4"/>
  <c r="R99" i="4"/>
  <c r="B100" i="4"/>
  <c r="R100" i="4"/>
  <c r="R102" i="4"/>
  <c r="G103" i="4"/>
  <c r="H103" i="4"/>
  <c r="I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G649" i="3" s="1"/>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E14" i="9"/>
  <c r="G14" i="9" s="1"/>
  <c r="B26" i="4"/>
  <c r="B80" i="4"/>
  <c r="G98" i="25" l="1"/>
  <c r="R45" i="4"/>
  <c r="E45" i="4"/>
  <c r="E53" i="4"/>
  <c r="B95" i="4"/>
  <c r="E95" i="4"/>
  <c r="E80" i="4"/>
  <c r="E76" i="4"/>
  <c r="T22" i="27"/>
  <c r="AI22" i="26"/>
  <c r="R87" i="4"/>
  <c r="R80" i="4"/>
  <c r="R71" i="4"/>
  <c r="R76" i="4" s="1"/>
  <c r="R64" i="4"/>
  <c r="R50" i="4"/>
  <c r="R40" i="4"/>
  <c r="E38" i="4"/>
  <c r="E62" i="4" s="1"/>
  <c r="E11" i="4"/>
  <c r="D12" i="4"/>
  <c r="B43" i="15"/>
  <c r="C43" i="15"/>
  <c r="E43" i="15" s="1"/>
  <c r="D43" i="15"/>
  <c r="G12" i="4"/>
  <c r="B104" i="15"/>
  <c r="C104" i="15"/>
  <c r="E104" i="15" s="1"/>
  <c r="D104" i="15"/>
  <c r="C39" i="15"/>
  <c r="D39" i="15"/>
  <c r="B39" i="15"/>
  <c r="AC42" i="9"/>
  <c r="B96" i="15"/>
  <c r="C96" i="15"/>
  <c r="D96" i="15"/>
  <c r="B27" i="15"/>
  <c r="C27" i="15"/>
  <c r="E27" i="15" s="1"/>
  <c r="D27" i="15"/>
  <c r="B81" i="15"/>
  <c r="D81" i="15"/>
  <c r="C81" i="15"/>
  <c r="B11" i="4"/>
  <c r="B12" i="4" s="1"/>
  <c r="B76" i="4"/>
  <c r="B77" i="15"/>
  <c r="C77" i="15"/>
  <c r="D77" i="15"/>
  <c r="B8" i="4"/>
  <c r="T62" i="4"/>
  <c r="H61" i="18" s="1"/>
  <c r="B68" i="18"/>
  <c r="B70" i="15"/>
  <c r="C70" i="15"/>
  <c r="E70" i="15" s="1"/>
  <c r="D70" i="15"/>
  <c r="B41" i="18"/>
  <c r="C62" i="15"/>
  <c r="D62" i="15"/>
  <c r="B62" i="15"/>
  <c r="U69" i="25"/>
  <c r="B54" i="15"/>
  <c r="C54" i="15"/>
  <c r="D54" i="15"/>
  <c r="BN627" i="3"/>
  <c r="L26" i="28" s="1"/>
  <c r="B11" i="18"/>
  <c r="E50" i="25"/>
  <c r="G52" i="25" s="1"/>
  <c r="AM709" i="3"/>
  <c r="BI724" i="3" s="1"/>
  <c r="AM707" i="3"/>
  <c r="BI722" i="3" s="1"/>
  <c r="BI733" i="3"/>
  <c r="AM718" i="3"/>
  <c r="BI732" i="3"/>
  <c r="AM717" i="3"/>
  <c r="BI731" i="3"/>
  <c r="AM716" i="3"/>
  <c r="BI730" i="3"/>
  <c r="AM715" i="3"/>
  <c r="AM710" i="3"/>
  <c r="BI725" i="3" s="1"/>
  <c r="BI729" i="3"/>
  <c r="AM714" i="3"/>
  <c r="BI728" i="3"/>
  <c r="AM713" i="3"/>
  <c r="AM708" i="3"/>
  <c r="BI723" i="3" s="1"/>
  <c r="BI727" i="3"/>
  <c r="AM712" i="3"/>
  <c r="AM711" i="3"/>
  <c r="BI726" i="3" s="1"/>
  <c r="R950" i="3"/>
  <c r="R951" i="3"/>
  <c r="R949" i="3"/>
  <c r="R948" i="3"/>
  <c r="R947" i="3"/>
  <c r="AG438" i="3"/>
  <c r="T27" i="27" s="1"/>
  <c r="AB47" i="26"/>
  <c r="I61" i="18"/>
  <c r="I95" i="18" s="1"/>
  <c r="I103" i="18" s="1"/>
  <c r="I105" i="18" s="1"/>
  <c r="J61" i="18"/>
  <c r="J95" i="18" s="1"/>
  <c r="J103" i="18" s="1"/>
  <c r="J105" i="18" s="1"/>
  <c r="K12" i="4"/>
  <c r="B42" i="4"/>
  <c r="J12" i="4"/>
  <c r="R11" i="4"/>
  <c r="R8" i="4"/>
  <c r="D12" i="15"/>
  <c r="B103" i="4"/>
  <c r="R69" i="4"/>
  <c r="G62" i="4"/>
  <c r="G96" i="4" s="1"/>
  <c r="G104" i="4" s="1"/>
  <c r="D9" i="15"/>
  <c r="C61" i="18"/>
  <c r="C95" i="18" s="1"/>
  <c r="C103" i="18" s="1"/>
  <c r="C12" i="18"/>
  <c r="E12" i="4"/>
  <c r="M62" i="4"/>
  <c r="M96" i="4" s="1"/>
  <c r="M104" i="4" s="1"/>
  <c r="J62" i="4"/>
  <c r="J96"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T96" i="4" l="1"/>
  <c r="H95" i="18" s="1"/>
  <c r="E54" i="15"/>
  <c r="E81" i="15"/>
  <c r="E96" i="4"/>
  <c r="E77" i="15"/>
  <c r="G53" i="25"/>
  <c r="E39" i="15"/>
  <c r="BI746" i="3"/>
  <c r="AM731" i="3" s="1"/>
  <c r="O612" i="6"/>
  <c r="AU578" i="6" s="1"/>
  <c r="E96" i="15"/>
  <c r="E62"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E61" i="18"/>
  <c r="B62" i="4"/>
  <c r="E95" i="18"/>
  <c r="S104" i="4"/>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G21" i="9"/>
  <c r="G34" i="9" s="1"/>
  <c r="I21" i="9"/>
  <c r="I34" i="9" s="1"/>
  <c r="K14" i="9"/>
  <c r="E6" i="9"/>
  <c r="V31" i="28" l="1"/>
  <c r="Y28" i="5"/>
  <c r="E63" i="15"/>
  <c r="Y609" i="6"/>
  <c r="BS529" i="6" s="1"/>
  <c r="BS533" i="6" s="1"/>
  <c r="BQ534" i="6" s="1"/>
  <c r="L31" i="28"/>
  <c r="C104" i="4"/>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103" i="18"/>
  <c r="AO636" i="3"/>
  <c r="AM562" i="3"/>
  <c r="AM572" i="3" s="1"/>
  <c r="B104" i="4"/>
  <c r="AB46" i="27" s="1"/>
  <c r="AB48" i="27" s="1"/>
  <c r="AB53" i="27" s="1"/>
  <c r="AB54" i="27"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AS544" i="6"/>
  <c r="AX548" i="6"/>
  <c r="AF695" i="6"/>
  <c r="BP590" i="6"/>
  <c r="BN591" i="6" s="1"/>
  <c r="BH590" i="6"/>
  <c r="BF591" i="6" s="1"/>
  <c r="G5" i="9"/>
  <c r="I4" i="9"/>
  <c r="B1013" i="3"/>
  <c r="M8" i="9"/>
  <c r="K9" i="9"/>
  <c r="G7" i="9"/>
  <c r="I6" i="9"/>
  <c r="O14" i="9"/>
  <c r="M21" i="9"/>
  <c r="M34" i="9" s="1"/>
  <c r="E36" i="9" l="1"/>
  <c r="E48" i="9" s="1"/>
  <c r="J58" i="25"/>
  <c r="AC447" i="3"/>
  <c r="AB46" i="5"/>
  <c r="AB46" i="26"/>
  <c r="AB48" i="26" s="1"/>
  <c r="AB53" i="26" s="1"/>
  <c r="AB54" i="26" s="1"/>
  <c r="J107" i="4"/>
  <c r="E98" i="4" s="1"/>
  <c r="AO644" i="3"/>
  <c r="BU539" i="6"/>
  <c r="BY535" i="6"/>
  <c r="BY537" i="6"/>
  <c r="E105" i="15"/>
  <c r="BM549" i="6"/>
  <c r="BM552" i="6" s="1"/>
  <c r="CD577" i="6"/>
  <c r="CD579" i="6" s="1"/>
  <c r="BT579" i="6"/>
  <c r="BJ592" i="6"/>
  <c r="AV556" i="6"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E44" i="9" l="1"/>
  <c r="E47" i="9" s="1"/>
  <c r="AO646" i="3"/>
  <c r="AB47" i="5"/>
  <c r="AB48" i="5" s="1"/>
  <c r="J103" i="4"/>
  <c r="J104" i="4" s="1"/>
  <c r="T23" i="5"/>
  <c r="Q71" i="25" s="1"/>
  <c r="O75" i="25" s="1"/>
  <c r="R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E103" i="4" l="1"/>
  <c r="E104" i="4" s="1"/>
  <c r="R98" i="4"/>
  <c r="R103" i="4" s="1"/>
  <c r="R104" i="4" s="1"/>
  <c r="AD38" i="5"/>
  <c r="AD40" i="5" s="1"/>
  <c r="T26" i="5"/>
  <c r="T28" i="5" s="1"/>
  <c r="Y63" i="5" s="1"/>
  <c r="Y67" i="5" s="1"/>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Y38" i="5" l="1"/>
  <c r="Y40" i="5" s="1"/>
  <c r="AR43" i="5" s="1"/>
  <c r="T29"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2" i="5" l="1"/>
  <c r="Y41" i="5" s="1"/>
  <c r="M44" i="9"/>
  <c r="M59" i="9" s="1"/>
  <c r="O10" i="9"/>
  <c r="O36" i="9" s="1"/>
  <c r="O44" i="9" s="1"/>
  <c r="K66" i="9"/>
  <c r="K65" i="9"/>
  <c r="K61" i="9"/>
  <c r="K68" i="9"/>
  <c r="K67" i="9"/>
  <c r="G69" i="9"/>
  <c r="G71" i="9" s="1"/>
  <c r="I69" i="9"/>
  <c r="I71" i="9" s="1"/>
  <c r="Q5" i="9"/>
  <c r="S4" i="9"/>
  <c r="W8" i="9"/>
  <c r="U9" i="9"/>
  <c r="S6" i="9"/>
  <c r="Q7" i="9"/>
  <c r="W21" i="9"/>
  <c r="W34" i="9" s="1"/>
  <c r="Y14" i="9"/>
  <c r="M47" i="9" l="1"/>
  <c r="M46" i="9"/>
  <c r="O48" i="9"/>
  <c r="M61" i="9"/>
  <c r="M65" i="9"/>
  <c r="M68" i="9"/>
  <c r="M67" i="9"/>
  <c r="M66" i="9"/>
  <c r="Q10" i="9"/>
  <c r="Q36" i="9" s="1"/>
  <c r="Q48" i="9" s="1"/>
  <c r="K69" i="9"/>
  <c r="K71" i="9" s="1"/>
  <c r="S5" i="9"/>
  <c r="U4" i="9"/>
  <c r="Y8" i="9"/>
  <c r="W9" i="9"/>
  <c r="U6" i="9"/>
  <c r="S7" i="9"/>
  <c r="AA14" i="9"/>
  <c r="Y21" i="9"/>
  <c r="Y34" i="9" s="1"/>
  <c r="O47" i="9"/>
  <c r="O46" i="9"/>
  <c r="O59" i="9"/>
  <c r="Q44" i="9" l="1"/>
  <c r="Q47" i="9" s="1"/>
  <c r="M69" i="9"/>
  <c r="M71" i="9" s="1"/>
  <c r="O65" i="9"/>
  <c r="O68" i="9"/>
  <c r="O66" i="9"/>
  <c r="O67" i="9"/>
  <c r="O61" i="9"/>
  <c r="S10" i="9"/>
  <c r="S36" i="9" s="1"/>
  <c r="S48" i="9" s="1"/>
  <c r="U5" i="9"/>
  <c r="W4" i="9"/>
  <c r="AA8" i="9"/>
  <c r="Y9" i="9"/>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 r="AB53" i="5"/>
  <c r="AB54" i="5" s="1"/>
  <c r="AB55" i="5" s="1"/>
  <c r="AB56" i="5" l="1"/>
  <c r="M25" i="3"/>
  <c r="BE15" i="28"/>
  <c r="Q22" i="28"/>
  <c r="V33" i="28" s="1"/>
  <c r="V35" i="28" s="1"/>
  <c r="P203" i="3" l="1"/>
  <c r="AB58" i="5"/>
  <c r="AB70" i="5" s="1"/>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72CDAC92-0AE0-48D2-9F90-D815DCC62EF4}">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<sst xmlns="http://schemas.openxmlformats.org/spreadsheetml/2006/main" count="4735" uniqueCount="2532">
  <si>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</si>
  <si>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</si>
  <si>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</si>
  <si>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</si>
  <si>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</si>
  <si>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</si>
  <si>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</si>
  <si>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</si>
  <si>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</si>
  <si>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</si>
  <si>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</si>
  <si>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</si>
  <si>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</si>
  <si>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</si>
  <si>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</si>
  <si>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</si>
  <si>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</si>
  <si>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</si>
  <si>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</si>
  <si>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</si>
  <si>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</si>
  <si>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</si>
  <si>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</si>
  <si>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</si>
  <si>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</si>
  <si>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</si>
  <si>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</si>
  <si>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</si>
  <si>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</si>
  <si>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</si>
  <si>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</si>
  <si>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</si>
  <si>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</si>
  <si>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</si>
  <si>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</si>
  <si>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</si>
  <si>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</si>
  <si>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</si>
  <si>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</si>
  <si>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</si>
  <si>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</si>
  <si>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</si>
  <si>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</si>
  <si>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</si>
  <si>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</si>
  <si>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</si>
  <si>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</si>
  <si>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</si>
  <si>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</si>
  <si>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</si>
  <si>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</si>
  <si>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</si>
  <si>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</si>
  <si>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</si>
  <si>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</si>
  <si>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</si>
  <si>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</si>
  <si>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</si>
  <si>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</si>
  <si>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</si>
  <si>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</si>
  <si>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</si>
  <si>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</si>
  <si>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</si>
  <si>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</si>
  <si>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</si>
  <si>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</si>
  <si>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</si>
  <si>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</si>
  <si>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</si>
  <si>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</si>
  <si>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</si>
  <si>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</si>
  <si>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</si>
  <si>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</si>
  <si>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</si>
  <si>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</si>
  <si>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</si>
  <si>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</si>
  <si>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</si>
  <si>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</si>
  <si>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</si>
  <si>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</si>
  <si>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</si>
  <si>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</si>
  <si>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</si>
  <si>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</si>
  <si>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</si>
  <si>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</si>
  <si>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</si>
  <si>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</si>
  <si>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</si>
  <si>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</si>
  <si>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</si>
  <si>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</si>
  <si>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</si>
  <si>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</si>
  <si>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</si>
  <si>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</si>
  <si>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</si>
  <si>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</si>
  <si>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</si>
  <si>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</si>
  <si>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</si>
  <si>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</si>
  <si>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</si>
  <si>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</si>
  <si>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</si>
  <si>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</si>
  <si>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</si>
  <si>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</si>
  <si>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</si>
  <si>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</si>
  <si>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</si>
  <si>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</si>
  <si>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</si>
  <si>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</si>
  <si>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</si>
  <si>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</si>
  <si>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</si>
  <si>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</si>
  <si>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</si>
  <si>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</si>
  <si>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</si>
  <si>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</si>
  <si>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</si>
  <si>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</si>
  <si>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</si>
  <si>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</si>
  <si>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</si>
  <si>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</si>
  <si>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</si>
  <si>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</si>
  <si>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</si>
  <si>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</si>
  <si>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</si>
  <si>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</si>
  <si>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</si>
  <si>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</si>
  <si>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</si>
  <si>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</si>
  <si>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</si>
  <si>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</si>
  <si>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</si>
  <si>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</si>
  <si>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</si>
  <si>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</si>
  <si>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</si>
  <si>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</si>
  <si>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</si>
  <si>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</si>
  <si>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</si>
  <si>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</si>
  <si>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</si>
  <si>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</si>
  <si>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</si>
  <si>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</si>
  <si>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</si>
  <si>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</si>
  <si>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</si>
  <si>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</si>
  <si>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</si>
  <si>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</si>
  <si>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</si>
  <si>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</si>
  <si>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</si>
  <si>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</si>
  <si>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</si>
  <si>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</si>
  <si>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</si>
  <si>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</si>
  <si>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</si>
  <si>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</si>
  <si>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</si>
  <si>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</si>
  <si>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</si>
  <si>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</si>
  <si>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</si>
  <si>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</si>
  <si>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</si>
  <si>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</si>
  <si>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</si>
  <si>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</si>
  <si>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</si>
  <si>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</si>
  <si>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</si>
  <si>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</si>
  <si>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</si>
  <si>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</si>
  <si>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</si>
  <si>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</si>
  <si>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</si>
  <si>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</si>
  <si>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</si>
  <si>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</si>
  <si>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</si>
  <si>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</si>
  <si>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</si>
  <si>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</si>
  <si>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</si>
  <si>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</si>
  <si>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</si>
  <si>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</si>
  <si>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</si>
  <si>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</si>
  <si>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</si>
  <si>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</si>
  <si>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</si>
  <si>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</si>
  <si>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</si>
  <si>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</si>
  <si>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</si>
  <si>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</si>
  <si>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</si>
  <si>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</si>
  <si>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</si>
  <si>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</si>
  <si>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</si>
  <si>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</si>
  <si>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</si>
  <si>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</si>
  <si>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</si>
  <si>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</si>
  <si>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</si>
  <si>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</si>
  <si>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</si>
  <si>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</si>
  <si>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</si>
  <si>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</si>
  <si>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</si>
  <si>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</si>
  <si>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</si>
  <si>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</si>
  <si>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</si>
  <si>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</si>
  <si>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</si>
  <si>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</si>
  <si>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</si>
  <si>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</si>
  <si>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</si>
  <si>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</si>
  <si>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</si>
  <si>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</si>
  <si>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</si>
  <si>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</si>
  <si>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</si>
  <si>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</si>
  <si>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</si>
  <si>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</si>
  <si>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</si>
  <si>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</si>
  <si>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</si>
  <si>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</si>
  <si>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</si>
  <si>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</si>
  <si>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</si>
  <si>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</si>
  <si>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</si>
  <si>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</si>
  <si>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</si>
  <si>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</si>
  <si>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</si>
  <si>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</si>
  <si>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</si>
  <si>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</si>
  <si>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</si>
  <si>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</si>
  <si>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</si>
  <si>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</si>
  <si>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</si>
  <si>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</si>
  <si>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</si>
  <si>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</si>
  <si>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</si>
  <si>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</si>
  <si>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</si>
  <si>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</si>
  <si>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</si>
  <si>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</si>
  <si>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</si>
  <si>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</si>
  <si>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</si>
  <si>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</si>
  <si>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</si>
  <si>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</si>
  <si>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</si>
  <si>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</si>
  <si>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</si>
  <si>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</si>
  <si>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</si>
  <si>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</si>
  <si>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</si>
  <si>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</si>
  <si>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</si>
  <si>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</si>
  <si>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</si>
  <si>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</si>
  <si>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</si>
  <si>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</si>
  <si>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</si>
  <si>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</si>
  <si>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</si>
  <si>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</si>
  <si>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</si>
  <si>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</si>
  <si>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</si>
  <si>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</si>
  <si>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</si>
  <si>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</si>
  <si>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</si>
  <si>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</si>
  <si>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</si>
  <si>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</si>
  <si>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</si>
  <si>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</si>
  <si>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</si>
  <si>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</si>
  <si>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</si>
  <si>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</si>
  <si>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</si>
  <si>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</si>
  <si>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</si>
  <si>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</si>
  <si>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</si>
  <si>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</si>
  <si>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</si>
  <si>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</si>
  <si>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</si>
  <si>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</si>
  <si>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</si>
  <si>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</si>
  <si>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</si>
  <si>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</si>
  <si>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</si>
  <si>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</si>
  <si>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</si>
  <si>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</si>
  <si>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</si>
  <si>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</si>
  <si>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</si>
  <si>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</si>
  <si>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</si>
  <si>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</si>
  <si>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</si>
  <si>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</si>
  <si>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</si>
  <si>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</si>
  <si>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</si>
  <si>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</si>
  <si>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</si>
  <si>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</si>
  <si>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</si>
  <si>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</si>
  <si>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</si>
  <si>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</si>
  <si>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</si>
  <si>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</si>
  <si>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</si>
  <si>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</si>
  <si>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</si>
  <si>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</si>
  <si>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</si>
  <si>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</si>
  <si>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</si>
  <si>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</si>
  <si>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</si>
  <si>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</si>
  <si>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</si>
  <si>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</si>
  <si>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</si>
  <si>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</si>
  <si>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</si>
  <si>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</si>
  <si>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</si>
  <si>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</si>
  <si>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</si>
  <si>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</si>
  <si>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</si>
  <si>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</si>
  <si>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</si>
  <si>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</si>
  <si>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</si>
  <si>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</si>
  <si>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</si>
  <si>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</si>
  <si>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</si>
  <si>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</si>
  <si>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</si>
  <si>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</si>
  <si>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</si>
  <si>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</si>
  <si>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</si>
  <si>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</si>
  <si>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</si>
  <si>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</si>
  <si>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</si>
  <si>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</si>
  <si>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</si>
  <si>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</si>
  <si>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</si>
  <si>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</si>
  <si>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</si>
  <si>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</si>
  <si>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</si>
  <si>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</si>
  <si>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</si>
  <si>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</si>
  <si>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</si>
  <si>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</si>
  <si>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</si>
  <si>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</si>
  <si>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</si>
  <si>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</si>
  <si>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</si>
  <si>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</si>
  <si>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</si>
  <si>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</si>
  <si>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</si>
  <si>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</si>
  <si>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</si>
  <si>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</si>
  <si>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</si>
  <si>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</si>
  <si>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</si>
  <si>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</si>
  <si>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</si>
  <si>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</si>
  <si>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</si>
  <si>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</si>
  <si>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</si>
  <si>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</si>
  <si>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</si>
  <si>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</si>
  <si>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</si>
  <si>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</si>
  <si>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</si>
  <si>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</si>
  <si>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</si>
  <si>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</si>
  <si>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</si>
  <si>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</si>
  <si>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</si>
  <si>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</si>
  <si>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</si>
  <si>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</si>
  <si>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</si>
  <si>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</si>
  <si>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</si>
  <si>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</si>
  <si>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</si>
  <si>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</si>
  <si>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</si>
  <si>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</si>
  <si>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</si>
  <si>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</si>
  <si>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</si>
  <si>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</si>
  <si>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</si>
  <si>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</si>
  <si>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</si>
  <si>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</si>
  <si>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</si>
  <si>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</si>
  <si>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</si>
  <si>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</si>
  <si>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</si>
  <si>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</si>
  <si>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</si>
  <si>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</si>
  <si>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</si>
  <si>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</si>
  <si>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</si>
  <si>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</si>
  <si>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</si>
  <si>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</si>
  <si>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</si>
  <si>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</si>
  <si>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</si>
  <si>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</si>
  <si>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</si>
  <si>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</si>
  <si>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</si>
  <si>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</si>
  <si>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</si>
  <si>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</si>
  <si>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</si>
  <si>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</si>
  <si>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</si>
  <si>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</si>
  <si>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</si>
  <si>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</si>
  <si>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</si>
  <si>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</si>
  <si>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</si>
  <si>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</si>
  <si>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</si>
  <si>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</si>
  <si>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</si>
  <si>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</si>
  <si>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</si>
  <si>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</si>
  <si>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</si>
  <si>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</si>
  <si>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</si>
  <si>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</si>
  <si>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</si>
  <si>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</si>
  <si>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</si>
  <si>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</si>
  <si>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</si>
  <si>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</si>
  <si>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</si>
  <si>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</si>
  <si>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</si>
  <si>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</si>
  <si>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</si>
  <si>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</si>
  <si>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</si>
  <si>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</si>
  <si>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</si>
  <si>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</si>
  <si>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</si>
  <si>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</si>
  <si>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</si>
  <si>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</si>
  <si>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</si>
  <si>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</si>
  <si>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</si>
  <si>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</si>
  <si>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</si>
  <si>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</si>
  <si>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</si>
  <si>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</si>
  <si>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</si>
  <si>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</si>
  <si>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</si>
  <si>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</si>
  <si>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</si>
  <si>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</si>
  <si>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</si>
  <si>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</si>
  <si>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</si>
  <si>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</si>
  <si>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</si>
  <si>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</si>
  <si>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</si>
  <si>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</si>
  <si>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</si>
  <si>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</si>
  <si>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</si>
  <si>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</si>
  <si>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</si>
  <si>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</si>
  <si>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</si>
  <si>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</si>
  <si>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</si>
  <si>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</si>
  <si>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</si>
  <si>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</si>
  <si>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</si>
  <si>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</si>
  <si>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</si>
  <si>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</si>
  <si>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</si>
  <si>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</si>
  <si>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</si>
  <si>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</si>
  <si>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</si>
  <si>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</si>
  <si>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</si>
  <si>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</si>
  <si>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</si>
  <si>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</si>
  <si>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</si>
  <si>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</si>
  <si>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</si>
  <si>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</si>
  <si>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</si>
  <si>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</si>
  <si>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</si>
  <si>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</si>
  <si>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</si>
  <si>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</si>
  <si>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</si>
  <si>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</si>
  <si>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</si>
  <si>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</si>
  <si>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</si>
  <si>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</si>
  <si>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</si>
  <si>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</si>
  <si>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</si>
  <si>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</si>
  <si>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</si>
  <si>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</si>
  <si>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</si>
  <si>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</si>
  <si>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</si>
  <si>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</si>
  <si>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</si>
  <si>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</si>
  <si>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</si>
  <si>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</si>
  <si>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</si>
  <si>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</si>
  <si>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</si>
  <si>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</si>
  <si>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</si>
  <si>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</si>
  <si>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</si>
  <si>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</si>
  <si>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</si>
  <si>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</si>
  <si>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</si>
  <si>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</si>
  <si>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</si>
  <si>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</si>
  <si>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</si>
  <si>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</si>
  <si>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</si>
  <si>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</si>
  <si>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</si>
  <si>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</si>
  <si>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</si>
  <si>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</si>
  <si>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</si>
  <si>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</si>
  <si>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</si>
  <si>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</si>
  <si>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</si>
  <si>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</si>
  <si>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</si>
  <si>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</si>
  <si>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</si>
  <si>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</si>
  <si>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</si>
  <si>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</si>
  <si>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</si>
  <si>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</si>
  <si>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</si>
  <si>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</si>
  <si>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</si>
  <si>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</si>
  <si>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</si>
  <si>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</si>
  <si>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</si>
  <si>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</si>
  <si>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</si>
  <si>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</si>
  <si>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</si>
  <si>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</si>
  <si>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</si>
  <si>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</si>
  <si>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</si>
  <si>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</si>
  <si>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</si>
  <si>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</si>
  <si>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</si>
  <si>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</si>
  <si>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</si>
  <si>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</si>
  <si>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</si>
  <si>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</si>
  <si>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</si>
  <si>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</si>
  <si>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</si>
  <si>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</si>
  <si>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</si>
  <si>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</si>
  <si>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</si>
  <si>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</si>
  <si>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</si>
  <si>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</si>
  <si>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</si>
  <si>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</si>
  <si>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</si>
  <si>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</si>
  <si>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</si>
  <si>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</si>
  <si>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</si>
  <si>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</si>
  <si>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</si>
  <si>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</si>
  <si>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</si>
  <si>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</si>
  <si>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</si>
  <si>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</si>
  <si>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</si>
  <si>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</si>
  <si>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</si>
  <si>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</si>
  <si>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</si>
  <si>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</si>
  <si>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</si>
  <si>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</si>
  <si>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</si>
  <si>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</si>
  <si>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</si>
  <si>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</si>
  <si>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</si>
  <si>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</si>
  <si>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</si>
  <si>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</si>
  <si>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</si>
  <si>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</si>
  <si>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</si>
  <si>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</si>
  <si>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</si>
  <si>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</si>
  <si>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</si>
  <si>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</si>
  <si>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</si>
  <si>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</si>
  <si>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</si>
  <si>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</si>
  <si>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</si>
  <si>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</si>
  <si>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</si>
  <si>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</si>
  <si>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</si>
  <si>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</si>
  <si>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</si>
  <si>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</si>
  <si>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</si>
  <si>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</si>
  <si>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</si>
  <si>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</si>
  <si>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</si>
  <si>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</si>
  <si>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</si>
  <si>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</si>
  <si>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</si>
  <si>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</si>
  <si>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</si>
  <si>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</si>
  <si>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</si>
  <si>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</si>
  <si>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</si>
  <si>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</si>
  <si>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</si>
  <si>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</si>
  <si>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</si>
  <si>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</si>
  <si>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</si>
  <si>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</si>
  <si>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</si>
  <si>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</si>
  <si>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</si>
  <si>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</si>
  <si>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</si>
  <si>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</si>
  <si>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</si>
  <si>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</si>
  <si>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</si>
  <si>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</si>
  <si>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</si>
  <si>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</si>
  <si>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</si>
  <si>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</si>
  <si>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</si>
  <si>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</si>
  <si>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</si>
  <si>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</si>
  <si>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</si>
  <si>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</si>
  <si>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</si>
  <si>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</si>
  <si>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</si>
  <si>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</si>
  <si>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</si>
  <si>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</si>
  <si>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</si>
  <si>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</si>
  <si>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</si>
  <si>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</si>
  <si>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</si>
  <si>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</si>
  <si>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</si>
  <si>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</si>
  <si>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</si>
  <si>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</si>
  <si>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</si>
  <si>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</si>
  <si>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</si>
  <si>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</si>
  <si>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</si>
  <si>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</si>
  <si>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</si>
  <si>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</si>
  <si>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</si>
  <si>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</si>
  <si>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</si>
  <si>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</si>
  <si>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</si>
  <si>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</si>
  <si>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</si>
  <si>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</si>
  <si>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</si>
  <si>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</si>
  <si>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</si>
  <si>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</si>
  <si>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</si>
  <si>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</si>
  <si>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</si>
  <si>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</si>
  <si>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</si>
  <si>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</si>
  <si>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</si>
  <si>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</si>
  <si>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</si>
  <si>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</si>
  <si>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</si>
  <si>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</si>
  <si>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</si>
  <si>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</si>
  <si>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</si>
  <si>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</si>
  <si>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</si>
  <si>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</si>
  <si>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</si>
  <si>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</si>
  <si>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</si>
  <si>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</si>
  <si>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</si>
  <si>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</si>
  <si>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</si>
  <si>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</si>
  <si>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</si>
  <si>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</si>
  <si>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</si>
  <si>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</si>
  <si>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</si>
  <si>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</si>
  <si>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</si>
  <si>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</si>
  <si>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</si>
  <si>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</si>
  <si>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</si>
  <si>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</si>
  <si>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</si>
  <si>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</si>
  <si>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</si>
  <si>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</si>
  <si>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</si>
  <si>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</si>
  <si>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</si>
  <si>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</si>
  <si>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</si>
  <si>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</si>
  <si>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</si>
  <si>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</si>
  <si>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</si>
  <si>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</si>
  <si>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</si>
  <si>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</si>
  <si>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</si>
  <si>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</si>
  <si>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</si>
  <si>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</si>
  <si>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</si>
  <si>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</si>
  <si>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</si>
  <si>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</si>
  <si>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</si>
  <si>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</si>
  <si>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</si>
  <si>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</si>
  <si>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</si>
  <si>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</si>
  <si>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</si>
  <si>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</si>
  <si>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</si>
  <si>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</si>
  <si>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</si>
  <si>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</si>
  <si>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</si>
  <si>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</si>
  <si>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</si>
  <si>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</si>
  <si>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</si>
  <si>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</si>
  <si>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</si>
  <si>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</si>
  <si>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</si>
  <si>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</si>
  <si>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</si>
  <si>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</si>
  <si>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</si>
  <si>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</si>
  <si>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</si>
  <si>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</si>
  <si>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</si>
  <si>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</si>
  <si>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</si>
  <si>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</si>
  <si>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</si>
  <si>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</si>
  <si>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</si>
  <si>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</si>
  <si>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</si>
  <si>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</si>
  <si>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</si>
  <si>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</si>
  <si>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</si>
  <si>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</si>
  <si>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</si>
  <si>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</si>
  <si>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</si>
  <si>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</si>
  <si>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</si>
  <si>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</si>
  <si>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</si>
  <si>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</si>
  <si>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</si>
  <si>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</si>
  <si>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</si>
  <si>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</si>
  <si>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</si>
  <si>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</si>
  <si>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</si>
  <si>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</si>
  <si>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</si>
  <si>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</si>
  <si>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</si>
  <si>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</si>
  <si>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</si>
  <si>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</si>
  <si>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</si>
  <si>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</si>
  <si>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</si>
  <si>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</si>
  <si>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</si>
  <si>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</si>
  <si>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</si>
  <si>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</si>
  <si>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</si>
  <si>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</si>
  <si>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</si>
  <si>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</si>
  <si>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</si>
  <si>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</si>
  <si>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</si>
  <si>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</si>
  <si>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</si>
  <si>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</si>
  <si>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</si>
  <si>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</si>
  <si>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</si>
  <si>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</si>
  <si>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</si>
  <si>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</si>
  <si>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</si>
  <si>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</si>
  <si>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</si>
  <si>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</si>
  <si>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</si>
  <si>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</si>
  <si>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</si>
  <si>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</si>
  <si>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</si>
  <si>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</si>
  <si>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</si>
  <si>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</si>
  <si>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</si>
  <si>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</si>
  <si>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</si>
  <si>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</si>
  <si>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</si>
  <si>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</si>
  <si>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</si>
  <si>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</si>
  <si>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</si>
  <si>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</si>
  <si>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</si>
  <si>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</si>
  <si>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</si>
  <si>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</si>
  <si>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</si>
  <si>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</si>
  <si>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</si>
  <si>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</si>
  <si>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</si>
  <si>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</si>
  <si>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</si>
  <si>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</si>
  <si>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</si>
  <si>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</si>
  <si>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</si>
  <si>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</si>
  <si>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</si>
  <si>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</si>
  <si>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</si>
  <si>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</si>
  <si>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</si>
  <si>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</si>
  <si>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</si>
  <si>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</si>
  <si>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</si>
  <si>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</si>
  <si>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</si>
  <si>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</si>
  <si>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</si>
  <si>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</si>
  <si>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</si>
  <si>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</si>
  <si>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</si>
  <si>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</si>
  <si>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</si>
  <si>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</si>
  <si>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</si>
  <si>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</si>
  <si>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</si>
  <si>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</si>
  <si>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</si>
  <si>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</si>
  <si>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</si>
  <si>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</si>
  <si>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</si>
  <si>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</si>
  <si>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</si>
  <si>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</si>
  <si>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</si>
  <si>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</si>
  <si>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</si>
  <si>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</si>
  <si>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</si>
  <si>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</si>
  <si>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</si>
  <si>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</si>
  <si>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</si>
  <si>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</si>
  <si>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</si>
  <si>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</si>
  <si>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</si>
  <si>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</si>
  <si>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</si>
  <si>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</si>
  <si>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</si>
  <si>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</si>
  <si>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</si>
  <si>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</si>
  <si>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</si>
  <si>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</si>
  <si>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</si>
  <si>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</si>
  <si>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</si>
  <si>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</si>
  <si>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</si>
  <si>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</si>
  <si>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</si>
  <si>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</si>
  <si>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</si>
  <si>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</si>
  <si>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</si>
  <si>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</si>
  <si>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</si>
  <si>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</si>
  <si>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</si>
  <si>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</si>
  <si>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</si>
  <si>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</si>
  <si>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</si>
  <si>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</si>
  <si>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</si>
  <si>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</si>
  <si>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</si>
  <si>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</si>
  <si>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</si>
  <si>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</si>
  <si>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</si>
  <si>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</si>
  <si>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</si>
  <si>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</si>
  <si>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</si>
  <si>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</si>
  <si>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</si>
  <si>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</si>
  <si>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</si>
  <si>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</si>
  <si>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</si>
  <si>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</si>
  <si>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</si>
  <si>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</si>
  <si>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</si>
  <si>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</si>
  <si>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</si>
  <si>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</si>
  <si>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</si>
  <si>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</si>
  <si>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</si>
  <si>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</si>
  <si>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</si>
  <si>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</si>
  <si>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</si>
  <si>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</si>
  <si>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</si>
  <si>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</si>
  <si>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</si>
  <si>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</si>
  <si>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</si>
  <si>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</si>
  <si>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</si>
  <si>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</si>
  <si>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</si>
  <si>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</si>
  <si>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</si>
  <si>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</si>
  <si>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</si>
  <si>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</si>
  <si>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</si>
  <si>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</si>
  <si>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</si>
  <si>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</si>
  <si>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</si>
  <si>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</si>
  <si>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</si>
  <si>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</si>
  <si>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</si>
  <si>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</si>
  <si>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</si>
  <si>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</si>
  <si>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</si>
  <si>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</si>
  <si>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</si>
  <si>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</si>
  <si>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</si>
  <si>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</si>
  <si>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</si>
  <si>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</si>
  <si>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</si>
  <si>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</si>
  <si>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</si>
  <si>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</si>
  <si>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</si>
  <si>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</si>
  <si>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</si>
  <si>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</si>
  <si>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</si>
  <si>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</si>
  <si>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</si>
  <si>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</si>
  <si>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</si>
  <si>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</si>
  <si>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</si>
  <si>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</si>
  <si>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</si>
  <si>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</si>
  <si>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</si>
  <si>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</si>
  <si>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</si>
  <si>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</si>
  <si>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</si>
  <si>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</si>
  <si>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</si>
  <si>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</si>
  <si>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</si>
  <si>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</si>
  <si>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</si>
  <si>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</si>
  <si>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</si>
  <si>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</si>
  <si>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</si>
  <si>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</si>
  <si>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</si>
  <si>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</si>
  <si>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</si>
  <si>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</si>
  <si>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</si>
  <si>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</si>
  <si>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</si>
  <si>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</si>
  <si>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</si>
  <si>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</si>
  <si>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</si>
  <si>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</si>
  <si>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</si>
  <si>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</si>
  <si>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</si>
  <si>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</si>
  <si>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</si>
  <si>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</si>
  <si>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</si>
  <si>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</si>
  <si>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</si>
  <si>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</si>
  <si>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</si>
  <si>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</si>
  <si>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</si>
  <si>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</si>
  <si>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</si>
  <si>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</si>
  <si>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</si>
  <si>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</si>
  <si>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</si>
  <si>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</si>
  <si>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</si>
  <si>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</si>
  <si>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</si>
  <si>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</si>
  <si>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</si>
  <si>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</si>
  <si>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</si>
  <si>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</si>
  <si>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</si>
  <si>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</si>
  <si>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</si>
  <si>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</si>
  <si>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</si>
  <si>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</si>
  <si>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</si>
  <si>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</si>
  <si>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</si>
  <si>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</si>
  <si>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</si>
  <si>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</si>
  <si>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</si>
  <si>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</si>
  <si>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</si>
  <si>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</si>
  <si>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</si>
  <si>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</si>
  <si>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</si>
  <si>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</si>
  <si>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</si>
  <si>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</si>
  <si>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</si>
  <si>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</si>
  <si>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</si>
  <si>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</si>
  <si>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</si>
  <si>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</si>
  <si>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</si>
  <si>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</si>
  <si>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</si>
  <si>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</si>
  <si>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</si>
  <si>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</si>
  <si>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</si>
  <si>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</si>
  <si>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</si>
  <si>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</si>
  <si>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</si>
  <si>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</si>
  <si>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</si>
  <si>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</si>
  <si>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</si>
  <si>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</si>
  <si>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</si>
  <si>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</si>
  <si>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</si>
  <si>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</si>
  <si>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</si>
  <si>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</si>
  <si>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</si>
  <si>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</si>
  <si>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</si>
  <si>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</si>
  <si>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</si>
  <si>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</si>
  <si>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</si>
  <si>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</si>
  <si>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</si>
  <si>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</si>
  <si>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</si>
  <si>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</si>
  <si>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</si>
  <si>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</si>
  <si>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</si>
  <si>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</si>
  <si>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</si>
  <si>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</si>
  <si>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</si>
  <si>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</si>
  <si>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</si>
  <si>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</si>
  <si>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</si>
  <si>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</si>
  <si>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</si>
  <si>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</si>
  <si>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</si>
  <si>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</si>
  <si>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</si>
  <si>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</si>
  <si>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</si>
  <si>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</si>
  <si>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</si>
  <si>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</si>
  <si>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</si>
  <si>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</si>
  <si>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</si>
  <si>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</si>
  <si>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</si>
  <si>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</si>
  <si>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</si>
  <si>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</si>
  <si>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</si>
  <si>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</si>
  <si>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</si>
  <si>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</si>
  <si>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</si>
  <si>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</si>
  <si>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</si>
  <si>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</si>
  <si>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</si>
  <si>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</si>
  <si>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</si>
  <si>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</si>
  <si>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</si>
  <si>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</si>
  <si>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</si>
  <si>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</si>
  <si>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</si>
  <si>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</si>
  <si>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</si>
  <si>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</si>
  <si>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</si>
  <si>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</si>
  <si>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</si>
  <si>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</si>
  <si>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</si>
  <si>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</si>
  <si>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</si>
  <si>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</si>
  <si>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</si>
  <si>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</si>
  <si>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</si>
  <si>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</si>
  <si>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</si>
  <si>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</si>
  <si>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</si>
  <si>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</si>
  <si>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</si>
  <si>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</si>
  <si>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</si>
  <si>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</si>
  <si>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</si>
  <si>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</si>
  <si>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</si>
  <si>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</si>
  <si>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</si>
  <si>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</si>
  <si>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</si>
  <si>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</si>
  <si>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</si>
  <si>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</si>
  <si>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</si>
  <si>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</si>
  <si>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</si>
  <si>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</si>
  <si>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</si>
  <si>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</si>
  <si>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</si>
  <si>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</si>
  <si>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</si>
  <si>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</si>
  <si>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</si>
  <si>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</si>
  <si>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</si>
  <si>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</si>
  <si>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</si>
  <si>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</si>
  <si>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</si>
  <si>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</si>
  <si>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</si>
  <si>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</si>
  <si>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</si>
  <si>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</si>
  <si>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</si>
  <si>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</si>
  <si>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</si>
  <si>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</si>
  <si>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</si>
  <si>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</si>
  <si>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</si>
  <si>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</si>
  <si>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</si>
  <si>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</si>
  <si>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</si>
  <si>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</si>
  <si>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</si>
  <si>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</si>
  <si>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</si>
  <si>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</si>
  <si>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</si>
  <si>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</si>
  <si>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</si>
  <si>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</si>
  <si>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</si>
  <si>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</si>
  <si>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</si>
  <si>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</si>
  <si>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</si>
  <si>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</si>
  <si>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</si>
  <si>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</si>
  <si>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</si>
  <si>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</si>
  <si>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</si>
  <si>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</si>
  <si>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</si>
  <si>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</si>
  <si>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</si>
  <si>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</si>
  <si>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</si>
  <si>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</si>
  <si>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</si>
  <si>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</si>
  <si>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</si>
  <si>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</si>
  <si>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</si>
  <si>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</si>
  <si>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</si>
  <si>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</si>
  <si>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</si>
  <si>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</si>
  <si>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</si>
  <si>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</si>
  <si>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</si>
  <si>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</si>
  <si>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</si>
  <si>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</si>
  <si>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</si>
  <si>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</si>
  <si>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</si>
  <si>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</si>
  <si>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</si>
  <si>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</si>
  <si>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</si>
  <si>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</si>
  <si>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</si>
  <si>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</si>
  <si>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</si>
  <si>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</si>
  <si>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</si>
  <si>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</si>
  <si>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</si>
  <si>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</si>
  <si>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</si>
  <si>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</si>
  <si>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</si>
  <si>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</si>
  <si>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</si>
  <si>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</si>
  <si>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</si>
  <si>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</si>
  <si>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</si>
  <si>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</si>
  <si>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</si>
  <si>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</si>
  <si>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</si>
  <si>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</si>
  <si>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</si>
  <si>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</si>
  <si>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</si>
  <si>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</si>
  <si>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</si>
  <si>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</si>
  <si>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</si>
  <si>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</si>
  <si>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</si>
  <si>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</si>
  <si>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</si>
  <si>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</si>
  <si>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</si>
  <si>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</si>
  <si>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</si>
  <si>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</si>
  <si>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</si>
  <si>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</si>
  <si>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</si>
  <si>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</si>
  <si>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</si>
  <si>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</si>
  <si>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</si>
  <si>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</si>
  <si>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</si>
  <si>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</si>
  <si>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</si>
  <si>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</si>
  <si>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</si>
  <si>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</si>
  <si>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</si>
  <si>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</si>
  <si>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</si>
  <si>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</si>
  <si>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</si>
  <si>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</si>
  <si>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</si>
  <si>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</si>
  <si>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</si>
  <si>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</si>
  <si>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</si>
  <si>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</si>
  <si>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</si>
  <si>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</si>
  <si>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</si>
  <si>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</si>
  <si>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</si>
  <si>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</si>
  <si>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</si>
  <si>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</si>
  <si>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</si>
  <si>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</si>
  <si>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</si>
  <si>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</si>
  <si>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</si>
  <si>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</si>
  <si>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</si>
  <si>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</si>
  <si>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</si>
  <si>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</si>
  <si>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</si>
  <si>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</si>
  <si>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</si>
  <si>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</si>
  <si>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</si>
  <si>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</si>
  <si>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</si>
  <si>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</si>
  <si>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</si>
  <si>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</si>
  <si>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</si>
  <si>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</si>
  <si>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</si>
  <si>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</si>
  <si>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</si>
  <si>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</si>
  <si>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</si>
  <si>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</si>
  <si>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</si>
  <si>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</si>
  <si>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</si>
  <si>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</si>
  <si>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</si>
  <si>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</si>
  <si>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</si>
  <si>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</si>
  <si>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</si>
  <si>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</si>
  <si>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</si>
  <si>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</si>
  <si>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</si>
  <si>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</si>
  <si>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</si>
  <si>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</si>
  <si>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</si>
  <si>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</si>
  <si>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</si>
  <si>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</si>
  <si>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</si>
  <si>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</si>
  <si>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</si>
  <si>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</si>
  <si>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</si>
  <si>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</si>
  <si>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</si>
  <si>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</si>
  <si>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</si>
  <si>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</si>
  <si>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</si>
  <si>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</si>
  <si>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</si>
  <si>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</si>
  <si>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</si>
  <si>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</si>
  <si>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</si>
  <si>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</si>
  <si>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</si>
  <si>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</si>
  <si>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</si>
  <si>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</si>
  <si>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</si>
  <si>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</si>
  <si>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</si>
  <si>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</si>
  <si>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</si>
  <si>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</si>
  <si>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</si>
  <si>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</si>
  <si>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</si>
  <si>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</si>
  <si>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</si>
  <si>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</si>
  <si>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</si>
  <si>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</si>
  <si>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</si>
  <si>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</si>
  <si>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</si>
  <si>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</si>
  <si>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</si>
  <si>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</si>
  <si>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</si>
  <si>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</si>
  <si>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</si>
  <si>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</si>
  <si>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</si>
  <si>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</si>
  <si>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</si>
  <si>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</si>
  <si>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</si>
  <si>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</si>
  <si>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</si>
  <si>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</si>
  <si>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</si>
  <si>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</si>
  <si>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</si>
  <si>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</si>
  <si>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</si>
  <si>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</si>
  <si>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</si>
  <si>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</si>
  <si>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</si>
  <si>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</si>
  <si>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</si>
  <si>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</si>
  <si>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</si>
  <si>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</si>
  <si>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</si>
  <si>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</si>
  <si>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</si>
  <si>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</si>
  <si>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</si>
  <si>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</si>
  <si>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</si>
  <si>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</si>
  <si>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</si>
  <si>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</si>
  <si>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</si>
  <si>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</si>
  <si>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</si>
  <si>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</si>
  <si>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</si>
  <si>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</si>
  <si>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</si>
  <si>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</si>
  <si>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</si>
  <si>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</si>
  <si>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</si>
  <si>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</si>
  <si>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</si>
  <si>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</si>
  <si>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</si>
  <si>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</si>
  <si>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</si>
  <si>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</si>
  <si>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</si>
  <si>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</si>
  <si>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</si>
  <si>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</si>
  <si>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</si>
  <si>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</si>
  <si>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</si>
  <si>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</si>
  <si>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</si>
  <si>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</si>
  <si>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</si>
  <si>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</si>
  <si>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</si>
  <si>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</si>
  <si>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</si>
  <si>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</si>
  <si>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</si>
  <si>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</si>
  <si>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</si>
  <si>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</si>
  <si>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</si>
  <si>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</si>
  <si>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</si>
  <si>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</si>
  <si>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</si>
  <si>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</si>
  <si>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</si>
  <si>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</si>
  <si>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</si>
  <si>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</si>
  <si>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</si>
  <si>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</si>
  <si>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</si>
  <si>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</si>
  <si>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</si>
  <si>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</si>
  <si>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</si>
  <si>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</si>
  <si>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</si>
  <si>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</si>
  <si>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</si>
  <si>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</si>
  <si>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</si>
  <si>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</si>
  <si>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</si>
  <si>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</si>
  <si>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</si>
  <si>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</si>
  <si>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</si>
  <si>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</si>
  <si>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</si>
  <si>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</si>
  <si>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</si>
  <si>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</si>
  <si>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</si>
  <si>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</si>
  <si>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</si>
  <si>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</si>
  <si>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</si>
  <si>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</si>
  <si>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</si>
  <si>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</si>
  <si>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</si>
  <si>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</si>
  <si>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</si>
  <si>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</si>
  <si>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</si>
  <si>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</si>
  <si>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</si>
  <si>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</si>
  <si>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</si>
  <si>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</si>
  <si>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</si>
  <si>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</si>
  <si>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</si>
  <si>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</si>
  <si>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</si>
  <si>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</si>
  <si>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</si>
  <si>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</si>
  <si>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</si>
  <si>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</si>
  <si>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</si>
  <si>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</si>
  <si>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</si>
  <si>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</si>
  <si>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</si>
  <si>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</si>
  <si>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</si>
  <si>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</si>
  <si>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</si>
  <si>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</si>
  <si>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</si>
  <si>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</si>
  <si>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</si>
  <si>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</si>
  <si>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</si>
  <si>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</si>
  <si>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</si>
  <si>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</si>
  <si>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</si>
  <si>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</si>
  <si>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</si>
  <si>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</si>
  <si>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</si>
  <si>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</si>
  <si>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</si>
  <si>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</si>
  <si>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</si>
  <si>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</si>
  <si>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</si>
  <si>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</si>
  <si>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</si>
  <si>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</si>
  <si>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</si>
  <si>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</si>
  <si>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</si>
  <si>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</si>
  <si>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</si>
  <si>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</si>
  <si>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</si>
  <si>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</si>
  <si>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</si>
  <si>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</si>
  <si>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</si>
  <si>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</si>
  <si>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</si>
  <si>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</si>
  <si>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</si>
  <si>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</si>
  <si>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</si>
  <si>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</si>
  <si>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</si>
  <si>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</si>
  <si>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</si>
  <si>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</si>
  <si>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</si>
  <si>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</si>
  <si>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</si>
  <si>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</si>
  <si>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</si>
  <si>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</si>
  <si>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</si>
  <si>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</si>
  <si>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</si>
  <si>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</si>
  <si>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</si>
  <si>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</si>
  <si>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</si>
  <si>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</si>
  <si>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</si>
  <si>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</si>
  <si>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</si>
  <si>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</si>
  <si>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</si>
  <si>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</si>
  <si>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</si>
  <si>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</si>
  <si>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</si>
  <si>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</si>
  <si>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</si>
  <si>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</si>
  <si>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</si>
  <si>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</si>
  <si>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</si>
  <si>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</si>
  <si>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</si>
  <si>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</si>
  <si>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</si>
  <si>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</si>
  <si>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</si>
  <si>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</si>
  <si>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</si>
  <si>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</si>
  <si>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</si>
  <si>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</si>
  <si>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</si>
  <si>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</si>
  <si>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</si>
  <si>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</si>
  <si>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</si>
  <si>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</si>
  <si>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</si>
  <si>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</si>
  <si>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</si>
  <si>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</si>
  <si>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</si>
  <si>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</si>
  <si>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</si>
  <si>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</si>
  <si>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</si>
  <si>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</si>
  <si>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</si>
  <si>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</si>
  <si>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</si>
  <si>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</si>
  <si>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</si>
  <si>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</si>
  <si>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</si>
  <si>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</si>
  <si>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</si>
  <si>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</si>
  <si>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</si>
  <si>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</si>
  <si>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</si>
  <si>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</si>
  <si>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</si>
  <si>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</si>
  <si>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</si>
  <si>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</si>
  <si>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</si>
  <si>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</si>
  <si>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</si>
  <si>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</si>
  <si>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</si>
  <si>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</si>
  <si>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</si>
  <si>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</si>
  <si>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</si>
  <si>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</si>
  <si>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</si>
  <si>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</si>
  <si>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</si>
  <si>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</si>
  <si>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</si>
  <si>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</si>
  <si>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</si>
  <si>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</si>
  <si>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</si>
  <si>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</si>
  <si>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</si>
  <si>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</si>
  <si>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</si>
  <si>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</si>
  <si>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</si>
  <si>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</si>
  <si>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</si>
  <si>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</si>
  <si>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</si>
  <si>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</si>
  <si>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</si>
  <si>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</si>
  <si>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</si>
  <si>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</si>
  <si>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</si>
  <si>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</si>
  <si>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</si>
  <si>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</si>
  <si>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</si>
  <si>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</si>
  <si>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</si>
  <si>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</si>
  <si>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</si>
  <si>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</si>
  <si>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</si>
  <si>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</si>
  <si>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</si>
  <si>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</si>
  <si>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</si>
  <si>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</si>
  <si>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</si>
  <si>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</si>
  <si>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</si>
  <si>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</si>
  <si>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</si>
  <si>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</si>
  <si>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</si>
  <si>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</si>
  <si>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</si>
  <si>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</si>
  <si>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</si>
  <si>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</si>
  <si>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</si>
  <si>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</si>
  <si>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</si>
  <si>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</si>
  <si>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</si>
  <si>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</si>
  <si>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</si>
  <si>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</si>
  <si>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</si>
  <si>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</si>
  <si>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</si>
  <si>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</si>
  <si>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</si>
  <si>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</si>
  <si>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</si>
  <si>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</si>
  <si>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</si>
  <si>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</si>
  <si>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</si>
  <si>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</si>
  <si>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</si>
  <si>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</si>
  <si>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</si>
  <si>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</si>
  <si>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</si>
  <si>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</si>
  <si>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</si>
  <si>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</si>
  <si>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</si>
  <si>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</si>
  <si>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</si>
  <si>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</si>
  <si>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</si>
  <si>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</si>
  <si>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</si>
  <si>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</si>
  <si>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</si>
  <si>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</si>
  <si>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</si>
  <si>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</si>
  <si>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</si>
  <si>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</si>
  <si>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</si>
  <si>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</si>
  <si>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</si>
  <si>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</si>
  <si>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</si>
  <si>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</si>
  <si>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</si>
  <si>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</si>
  <si>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</si>
  <si>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</si>
  <si>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</si>
  <si>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</si>
  <si>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</si>
  <si>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</si>
  <si>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</si>
  <si>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</si>
  <si>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</si>
  <si>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</si>
  <si>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</si>
  <si>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</si>
  <si>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</si>
  <si>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</si>
  <si>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</si>
  <si>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</si>
  <si>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</si>
  <si>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</si>
  <si>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</si>
  <si>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</si>
  <si>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</si>
  <si>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</si>
  <si>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</si>
  <si>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</si>
  <si>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</si>
  <si>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</si>
  <si>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</si>
  <si>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</si>
  <si>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</si>
  <si>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</si>
  <si>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</si>
  <si>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</si>
  <si>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</si>
  <si>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</si>
  <si>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</si>
  <si>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</si>
  <si>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</si>
  <si>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</si>
  <si>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</si>
  <si>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</si>
  <si>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</si>
  <si>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</si>
  <si>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</si>
  <si>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</si>
  <si>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</si>
  <si>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</si>
  <si>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</si>
  <si>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</si>
  <si>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</si>
  <si>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</si>
  <si>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</si>
  <si>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</si>
  <si>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</si>
  <si>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</si>
  <si>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</si>
  <si>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</si>
  <si>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</si>
  <si>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</si>
  <si>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</si>
  <si>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</si>
  <si>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</si>
  <si>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</si>
  <si>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</si>
  <si>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</si>
  <si>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</si>
  <si>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</si>
  <si>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</si>
  <si>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</si>
  <si>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</si>
  <si>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</si>
  <si>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</si>
  <si>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</si>
  <si>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</si>
  <si>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</si>
  <si>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</si>
  <si>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</si>
  <si>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</si>
  <si>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</si>
  <si>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</si>
  <si>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</si>
  <si>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</si>
  <si>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</si>
  <si>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</si>
  <si>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</si>
  <si>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</si>
  <si>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</si>
  <si>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</si>
  <si>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</si>
  <si>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</si>
  <si>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</si>
  <si>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</si>
  <si>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</si>
  <si>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</si>
  <si>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</si>
  <si>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</si>
  <si>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</si>
  <si>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</si>
  <si>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</si>
  <si>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</si>
  <si>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</si>
  <si>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</si>
  <si>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</si>
  <si>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</si>
  <si>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</si>
  <si>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</si>
  <si>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</si>
  <si>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</si>
  <si>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</si>
  <si>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</si>
  <si>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</si>
  <si>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</si>
  <si>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</si>
  <si>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</si>
  <si>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</si>
  <si>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</si>
  <si>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</si>
  <si>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</si>
  <si>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</si>
  <si>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</si>
  <si>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</si>
  <si>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</si>
  <si>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</si>
  <si>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</si>
  <si>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</si>
  <si>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</si>
  <si>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</si>
  <si>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</si>
  <si>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</si>
  <si>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</si>
  <si>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</si>
  <si>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</si>
  <si>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</si>
  <si>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</si>
  <si>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</si>
  <si>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</si>
  <si>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</si>
  <si>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</si>
  <si>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</si>
  <si>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</si>
  <si>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</si>
  <si>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</si>
  <si>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</si>
  <si>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</si>
  <si>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</si>
  <si>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</si>
  <si>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</si>
  <si>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</si>
  <si>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</si>
  <si>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</si>
  <si>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</si>
  <si>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</si>
  <si>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</si>
  <si>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</si>
  <si>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</si>
  <si>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</si>
  <si>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</si>
  <si>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</si>
  <si>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</si>
  <si>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</si>
  <si>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</si>
  <si>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</si>
  <si>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</si>
  <si>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</si>
  <si>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</si>
  <si>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</si>
  <si>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</si>
  <si>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</si>
  <si>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</si>
  <si>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</si>
  <si>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</si>
  <si>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</si>
  <si>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</si>
  <si>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</si>
  <si>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</si>
  <si>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</si>
  <si>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</si>
  <si>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</si>
  <si>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</si>
  <si>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</si>
  <si>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</si>
  <si>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</si>
  <si>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</si>
  <si>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</si>
  <si>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</si>
  <si>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</si>
  <si>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</si>
  <si>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</si>
  <si>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</si>
  <si>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</si>
  <si>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</si>
  <si>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</si>
  <si>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</si>
  <si>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</si>
  <si>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</si>
  <si>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</si>
  <si>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</si>
  <si>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</si>
  <si>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</si>
  <si>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</si>
  <si>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</si>
  <si>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</si>
  <si>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</si>
  <si>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</si>
  <si>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</si>
  <si>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</si>
  <si>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</si>
  <si>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</si>
  <si>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</si>
  <si>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</si>
  <si>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</si>
  <si>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</si>
  <si>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</si>
  <si>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</si>
  <si>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</si>
  <si>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</si>
  <si>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</si>
  <si>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</si>
  <si>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</si>
  <si>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</si>
  <si>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</si>
  <si>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</si>
  <si>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</si>
  <si>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</si>
  <si>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</si>
  <si>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</si>
  <si>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</si>
  <si>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</si>
  <si>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</si>
  <si>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</si>
  <si>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</si>
  <si>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</si>
  <si>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</si>
  <si>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</si>
  <si>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</si>
  <si>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</si>
  <si>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</si>
  <si>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</si>
  <si>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</si>
  <si>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</si>
  <si>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</si>
  <si>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</si>
  <si>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</si>
  <si>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</si>
  <si>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</si>
  <si>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</si>
  <si>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</si>
  <si>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</si>
  <si>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</si>
  <si>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</si>
  <si>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</si>
  <si>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</si>
  <si>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</si>
  <si>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</si>
  <si>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</si>
  <si>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</si>
  <si>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</si>
  <si>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</si>
  <si>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</si>
  <si>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</si>
  <si>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</si>
  <si>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</si>
  <si>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</si>
  <si>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</si>
  <si>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</si>
  <si>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</si>
  <si>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</si>
  <si>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</si>
  <si>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</si>
  <si>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</si>
  <si>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</si>
  <si>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</si>
  <si>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</si>
  <si>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</si>
  <si>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</si>
  <si>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</si>
  <si>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</si>
  <si>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</si>
  <si>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</si>
  <si>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</si>
  <si>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</si>
  <si>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</si>
  <si>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</si>
  <si>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</si>
  <si>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</si>
  <si>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</si>
  <si>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</si>
  <si>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</si>
  <si>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</si>
  <si>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</si>
  <si>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</si>
  <si>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</si>
  <si>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</si>
  <si>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</si>
  <si>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</si>
  <si>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</si>
  <si>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</si>
  <si>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</si>
  <si>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</si>
  <si>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</si>
  <si>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</si>
  <si>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</si>
  <si>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</si>
  <si>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</si>
  <si>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</si>
  <si>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</si>
  <si>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</si>
  <si>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</si>
  <si>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</si>
  <si>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</si>
  <si>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</si>
  <si>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</si>
  <si>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</si>
  <si>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</si>
  <si>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</si>
  <si>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</si>
  <si>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</si>
  <si>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</si>
  <si>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</si>
  <si>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</si>
  <si>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</si>
  <si>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</si>
  <si>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</si>
  <si>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</si>
  <si>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</si>
  <si>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</si>
  <si>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</si>
  <si>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</si>
  <si>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</si>
  <si>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</si>
  <si>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</si>
  <si>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</si>
  <si>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</si>
  <si>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</si>
  <si>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</si>
  <si>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</si>
  <si>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</si>
  <si>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</si>
  <si>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</si>
  <si>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</si>
  <si>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</si>
  <si>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</si>
  <si>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</si>
  <si>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</si>
  <si>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</si>
  <si>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</si>
  <si>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</si>
  <si>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</si>
  <si>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</si>
  <si>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</si>
  <si>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</si>
  <si>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</si>
  <si>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</si>
  <si>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</si>
  <si>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</si>
  <si>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</si>
  <si>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</si>
  <si>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</si>
  <si>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</si>
  <si>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</si>
  <si>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</si>
  <si>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</si>
  <si>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</si>
  <si>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</si>
  <si>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</si>
  <si>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</si>
  <si>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</si>
  <si>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</si>
  <si>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</si>
  <si>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</si>
  <si>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</si>
  <si>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</si>
  <si>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</si>
  <si>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</si>
  <si>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</si>
  <si>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</si>
  <si>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</si>
  <si>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</si>
  <si>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</si>
  <si>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</si>
  <si>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</si>
  <si>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</si>
  <si>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</si>
  <si>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</si>
  <si>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</si>
  <si>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</si>
  <si>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</si>
  <si>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</si>
  <si>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</si>
  <si>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</si>
  <si>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</si>
  <si>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</si>
  <si>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</si>
  <si>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</si>
  <si>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</si>
  <si>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</si>
  <si>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</si>
  <si>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</si>
  <si>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</si>
  <si>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</si>
  <si>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</si>
  <si>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</si>
  <si>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</si>
  <si>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</si>
  <si>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MAAC, Inc</t>
  </si>
  <si>
    <t>Ventana al Sur</t>
  </si>
  <si>
    <t>City of San Diego</t>
  </si>
  <si>
    <t>Colin Miller (VP Multihousing Finance)</t>
  </si>
  <si>
    <t>1122 Broadway Ste 300</t>
  </si>
  <si>
    <t>619-578-7569</t>
  </si>
  <si>
    <t>colinm@sdhc.org</t>
  </si>
  <si>
    <t>4132 Beyer Blvd</t>
  </si>
  <si>
    <t>San Ysidro</t>
  </si>
  <si>
    <t>638-190-27 &amp; 638-190-28</t>
  </si>
  <si>
    <t>40%/60%</t>
  </si>
  <si>
    <t>1355 Third Ave</t>
  </si>
  <si>
    <t>Chula Vista</t>
  </si>
  <si>
    <t>CA</t>
  </si>
  <si>
    <t>Arnulfo Manriquez</t>
  </si>
  <si>
    <t>951-426-3595</t>
  </si>
  <si>
    <t>Amanriquez@maacproject.org</t>
  </si>
  <si>
    <t>MAAC Ventana al Sur MGP LLC</t>
  </si>
  <si>
    <t>Managing GP</t>
  </si>
  <si>
    <t>Kingdom Ventana LLC</t>
  </si>
  <si>
    <t>Administrative GP</t>
  </si>
  <si>
    <t>6451 Box Springs Blvd</t>
  </si>
  <si>
    <t>William Leach</t>
  </si>
  <si>
    <t>951-538-6244</t>
  </si>
  <si>
    <t>William@kingdomdevelopment.net</t>
  </si>
  <si>
    <t>Kingdom Development, Inc</t>
  </si>
  <si>
    <t>MAAC Inc.</t>
  </si>
  <si>
    <t>Chula Vista, CA 91911</t>
  </si>
  <si>
    <t>619-426-3595</t>
  </si>
  <si>
    <t>Rodriguez Associates Architects &amp; Planners Inc.</t>
  </si>
  <si>
    <t>4080 Centre Street Ste 104</t>
  </si>
  <si>
    <t>San Diego, CA 92103</t>
  </si>
  <si>
    <t>Carlos Rodriguez</t>
  </si>
  <si>
    <t>619-544-8951</t>
  </si>
  <si>
    <t>619-544-8944</t>
  </si>
  <si>
    <t>carlosr@ra-architects.net</t>
  </si>
  <si>
    <t>Goldfarb &amp; Lipman LLP</t>
  </si>
  <si>
    <t>1300 Clay Street Eleventh Floor</t>
  </si>
  <si>
    <t>Oakland, CA 94612</t>
  </si>
  <si>
    <t>Elizabeth Klueck</t>
  </si>
  <si>
    <t>510-433-6632</t>
  </si>
  <si>
    <t>eklueck@goldfarblipman.com</t>
  </si>
  <si>
    <t>TBD</t>
  </si>
  <si>
    <t>Partner Energy</t>
  </si>
  <si>
    <t>680 Knox Street Ste 150</t>
  </si>
  <si>
    <t>Los Angeles, CA 90502</t>
  </si>
  <si>
    <t>Tushar Dutta</t>
  </si>
  <si>
    <t>310-765-7287</t>
  </si>
  <si>
    <t>tdutta@ptrenergy.com</t>
  </si>
  <si>
    <t>Cohn Reznick</t>
  </si>
  <si>
    <t>3560 Lenox Rd NE</t>
  </si>
  <si>
    <t>Atlanta, GA 30326</t>
  </si>
  <si>
    <t>Julie McNulty</t>
  </si>
  <si>
    <t>404-847-9447</t>
  </si>
  <si>
    <t>julie.mcnulty@cohnreznick.com</t>
  </si>
  <si>
    <t>CREA</t>
  </si>
  <si>
    <t>12396 Wold Trade Dr. Ste 218</t>
  </si>
  <si>
    <t>San Diego, CA 92128</t>
  </si>
  <si>
    <t>Richard Shea</t>
  </si>
  <si>
    <t>858-386-5199</t>
  </si>
  <si>
    <t>rshea@creallc.com</t>
  </si>
  <si>
    <t>Kingdom Development Inc.</t>
  </si>
  <si>
    <t>Riverside, CA 92507</t>
  </si>
  <si>
    <t>william@kingdomdevelopment.net</t>
  </si>
  <si>
    <t>KVG</t>
  </si>
  <si>
    <t>11060 Oak St. Ste 6</t>
  </si>
  <si>
    <t>Omaha, NE 68144</t>
  </si>
  <si>
    <t>Jay Wortmann</t>
  </si>
  <si>
    <t>402-202-0771</t>
  </si>
  <si>
    <t>jay@kvgteam.com</t>
  </si>
  <si>
    <t>Barker Management</t>
  </si>
  <si>
    <t>1101 East Orangewood Ave</t>
  </si>
  <si>
    <t>Anaheim, CA 92805</t>
  </si>
  <si>
    <t>Lupe Agoncillo</t>
  </si>
  <si>
    <t>714-533-3450</t>
  </si>
  <si>
    <t>Lagoncillo@barkermgt.com</t>
  </si>
  <si>
    <t>4132 Beyer, LP</t>
  </si>
  <si>
    <t>President</t>
  </si>
  <si>
    <t>1355 Third Avenue</t>
  </si>
  <si>
    <t>NA</t>
  </si>
  <si>
    <t>Inner City Infill Site</t>
  </si>
  <si>
    <t>CC-3-6</t>
  </si>
  <si>
    <t>88 DU/Acre</t>
  </si>
  <si>
    <t>65'</t>
  </si>
  <si>
    <t>SDHC-PSH Loan</t>
  </si>
  <si>
    <t>HCD-MHP</t>
  </si>
  <si>
    <t>Fixed</t>
  </si>
  <si>
    <t>CREA Tax Credit Proceeds</t>
  </si>
  <si>
    <t>Deferred Fees &amp; Costs</t>
  </si>
  <si>
    <t>325 E Hillcrest Dr, Suite 160</t>
  </si>
  <si>
    <t>Thousand Oaks, CA 91360</t>
  </si>
  <si>
    <t>Matt Knipprath</t>
  </si>
  <si>
    <t>805-484--1808</t>
  </si>
  <si>
    <t>12396 World Trade Dr Ste 218</t>
  </si>
  <si>
    <t>848-386-5199</t>
  </si>
  <si>
    <t>Citi Perm Loan</t>
  </si>
  <si>
    <t>SDHC Loan</t>
  </si>
  <si>
    <t>MHP-HCD</t>
  </si>
  <si>
    <t>Operating Income</t>
  </si>
  <si>
    <t>Deferred Developer Fee</t>
  </si>
  <si>
    <t>805-494-1808</t>
  </si>
  <si>
    <t>San Diego, CA 92101</t>
  </si>
  <si>
    <t>Colin Miller</t>
  </si>
  <si>
    <t>619-578-7429</t>
  </si>
  <si>
    <t>2020 W El Camino Ave Ste 650</t>
  </si>
  <si>
    <t>Sacramento, CA 95833</t>
  </si>
  <si>
    <t>Hector Leyva</t>
  </si>
  <si>
    <t>916-263-4655</t>
  </si>
  <si>
    <t>San Diego Housing Commission</t>
  </si>
  <si>
    <t>Office Expenses &amp; Supplies</t>
  </si>
  <si>
    <t>SDHC</t>
  </si>
  <si>
    <t>Project-based vouchers (PBVs)</t>
  </si>
  <si>
    <t>15</t>
  </si>
  <si>
    <t>Davis Bacon</t>
  </si>
  <si>
    <t>Kingdom Development, Inc.</t>
  </si>
  <si>
    <t>Barker Management, Inc</t>
  </si>
  <si>
    <t>Smart &amp; Final Extra</t>
  </si>
  <si>
    <t>350 W San Ysidro Blvd</t>
  </si>
  <si>
    <t>San Ysidro, 92173</t>
  </si>
  <si>
    <t>Store Manager</t>
  </si>
  <si>
    <t>619-428-1545</t>
  </si>
  <si>
    <t>San Ysidro Community Park</t>
  </si>
  <si>
    <t>W Park Ave &amp; E Hall Ave</t>
  </si>
  <si>
    <t>Mnager on Duty</t>
  </si>
  <si>
    <t>619-235-5200</t>
  </si>
  <si>
    <t>https://www.sandiego.gov/planning/community/profiles/sanysidro/parks</t>
  </si>
  <si>
    <t>San Ysidro Branch Library</t>
  </si>
  <si>
    <t>101 W San Ysidro Blvd</t>
  </si>
  <si>
    <t>Elaine Sinsuan</t>
  </si>
  <si>
    <t>619-454-0475</t>
  </si>
  <si>
    <t>https://www.sandiego.gov/public-library/locations/san-ysidro-library</t>
  </si>
  <si>
    <t>San Ysidro Health Center &amp; Pharmacy</t>
  </si>
  <si>
    <t>4004 Beyer Blvd</t>
  </si>
  <si>
    <t>Physician on Duty</t>
  </si>
  <si>
    <t>619-662-4100</t>
  </si>
  <si>
    <t>http://www.syhc.org/</t>
  </si>
  <si>
    <t>Pharmacist</t>
  </si>
  <si>
    <t>San Diego City - Senior Services</t>
  </si>
  <si>
    <t>125 E Park Ave</t>
  </si>
  <si>
    <t>619-454-0468</t>
  </si>
  <si>
    <t>https://seniorcenter.us/sc/san_ysidro_senior_center_san_diego_ca</t>
  </si>
  <si>
    <t>Beyer Blvd Station Trolley (Rail)</t>
  </si>
  <si>
    <t>4035 Beyer Blvd</t>
  </si>
  <si>
    <t>Manager On Duty</t>
  </si>
  <si>
    <t>619-557-4555</t>
  </si>
  <si>
    <t>https://www.sdmts.com/rider-info/transit-station-parking</t>
  </si>
  <si>
    <t>Transition &amp; Services Reserves</t>
  </si>
  <si>
    <t>Relocation</t>
  </si>
  <si>
    <t>192Hr/Yr</t>
  </si>
  <si>
    <t>Cashflow</t>
  </si>
  <si>
    <t>MOU</t>
  </si>
  <si>
    <t>528 Hr/Yr</t>
  </si>
  <si>
    <t>PSH Supportive Services</t>
  </si>
  <si>
    <t>2.2FTE</t>
  </si>
  <si>
    <t>Father Joes Villages</t>
  </si>
  <si>
    <t>1 bedroom</t>
  </si>
  <si>
    <t>2 bedroom</t>
  </si>
  <si>
    <t>Citi Construction Loan</t>
  </si>
  <si>
    <t>Resident Transit Assistance</t>
  </si>
  <si>
    <t>Clubhouse &amp; Software Expenses</t>
  </si>
  <si>
    <t>Financial advisor and application preparer</t>
  </si>
  <si>
    <t>https://www.smartandfinal.com/stores/san-ysidro-937/8166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</si>
</sst>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xf numFmtId="43" fontId="137" fillId="0" borderId="0" applyFont="0" applyFill="0" applyBorder="0" applyAlignment="0" applyProtection="0"/>
  </cellStyleXfs>
  <cellXfs count="272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0" fillId="7" borderId="5" xfId="0" applyFill="1" applyBorder="1" applyAlignment="1" applyProtection="1">
      <alignment horizontal="left"/>
      <protection locked="0"/>
    </xf>
    <xf numFmtId="0" fontId="8" fillId="7" borderId="17" xfId="766" applyFont="1" applyFill="1" applyBorder="1" applyProtection="1">
      <protection locked="0"/>
    </xf>
    <xf numFmtId="3" fontId="8" fillId="7" borderId="17" xfId="766" applyNumberFormat="1" applyFont="1" applyFill="1" applyBorder="1" applyProtection="1">
      <protection locked="0"/>
    </xf>
    <xf numFmtId="49" fontId="8" fillId="7" borderId="17" xfId="766" applyNumberFormat="1" applyFont="1" applyFill="1" applyBorder="1" applyProtection="1">
      <protection locked="0"/>
    </xf>
    <xf numFmtId="0" fontId="8" fillId="7" borderId="5" xfId="766" applyFont="1" applyFill="1" applyBorder="1" applyProtection="1">
      <protection locked="0"/>
    </xf>
    <xf numFmtId="0" fontId="8" fillId="7" borderId="5" xfId="778" applyFont="1" applyFill="1" applyBorder="1" applyProtection="1">
      <protection locked="0"/>
    </xf>
    <xf numFmtId="0" fontId="8" fillId="7" borderId="0" xfId="778" applyFont="1" applyFill="1" applyProtection="1">
      <protection locked="0"/>
    </xf>
    <xf numFmtId="169" fontId="8" fillId="7" borderId="5" xfId="778" applyNumberFormat="1" applyFont="1" applyFill="1" applyBorder="1" applyAlignment="1" applyProtection="1">
      <alignment horizontal="right"/>
      <protection locked="0"/>
    </xf>
    <xf numFmtId="0" fontId="8" fillId="7" borderId="0" xfId="778" applyFont="1" applyFill="1" applyAlignment="1" applyProtection="1">
      <alignment horizontal="left"/>
      <protection locked="0"/>
    </xf>
    <xf numFmtId="9" fontId="8" fillId="7" borderId="0" xfId="778" applyNumberFormat="1" applyFont="1" applyFill="1" applyAlignment="1" applyProtection="1">
      <alignment horizontal="right"/>
      <protection locked="0"/>
    </xf>
    <xf numFmtId="1" fontId="8" fillId="7" borderId="0" xfId="778" applyNumberFormat="1" applyFont="1" applyFill="1" applyAlignment="1" applyProtection="1">
      <alignment horizontal="center"/>
      <protection locked="0"/>
    </xf>
    <xf numFmtId="169" fontId="8" fillId="7" borderId="0" xfId="778" applyNumberFormat="1" applyFont="1" applyFill="1" applyAlignment="1" applyProtection="1">
      <alignment horizontal="center"/>
      <protection locked="0"/>
    </xf>
    <xf numFmtId="0" fontId="3" fillId="7" borderId="0" xfId="273" applyFont="1" applyFill="1"/>
    <xf numFmtId="0" fontId="0" fillId="7" borderId="5" xfId="0" applyFill="1" applyBorder="1" applyAlignment="1" applyProtection="1">
      <protection locked="0"/>
    </xf>
    <xf numFmtId="43" fontId="12" fillId="0" borderId="0" xfId="1031" applyFont="1" applyAlignment="1">
      <alignment horizontal="center"/>
    </xf>
    <xf numFmtId="169" fontId="8" fillId="0" borderId="5" xfId="273" applyNumberFormat="1" applyFont="1" applyBorder="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3"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3" fillId="53" borderId="3" xfId="0" applyNumberFormat="1" applyFon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76" fontId="0" fillId="7" borderId="3"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66" fontId="11" fillId="53" borderId="3" xfId="0" applyNumberFormat="1" applyFont="1" applyFill="1" applyBorder="1" applyAlignment="1" applyProtection="1">
      <alignment horizontal="center"/>
      <protection locked="0"/>
    </xf>
    <xf numFmtId="166" fontId="11" fillId="53" borderId="4" xfId="0" applyNumberFormat="1" applyFont="1" applyFill="1" applyBorder="1" applyAlignment="1" applyProtection="1">
      <alignment horizontal="center"/>
      <protection locked="0"/>
    </xf>
    <xf numFmtId="166" fontId="11" fillId="53" borderId="8" xfId="0" applyNumberFormat="1" applyFont="1" applyFill="1" applyBorder="1" applyAlignment="1" applyProtection="1">
      <alignment horizontal="center"/>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169" fontId="0" fillId="53" borderId="3" xfId="0" applyNumberFormat="1" applyFill="1" applyBorder="1" applyAlignment="1" applyProtection="1">
      <alignment horizontal="center"/>
      <protection locked="0"/>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3" fillId="7" borderId="1" xfId="546" applyNumberFormat="1" applyFill="1" applyBorder="1" applyAlignment="1" applyProtection="1">
      <alignment horizontal="center" vertical="center"/>
      <protection locked="0"/>
    </xf>
    <xf numFmtId="169" fontId="3" fillId="7" borderId="2" xfId="546" applyNumberFormat="1" applyFill="1" applyBorder="1" applyAlignment="1" applyProtection="1">
      <alignment horizontal="center" vertical="center"/>
      <protection locked="0"/>
    </xf>
    <xf numFmtId="169" fontId="3" fillId="7" borderId="11" xfId="546" applyNumberFormat="1" applyFill="1" applyBorder="1" applyAlignment="1" applyProtection="1">
      <alignment horizontal="center" vertical="center"/>
      <protection locked="0"/>
    </xf>
    <xf numFmtId="169" fontId="3" fillId="7" borderId="7" xfId="546" applyNumberFormat="1" applyFill="1" applyBorder="1" applyAlignment="1" applyProtection="1">
      <alignment horizontal="center" vertical="center"/>
      <protection locked="0"/>
    </xf>
    <xf numFmtId="169" fontId="3" fillId="7" borderId="0" xfId="546" applyNumberFormat="1" applyFill="1" applyAlignment="1" applyProtection="1">
      <alignment horizontal="center" vertical="center"/>
      <protection locked="0"/>
    </xf>
    <xf numFmtId="169" fontId="3" fillId="7" borderId="13" xfId="546" applyNumberFormat="1" applyFill="1" applyBorder="1" applyAlignment="1" applyProtection="1">
      <alignment horizontal="center" vertical="center"/>
      <protection locked="0"/>
    </xf>
    <xf numFmtId="169" fontId="3" fillId="7" borderId="9" xfId="546" applyNumberFormat="1" applyFill="1" applyBorder="1" applyAlignment="1" applyProtection="1">
      <alignment horizontal="center" vertical="center"/>
      <protection locked="0"/>
    </xf>
    <xf numFmtId="169" fontId="3" fillId="7" borderId="5" xfId="546" applyNumberFormat="1" applyFill="1" applyBorder="1" applyAlignment="1" applyProtection="1">
      <alignment horizontal="center" vertical="center"/>
      <protection locked="0"/>
    </xf>
    <xf numFmtId="169" fontId="3" fillId="7" borderId="10" xfId="546" applyNumberFormat="1" applyFill="1" applyBorder="1" applyAlignment="1" applyProtection="1">
      <alignment horizontal="center" vertical="center"/>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3" fillId="7" borderId="3" xfId="766" applyNumberFormat="1" applyFill="1" applyBorder="1" applyAlignment="1" applyProtection="1">
      <alignment horizontal="right"/>
      <protection locked="0"/>
    </xf>
    <xf numFmtId="177" fontId="3" fillId="7" borderId="4" xfId="766" applyNumberFormat="1" applyFill="1" applyBorder="1" applyAlignment="1" applyProtection="1">
      <alignment horizontal="right"/>
      <protection locked="0"/>
    </xf>
    <xf numFmtId="177" fontId="3" fillId="7" borderId="8" xfId="766"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xfId="1031" builtinId="3"/>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 zoomScaleNormal="100" zoomScaleSheetLayoutView="100" workbookViewId="0">
      <selection activeCell="D19" sqref="D19:AK25"/>
    </sheetView>
  </sheetViews>
  <sheetFormatPr defaultColWidth="0" defaultRowHeight="12.75" zeroHeight="1"/>
  <cols>
    <col min="1" max="38" width="2.42578125" customWidth="1"/>
    <col min="39" max="16384" width="8.85546875" style="272" hidden="1"/>
  </cols>
  <sheetData>
    <row r="1" spans="1:38">
      <c r="A1" s="1547" t="s">
        <v>2131</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8"/>
    </row>
    <row r="2" spans="1:38" ht="13.5"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5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0" t="s">
        <v>796</v>
      </c>
      <c r="C4" s="1060"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1" t="s">
        <v>2135</v>
      </c>
      <c r="E7" s="1551"/>
      <c r="F7" s="1551"/>
      <c r="G7" s="1551"/>
      <c r="H7" s="1551"/>
      <c r="I7" s="1551"/>
      <c r="J7" s="1551"/>
      <c r="K7" s="1551"/>
      <c r="L7" s="1551"/>
      <c r="M7" s="1551"/>
      <c r="N7" s="1551"/>
      <c r="O7" s="1551"/>
      <c r="P7" s="1551"/>
      <c r="Q7" s="1551"/>
      <c r="R7" s="1551"/>
      <c r="S7" s="1551"/>
      <c r="T7" s="1551"/>
      <c r="U7" s="1551"/>
      <c r="V7" s="1551"/>
      <c r="W7" s="1551"/>
      <c r="X7" s="1551"/>
      <c r="Y7" s="1551"/>
      <c r="Z7" s="1551"/>
      <c r="AA7" s="1551"/>
      <c r="AB7" s="1551"/>
      <c r="AC7" s="1551"/>
      <c r="AD7" s="1551"/>
      <c r="AE7" s="1551"/>
      <c r="AF7" s="1551"/>
      <c r="AG7" s="1551"/>
      <c r="AH7" s="1551"/>
      <c r="AI7" s="1551"/>
      <c r="AJ7" s="1551"/>
      <c r="AK7" s="1551"/>
      <c r="AL7" s="1"/>
    </row>
    <row r="8" spans="1:38">
      <c r="A8" s="283"/>
      <c r="B8" s="1"/>
      <c r="C8" s="358"/>
      <c r="D8" s="1551"/>
      <c r="E8" s="1551"/>
      <c r="F8" s="1551"/>
      <c r="G8" s="1551"/>
      <c r="H8" s="1551"/>
      <c r="I8" s="1551"/>
      <c r="J8" s="1551"/>
      <c r="K8" s="1551"/>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1"/>
      <c r="AL8" s="1"/>
    </row>
    <row r="9" spans="1:38">
      <c r="A9" s="283"/>
      <c r="B9" s="1"/>
      <c r="C9" s="358"/>
      <c r="D9" s="1551"/>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J9" s="1551"/>
      <c r="AK9" s="1551"/>
      <c r="AL9" s="1"/>
    </row>
    <row r="10" spans="1:38">
      <c r="A10" s="283"/>
      <c r="B10" s="1"/>
      <c r="C10" s="358"/>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
    </row>
    <row r="11" spans="1:38">
      <c r="A11" s="283"/>
      <c r="B11" s="1"/>
      <c r="C11" s="358"/>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1"/>
      <c r="AL11" s="1"/>
    </row>
    <row r="12" spans="1:38">
      <c r="A12" s="283"/>
      <c r="B12" s="1"/>
      <c r="C12" s="358"/>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
    </row>
    <row r="13" spans="1:38">
      <c r="A13" s="283"/>
      <c r="B13" s="1"/>
      <c r="C13" s="358"/>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
    </row>
    <row r="14" spans="1:38">
      <c r="A14" s="283"/>
      <c r="B14" s="1"/>
      <c r="C14" s="358"/>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c r="Z14" s="1551"/>
      <c r="AA14" s="1551"/>
      <c r="AB14" s="1551"/>
      <c r="AC14" s="1551"/>
      <c r="AD14" s="1551"/>
      <c r="AE14" s="1551"/>
      <c r="AF14" s="1551"/>
      <c r="AG14" s="1551"/>
      <c r="AH14" s="1551"/>
      <c r="AI14" s="1551"/>
      <c r="AJ14" s="1551"/>
      <c r="AK14" s="1551"/>
      <c r="AL14" s="1"/>
    </row>
    <row r="15" spans="1:38">
      <c r="A15" s="283"/>
      <c r="B15" s="1"/>
      <c r="C15" s="358"/>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1551"/>
      <c r="Z15" s="1551"/>
      <c r="AA15" s="1551"/>
      <c r="AB15" s="1551"/>
      <c r="AC15" s="1551"/>
      <c r="AD15" s="1551"/>
      <c r="AE15" s="1551"/>
      <c r="AF15" s="1551"/>
      <c r="AG15" s="1551"/>
      <c r="AH15" s="1551"/>
      <c r="AI15" s="1551"/>
      <c r="AJ15" s="1551"/>
      <c r="AK15" s="1551"/>
      <c r="AL15" s="1"/>
    </row>
    <row r="16" spans="1:38">
      <c r="A16" s="283"/>
      <c r="B16" s="1"/>
      <c r="C16" s="358"/>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
    </row>
    <row r="17" spans="1:38">
      <c r="A17" s="283"/>
      <c r="B17" s="1"/>
      <c r="C17" s="358"/>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c r="AD17" s="1551"/>
      <c r="AE17" s="1551"/>
      <c r="AF17" s="1551"/>
      <c r="AG17" s="1551"/>
      <c r="AH17" s="1551"/>
      <c r="AI17" s="1551"/>
      <c r="AJ17" s="1551"/>
      <c r="AK17" s="1551"/>
      <c r="AL17" s="1"/>
    </row>
    <row r="18" spans="1:38" ht="11.1" customHeight="1">
      <c r="A18" s="283"/>
      <c r="B18" s="1"/>
      <c r="C18" s="358"/>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c r="AE18" s="1551"/>
      <c r="AF18" s="1551"/>
      <c r="AG18" s="1551"/>
      <c r="AH18" s="1551"/>
      <c r="AI18" s="1551"/>
      <c r="AJ18" s="1551"/>
      <c r="AK18" s="1551"/>
      <c r="AL18" s="1"/>
    </row>
    <row r="19" spans="1:38" ht="13.7" customHeight="1">
      <c r="A19" s="283"/>
      <c r="B19" s="1"/>
      <c r="C19" s="358"/>
      <c r="D19" s="1551" t="s">
        <v>2317</v>
      </c>
      <c r="E19" s="1551"/>
      <c r="F19" s="1551"/>
      <c r="G19" s="1551"/>
      <c r="H19" s="1551"/>
      <c r="I19" s="1551"/>
      <c r="J19" s="1551"/>
      <c r="K19" s="1551"/>
      <c r="L19" s="1551"/>
      <c r="M19" s="1551"/>
      <c r="N19" s="1551"/>
      <c r="O19" s="1551"/>
      <c r="P19" s="1551"/>
      <c r="Q19" s="1551"/>
      <c r="R19" s="1551"/>
      <c r="S19" s="1551"/>
      <c r="T19" s="1551"/>
      <c r="U19" s="1551"/>
      <c r="V19" s="1551"/>
      <c r="W19" s="1551"/>
      <c r="X19" s="1551"/>
      <c r="Y19" s="1551"/>
      <c r="Z19" s="1551"/>
      <c r="AA19" s="1551"/>
      <c r="AB19" s="1551"/>
      <c r="AC19" s="1551"/>
      <c r="AD19" s="1551"/>
      <c r="AE19" s="1551"/>
      <c r="AF19" s="1551"/>
      <c r="AG19" s="1551"/>
      <c r="AH19" s="1551"/>
      <c r="AI19" s="1551"/>
      <c r="AJ19" s="1551"/>
      <c r="AK19" s="1551"/>
      <c r="AL19" s="1"/>
    </row>
    <row r="20" spans="1:38">
      <c r="A20" s="283"/>
      <c r="B20" s="1"/>
      <c r="C20" s="358"/>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
    </row>
    <row r="21" spans="1:38">
      <c r="A21" s="283"/>
      <c r="B21" s="1"/>
      <c r="C21" s="358"/>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
    </row>
    <row r="22" spans="1:38">
      <c r="A22" s="283"/>
      <c r="B22" s="1"/>
      <c r="C22" s="358"/>
      <c r="D22" s="1551"/>
      <c r="E22" s="1551"/>
      <c r="F22" s="1551"/>
      <c r="G22" s="1551"/>
      <c r="H22" s="1551"/>
      <c r="I22" s="1551"/>
      <c r="J22" s="1551"/>
      <c r="K22" s="1551"/>
      <c r="L22" s="1551"/>
      <c r="M22" s="1551"/>
      <c r="N22" s="1551"/>
      <c r="O22" s="1551"/>
      <c r="P22" s="1551"/>
      <c r="Q22" s="1551"/>
      <c r="R22" s="1551"/>
      <c r="S22" s="1551"/>
      <c r="T22" s="1551"/>
      <c r="U22" s="1551"/>
      <c r="V22" s="1551"/>
      <c r="W22" s="1551"/>
      <c r="X22" s="1551"/>
      <c r="Y22" s="1551"/>
      <c r="Z22" s="1551"/>
      <c r="AA22" s="1551"/>
      <c r="AB22" s="1551"/>
      <c r="AC22" s="1551"/>
      <c r="AD22" s="1551"/>
      <c r="AE22" s="1551"/>
      <c r="AF22" s="1551"/>
      <c r="AG22" s="1551"/>
      <c r="AH22" s="1551"/>
      <c r="AI22" s="1551"/>
      <c r="AJ22" s="1551"/>
      <c r="AK22" s="1551"/>
      <c r="AL22" s="1"/>
    </row>
    <row r="23" spans="1:38">
      <c r="A23" s="283"/>
      <c r="B23" s="1"/>
      <c r="C23" s="358"/>
      <c r="D23" s="1551"/>
      <c r="E23" s="1551"/>
      <c r="F23" s="1551"/>
      <c r="G23" s="1551"/>
      <c r="H23" s="1551"/>
      <c r="I23" s="1551"/>
      <c r="J23" s="1551"/>
      <c r="K23" s="1551"/>
      <c r="L23" s="1551"/>
      <c r="M23" s="1551"/>
      <c r="N23" s="1551"/>
      <c r="O23" s="1551"/>
      <c r="P23" s="1551"/>
      <c r="Q23" s="1551"/>
      <c r="R23" s="1551"/>
      <c r="S23" s="1551"/>
      <c r="T23" s="1551"/>
      <c r="U23" s="1551"/>
      <c r="V23" s="1551"/>
      <c r="W23" s="1551"/>
      <c r="X23" s="1551"/>
      <c r="Y23" s="1551"/>
      <c r="Z23" s="1551"/>
      <c r="AA23" s="1551"/>
      <c r="AB23" s="1551"/>
      <c r="AC23" s="1551"/>
      <c r="AD23" s="1551"/>
      <c r="AE23" s="1551"/>
      <c r="AF23" s="1551"/>
      <c r="AG23" s="1551"/>
      <c r="AH23" s="1551"/>
      <c r="AI23" s="1551"/>
      <c r="AJ23" s="1551"/>
      <c r="AK23" s="1551"/>
      <c r="AL23" s="1"/>
    </row>
    <row r="24" spans="1:38">
      <c r="A24" s="283"/>
      <c r="B24" s="1"/>
      <c r="C24" s="358"/>
      <c r="D24" s="1551"/>
      <c r="E24" s="1551"/>
      <c r="F24" s="1551"/>
      <c r="G24" s="1551"/>
      <c r="H24" s="1551"/>
      <c r="I24" s="1551"/>
      <c r="J24" s="1551"/>
      <c r="K24" s="1551"/>
      <c r="L24" s="1551"/>
      <c r="M24" s="1551"/>
      <c r="N24" s="1551"/>
      <c r="O24" s="1551"/>
      <c r="P24" s="1551"/>
      <c r="Q24" s="1551"/>
      <c r="R24" s="1551"/>
      <c r="S24" s="1551"/>
      <c r="T24" s="1551"/>
      <c r="U24" s="1551"/>
      <c r="V24" s="1551"/>
      <c r="W24" s="1551"/>
      <c r="X24" s="1551"/>
      <c r="Y24" s="1551"/>
      <c r="Z24" s="1551"/>
      <c r="AA24" s="1551"/>
      <c r="AB24" s="1551"/>
      <c r="AC24" s="1551"/>
      <c r="AD24" s="1551"/>
      <c r="AE24" s="1551"/>
      <c r="AF24" s="1551"/>
      <c r="AG24" s="1551"/>
      <c r="AH24" s="1551"/>
      <c r="AI24" s="1551"/>
      <c r="AJ24" s="1551"/>
      <c r="AK24" s="1551"/>
      <c r="AL24" s="1"/>
    </row>
    <row r="25" spans="1:38">
      <c r="A25" s="283"/>
      <c r="B25" s="1"/>
      <c r="C25" s="358"/>
      <c r="D25" s="1551"/>
      <c r="E25" s="1551"/>
      <c r="F25" s="1551"/>
      <c r="G25" s="1551"/>
      <c r="H25" s="1551"/>
      <c r="I25" s="1551"/>
      <c r="J25" s="1551"/>
      <c r="K25" s="1551"/>
      <c r="L25" s="1551"/>
      <c r="M25" s="1551"/>
      <c r="N25" s="1551"/>
      <c r="O25" s="1551"/>
      <c r="P25" s="1551"/>
      <c r="Q25" s="1551"/>
      <c r="R25" s="1551"/>
      <c r="S25" s="1551"/>
      <c r="T25" s="1551"/>
      <c r="U25" s="1551"/>
      <c r="V25" s="1551"/>
      <c r="W25" s="1551"/>
      <c r="X25" s="1551"/>
      <c r="Y25" s="1551"/>
      <c r="Z25" s="1551"/>
      <c r="AA25" s="1551"/>
      <c r="AB25" s="1551"/>
      <c r="AC25" s="1551"/>
      <c r="AD25" s="1551"/>
      <c r="AE25" s="1551"/>
      <c r="AF25" s="1551"/>
      <c r="AG25" s="1551"/>
      <c r="AH25" s="1551"/>
      <c r="AI25" s="1551"/>
      <c r="AJ25" s="1551"/>
      <c r="AK25" s="1551"/>
      <c r="AL25" s="1"/>
    </row>
    <row r="26" spans="1:38">
      <c r="A26" s="283"/>
      <c r="B26" s="1"/>
      <c r="C26" s="358"/>
      <c r="D26" s="288"/>
      <c r="E26" s="1562" t="s">
        <v>2318</v>
      </c>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1562"/>
      <c r="AC26" s="1562"/>
      <c r="AD26" s="1562"/>
      <c r="AE26" s="1562"/>
      <c r="AF26" s="1562"/>
      <c r="AG26" s="1562"/>
      <c r="AH26" s="1562"/>
      <c r="AI26" s="1562"/>
      <c r="AJ26" s="1562"/>
      <c r="AK26" s="1562"/>
      <c r="AL26" s="1"/>
    </row>
    <row r="27" spans="1:38">
      <c r="A27" s="283"/>
      <c r="B27" s="1"/>
      <c r="C27" s="358"/>
      <c r="D27" s="272"/>
      <c r="E27" s="1562" t="s">
        <v>2042</v>
      </c>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1" t="s">
        <v>2314</v>
      </c>
      <c r="E29" s="1561"/>
      <c r="F29" s="1561"/>
      <c r="G29" s="1561"/>
      <c r="H29" s="1561"/>
      <c r="I29" s="1561"/>
      <c r="J29" s="1561"/>
      <c r="K29" s="1561"/>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
    </row>
    <row r="30" spans="1:38">
      <c r="A30" s="283"/>
      <c r="B30" s="1"/>
      <c r="C30" s="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
    </row>
    <row r="31" spans="1:38">
      <c r="A31" s="283"/>
      <c r="B31" s="1"/>
      <c r="C31" s="1"/>
      <c r="D31" s="1064"/>
      <c r="E31" s="1563" t="s">
        <v>1422</v>
      </c>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
    </row>
    <row r="32" spans="1:38">
      <c r="A32" s="283"/>
      <c r="B32" s="1"/>
      <c r="C32" s="1"/>
      <c r="D32" s="1064"/>
      <c r="E32" s="1563" t="s">
        <v>1266</v>
      </c>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c r="AD32" s="1563"/>
      <c r="AE32" s="1563"/>
      <c r="AF32" s="1563"/>
      <c r="AG32" s="1563"/>
      <c r="AH32" s="1563"/>
      <c r="AI32" s="1563"/>
      <c r="AJ32" s="1563"/>
      <c r="AK32" s="156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1" t="s">
        <v>1900</v>
      </c>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1"/>
      <c r="AH36" s="1551"/>
      <c r="AI36" s="1551"/>
      <c r="AJ36" s="1551"/>
      <c r="AK36" s="1551"/>
      <c r="AL36" s="1"/>
    </row>
    <row r="37" spans="1:38">
      <c r="A37" s="283"/>
      <c r="B37" s="1"/>
      <c r="C37" s="358"/>
      <c r="D37" s="283"/>
      <c r="E37" s="283"/>
      <c r="F37" s="1551"/>
      <c r="G37" s="1551"/>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c r="AF37" s="1551"/>
      <c r="AG37" s="1551"/>
      <c r="AH37" s="1551"/>
      <c r="AI37" s="1551"/>
      <c r="AJ37" s="1551"/>
      <c r="AK37" s="1551"/>
      <c r="AL37" s="1"/>
    </row>
    <row r="38" spans="1:38">
      <c r="A38" s="283"/>
      <c r="B38" s="1"/>
      <c r="C38" s="358"/>
      <c r="D38" s="283"/>
      <c r="E38" s="283"/>
      <c r="F38" s="1057"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57"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57"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1" t="s">
        <v>2130</v>
      </c>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1551"/>
      <c r="AJ42" s="1551"/>
      <c r="AK42" s="1551"/>
      <c r="AL42" s="1"/>
    </row>
    <row r="43" spans="1:38">
      <c r="A43" s="283"/>
      <c r="B43" s="1"/>
      <c r="C43" s="358"/>
      <c r="D43" s="283"/>
      <c r="E43" s="283"/>
      <c r="F43" s="1551"/>
      <c r="G43" s="1551"/>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51"/>
      <c r="AI43" s="1551"/>
      <c r="AJ43" s="1551"/>
      <c r="AK43" s="1551"/>
      <c r="AL43" s="1"/>
    </row>
    <row r="44" spans="1:38">
      <c r="A44" s="283"/>
      <c r="B44" s="1"/>
      <c r="C44" s="358"/>
      <c r="D44" s="283"/>
      <c r="E44" s="283"/>
      <c r="F44" s="1551"/>
      <c r="G44" s="1551"/>
      <c r="H44" s="1551"/>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c r="AF44" s="1551"/>
      <c r="AG44" s="1551"/>
      <c r="AH44" s="1551"/>
      <c r="AI44" s="1551"/>
      <c r="AJ44" s="1551"/>
      <c r="AK44" s="155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5"/>
      <c r="K46" s="1065"/>
      <c r="L46" s="1065"/>
      <c r="M46" s="1065"/>
      <c r="N46" s="1065"/>
      <c r="O46" s="1061"/>
      <c r="P46" s="1061"/>
      <c r="Q46" s="1061"/>
      <c r="R46" s="1061"/>
      <c r="S46" s="1061"/>
      <c r="T46" s="1061"/>
      <c r="U46" s="1061"/>
      <c r="V46" s="1061"/>
      <c r="W46" s="1061"/>
      <c r="X46" s="1061"/>
      <c r="Y46" s="1061"/>
      <c r="Z46" s="1061"/>
      <c r="AA46" s="1061"/>
      <c r="AB46" s="1061"/>
      <c r="AC46" s="1061"/>
      <c r="AD46" s="1061"/>
      <c r="AE46" s="1061"/>
      <c r="AF46" s="1061"/>
      <c r="AG46" s="358"/>
      <c r="AH46" s="1"/>
      <c r="AI46" s="1"/>
      <c r="AJ46" s="1"/>
      <c r="AK46" s="1"/>
      <c r="AL46" s="1"/>
    </row>
    <row r="47" spans="1:38">
      <c r="A47" s="283"/>
      <c r="B47" s="1"/>
      <c r="C47" s="358"/>
      <c r="D47" s="358"/>
      <c r="E47" s="283" t="s">
        <v>903</v>
      </c>
      <c r="F47" s="1" t="s">
        <v>838</v>
      </c>
      <c r="G47" s="358"/>
      <c r="H47" s="1061"/>
      <c r="I47" s="1061"/>
      <c r="J47" s="1"/>
      <c r="K47" s="1"/>
      <c r="L47" s="1061"/>
      <c r="M47" s="1061"/>
      <c r="N47" s="1061"/>
      <c r="O47" s="1061"/>
      <c r="P47" s="1061"/>
      <c r="Q47" s="1061"/>
      <c r="R47" s="1061"/>
      <c r="S47" s="1061"/>
      <c r="T47" s="1061"/>
      <c r="U47" s="1061"/>
      <c r="V47" s="1061"/>
      <c r="W47" s="1061"/>
      <c r="X47" s="1061"/>
      <c r="Y47" s="1061"/>
      <c r="Z47" s="1061"/>
      <c r="AA47" s="1061"/>
      <c r="AB47" s="1061"/>
      <c r="AC47" s="1061"/>
      <c r="AD47" s="1061"/>
      <c r="AE47" s="1061"/>
      <c r="AF47" s="1061"/>
      <c r="AG47" s="358"/>
      <c r="AH47" s="1"/>
      <c r="AI47" s="1"/>
      <c r="AJ47" s="1"/>
      <c r="AK47" s="1"/>
      <c r="AL47" s="1"/>
    </row>
    <row r="48" spans="1:38">
      <c r="A48" s="283"/>
      <c r="B48" s="1"/>
      <c r="C48" s="358"/>
      <c r="D48" s="358"/>
      <c r="E48" s="283"/>
      <c r="F48" s="517" t="s">
        <v>641</v>
      </c>
      <c r="G48" s="1553" t="s">
        <v>2132</v>
      </c>
      <c r="H48" s="1553"/>
      <c r="I48" s="1553"/>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c r="AH48" s="1553"/>
      <c r="AI48" s="1553"/>
      <c r="AJ48" s="1553"/>
      <c r="AK48" s="1553"/>
      <c r="AL48" s="1"/>
    </row>
    <row r="49" spans="1:38">
      <c r="A49" s="283"/>
      <c r="B49" s="1"/>
      <c r="C49" s="358"/>
      <c r="D49" s="358"/>
      <c r="E49" s="283"/>
      <c r="F49" s="517"/>
      <c r="G49" s="1553"/>
      <c r="H49" s="1553"/>
      <c r="I49" s="1553"/>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1553"/>
      <c r="AJ49" s="1553"/>
      <c r="AK49" s="1553"/>
      <c r="AL49" s="1"/>
    </row>
    <row r="50" spans="1:38">
      <c r="A50" s="283"/>
      <c r="B50" s="1"/>
      <c r="C50" s="358"/>
      <c r="D50" s="358"/>
      <c r="E50" s="283"/>
      <c r="F50" s="517"/>
      <c r="G50" s="1553"/>
      <c r="H50" s="1553"/>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c r="AI50" s="1553"/>
      <c r="AJ50" s="1553"/>
      <c r="AK50" s="1553"/>
      <c r="AL50" s="1"/>
    </row>
    <row r="51" spans="1:38">
      <c r="A51" s="283"/>
      <c r="B51" s="358"/>
      <c r="C51" s="358"/>
      <c r="D51" s="358"/>
      <c r="E51" s="283"/>
      <c r="F51" s="517" t="s">
        <v>214</v>
      </c>
      <c r="G51" s="1554" t="s">
        <v>1901</v>
      </c>
      <c r="H51" s="1554"/>
      <c r="I51" s="1554"/>
      <c r="J51" s="1554"/>
      <c r="K51" s="1554"/>
      <c r="L51" s="1554"/>
      <c r="M51" s="1554"/>
      <c r="N51" s="1554"/>
      <c r="O51" s="1554"/>
      <c r="P51" s="1554"/>
      <c r="Q51" s="1554"/>
      <c r="R51" s="1554"/>
      <c r="S51" s="1554"/>
      <c r="T51" s="1554"/>
      <c r="U51" s="1554"/>
      <c r="V51" s="1554"/>
      <c r="W51" s="1554"/>
      <c r="X51" s="1554"/>
      <c r="Y51" s="1554"/>
      <c r="Z51" s="1554"/>
      <c r="AA51" s="1554"/>
      <c r="AB51" s="1554"/>
      <c r="AC51" s="1554"/>
      <c r="AD51" s="1554"/>
      <c r="AE51" s="1554"/>
      <c r="AF51" s="1554"/>
      <c r="AG51" s="1554"/>
      <c r="AH51" s="1554"/>
      <c r="AI51" s="1554"/>
      <c r="AJ51" s="1554"/>
      <c r="AK51" s="1554"/>
      <c r="AL51" s="1"/>
    </row>
    <row r="52" spans="1:38" s="288" customFormat="1">
      <c r="A52" s="283"/>
      <c r="B52" s="1"/>
      <c r="C52" s="358"/>
      <c r="D52" s="358"/>
      <c r="E52" s="283"/>
      <c r="F52" s="517"/>
      <c r="G52" s="1554"/>
      <c r="H52" s="1554"/>
      <c r="I52" s="1554"/>
      <c r="J52" s="1554"/>
      <c r="K52" s="1554"/>
      <c r="L52" s="1554"/>
      <c r="M52" s="1554"/>
      <c r="N52" s="1554"/>
      <c r="O52" s="1554"/>
      <c r="P52" s="1554"/>
      <c r="Q52" s="1554"/>
      <c r="R52" s="1554"/>
      <c r="S52" s="1554"/>
      <c r="T52" s="1554"/>
      <c r="U52" s="1554"/>
      <c r="V52" s="1554"/>
      <c r="W52" s="1554"/>
      <c r="X52" s="1554"/>
      <c r="Y52" s="1554"/>
      <c r="Z52" s="1554"/>
      <c r="AA52" s="1554"/>
      <c r="AB52" s="1554"/>
      <c r="AC52" s="1554"/>
      <c r="AD52" s="1554"/>
      <c r="AE52" s="1554"/>
      <c r="AF52" s="1554"/>
      <c r="AG52" s="1554"/>
      <c r="AH52" s="1554"/>
      <c r="AI52" s="1554"/>
      <c r="AJ52" s="1554"/>
      <c r="AK52" s="1554"/>
      <c r="AL52" s="1"/>
    </row>
    <row r="53" spans="1:38">
      <c r="A53" s="288"/>
      <c r="B53" s="272"/>
      <c r="C53" s="359"/>
      <c r="D53" s="359"/>
      <c r="E53" s="288"/>
      <c r="F53" s="1066"/>
      <c r="G53" s="1554"/>
      <c r="H53" s="1554"/>
      <c r="I53" s="1554"/>
      <c r="J53" s="1554"/>
      <c r="K53" s="1554"/>
      <c r="L53" s="1554"/>
      <c r="M53" s="1554"/>
      <c r="N53" s="1554"/>
      <c r="O53" s="1554"/>
      <c r="P53" s="1554"/>
      <c r="Q53" s="1554"/>
      <c r="R53" s="1554"/>
      <c r="S53" s="1554"/>
      <c r="T53" s="1554"/>
      <c r="U53" s="1554"/>
      <c r="V53" s="1554"/>
      <c r="W53" s="1554"/>
      <c r="X53" s="1554"/>
      <c r="Y53" s="1554"/>
      <c r="Z53" s="1554"/>
      <c r="AA53" s="1554"/>
      <c r="AB53" s="1554"/>
      <c r="AC53" s="1554"/>
      <c r="AD53" s="1554"/>
      <c r="AE53" s="1554"/>
      <c r="AF53" s="1554"/>
      <c r="AG53" s="1554"/>
      <c r="AH53" s="1554"/>
      <c r="AI53" s="1554"/>
      <c r="AJ53" s="1554"/>
      <c r="AK53" s="1554"/>
      <c r="AL53" s="272"/>
    </row>
    <row r="54" spans="1:38">
      <c r="A54" s="283"/>
      <c r="B54" s="1"/>
      <c r="C54" s="358"/>
      <c r="D54" s="358"/>
      <c r="E54" s="283"/>
      <c r="F54" s="358"/>
      <c r="G54" s="358"/>
      <c r="H54" s="1"/>
      <c r="I54" s="358"/>
      <c r="J54" s="1061"/>
      <c r="K54" s="1061"/>
      <c r="L54" s="1061"/>
      <c r="M54" s="1061"/>
      <c r="N54" s="1061"/>
      <c r="O54" s="1061"/>
      <c r="P54" s="1061"/>
      <c r="Q54" s="1061"/>
      <c r="R54" s="1061"/>
      <c r="S54" s="1061"/>
      <c r="T54" s="1061"/>
      <c r="U54" s="1061"/>
      <c r="V54" s="1061"/>
      <c r="W54" s="1061"/>
      <c r="X54" s="1061"/>
      <c r="Y54" s="1061"/>
      <c r="Z54" s="1061"/>
      <c r="AA54" s="1061"/>
      <c r="AB54" s="1061"/>
      <c r="AC54" s="1061"/>
      <c r="AD54" s="1061"/>
      <c r="AE54" s="1061"/>
      <c r="AF54" s="1061"/>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1" t="s">
        <v>1904</v>
      </c>
      <c r="H58" s="1551"/>
      <c r="I58" s="1551"/>
      <c r="J58" s="1551"/>
      <c r="K58" s="1551"/>
      <c r="L58" s="1551"/>
      <c r="M58" s="1551"/>
      <c r="N58" s="1551"/>
      <c r="O58" s="1551"/>
      <c r="P58" s="1551"/>
      <c r="Q58" s="1551"/>
      <c r="R58" s="1551"/>
      <c r="S58" s="1551"/>
      <c r="T58" s="1551"/>
      <c r="U58" s="1551"/>
      <c r="V58" s="1551"/>
      <c r="W58" s="1551"/>
      <c r="X58" s="1551"/>
      <c r="Y58" s="1551"/>
      <c r="Z58" s="1551"/>
      <c r="AA58" s="1551"/>
      <c r="AB58" s="1551"/>
      <c r="AC58" s="1551"/>
      <c r="AD58" s="1551"/>
      <c r="AE58" s="1551"/>
      <c r="AF58" s="1551"/>
      <c r="AG58" s="1551"/>
      <c r="AH58" s="1551"/>
      <c r="AI58" s="1551"/>
      <c r="AJ58" s="1551"/>
      <c r="AK58" s="1551"/>
      <c r="AL58" s="1"/>
    </row>
    <row r="59" spans="1:38">
      <c r="A59" s="283"/>
      <c r="B59" s="1"/>
      <c r="C59" s="358"/>
      <c r="D59" s="283"/>
      <c r="E59" s="283"/>
      <c r="F59" s="426"/>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1551"/>
      <c r="AC59" s="1551"/>
      <c r="AD59" s="1551"/>
      <c r="AE59" s="1551"/>
      <c r="AF59" s="1551"/>
      <c r="AG59" s="1551"/>
      <c r="AH59" s="1551"/>
      <c r="AI59" s="1551"/>
      <c r="AJ59" s="1551"/>
      <c r="AK59" s="1551"/>
      <c r="AL59" s="1"/>
    </row>
    <row r="60" spans="1:38">
      <c r="A60" s="283"/>
      <c r="B60" s="1"/>
      <c r="C60" s="358"/>
      <c r="D60" s="283"/>
      <c r="E60" s="283"/>
      <c r="F60" s="426"/>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
    </row>
    <row r="61" spans="1:38">
      <c r="A61" s="283"/>
      <c r="B61" s="1"/>
      <c r="C61" s="358"/>
      <c r="D61" s="283"/>
      <c r="E61" s="283"/>
      <c r="F61" s="426" t="s">
        <v>214</v>
      </c>
      <c r="G61" s="1551" t="s">
        <v>1903</v>
      </c>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
    </row>
    <row r="62" spans="1:38">
      <c r="A62" s="283"/>
      <c r="B62" s="1"/>
      <c r="C62" s="358"/>
      <c r="D62" s="283"/>
      <c r="E62" s="283"/>
      <c r="F62" s="426"/>
      <c r="G62" s="1551"/>
      <c r="H62" s="1551"/>
      <c r="I62" s="1551"/>
      <c r="J62" s="1551"/>
      <c r="K62" s="1551"/>
      <c r="L62" s="1551"/>
      <c r="M62" s="1551"/>
      <c r="N62" s="1551"/>
      <c r="O62" s="1551"/>
      <c r="P62" s="1551"/>
      <c r="Q62" s="1551"/>
      <c r="R62" s="1551"/>
      <c r="S62" s="1551"/>
      <c r="T62" s="1551"/>
      <c r="U62" s="1551"/>
      <c r="V62" s="1551"/>
      <c r="W62" s="1551"/>
      <c r="X62" s="1551"/>
      <c r="Y62" s="1551"/>
      <c r="Z62" s="1551"/>
      <c r="AA62" s="1551"/>
      <c r="AB62" s="1551"/>
      <c r="AC62" s="1551"/>
      <c r="AD62" s="1551"/>
      <c r="AE62" s="1551"/>
      <c r="AF62" s="1551"/>
      <c r="AG62" s="1551"/>
      <c r="AH62" s="1551"/>
      <c r="AI62" s="1551"/>
      <c r="AJ62" s="1551"/>
      <c r="AK62" s="1551"/>
      <c r="AL62" s="1"/>
    </row>
    <row r="63" spans="1:38">
      <c r="A63" s="283"/>
      <c r="B63" s="1"/>
      <c r="C63" s="358"/>
      <c r="D63" s="283"/>
      <c r="E63" s="283"/>
      <c r="F63" s="1067"/>
      <c r="G63" s="1551"/>
      <c r="H63" s="1551"/>
      <c r="I63" s="1551"/>
      <c r="J63" s="1551"/>
      <c r="K63" s="1551"/>
      <c r="L63" s="1551"/>
      <c r="M63" s="1551"/>
      <c r="N63" s="1551"/>
      <c r="O63" s="1551"/>
      <c r="P63" s="1551"/>
      <c r="Q63" s="1551"/>
      <c r="R63" s="1551"/>
      <c r="S63" s="1551"/>
      <c r="T63" s="1551"/>
      <c r="U63" s="1551"/>
      <c r="V63" s="1551"/>
      <c r="W63" s="1551"/>
      <c r="X63" s="1551"/>
      <c r="Y63" s="1551"/>
      <c r="Z63" s="1551"/>
      <c r="AA63" s="1551"/>
      <c r="AB63" s="1551"/>
      <c r="AC63" s="1551"/>
      <c r="AD63" s="1551"/>
      <c r="AE63" s="1551"/>
      <c r="AF63" s="1551"/>
      <c r="AG63" s="1551"/>
      <c r="AH63" s="1551"/>
      <c r="AI63" s="1551"/>
      <c r="AJ63" s="1551"/>
      <c r="AK63" s="1551"/>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1" t="s">
        <v>1905</v>
      </c>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
    </row>
    <row r="66" spans="1:38">
      <c r="A66" s="283"/>
      <c r="B66" s="1"/>
      <c r="C66" s="358"/>
      <c r="D66" s="283"/>
      <c r="E66" s="283"/>
      <c r="F66" s="517"/>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
    </row>
    <row r="67" spans="1:38">
      <c r="A67" s="283"/>
      <c r="B67" s="1"/>
      <c r="C67" s="358"/>
      <c r="D67" s="283"/>
      <c r="E67" s="283"/>
      <c r="F67" s="517" t="s">
        <v>214</v>
      </c>
      <c r="G67" s="1551" t="s">
        <v>1906</v>
      </c>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
    </row>
    <row r="68" spans="1:38">
      <c r="A68" s="283"/>
      <c r="B68" s="1"/>
      <c r="C68" s="358"/>
      <c r="D68" s="283"/>
      <c r="E68" s="283"/>
      <c r="F68" s="517"/>
      <c r="G68" s="1551"/>
      <c r="H68" s="1551"/>
      <c r="I68" s="1551"/>
      <c r="J68" s="1551"/>
      <c r="K68" s="1551"/>
      <c r="L68" s="1551"/>
      <c r="M68" s="1551"/>
      <c r="N68" s="1551"/>
      <c r="O68" s="1551"/>
      <c r="P68" s="1551"/>
      <c r="Q68" s="1551"/>
      <c r="R68" s="1551"/>
      <c r="S68" s="1551"/>
      <c r="T68" s="1551"/>
      <c r="U68" s="1551"/>
      <c r="V68" s="1551"/>
      <c r="W68" s="1551"/>
      <c r="X68" s="1551"/>
      <c r="Y68" s="1551"/>
      <c r="Z68" s="1551"/>
      <c r="AA68" s="1551"/>
      <c r="AB68" s="1551"/>
      <c r="AC68" s="1551"/>
      <c r="AD68" s="1551"/>
      <c r="AE68" s="1551"/>
      <c r="AF68" s="1551"/>
      <c r="AG68" s="1551"/>
      <c r="AH68" s="1551"/>
      <c r="AI68" s="1551"/>
      <c r="AJ68" s="1551"/>
      <c r="AK68" s="1551"/>
      <c r="AL68" s="1"/>
    </row>
    <row r="69" spans="1:38">
      <c r="A69" s="283"/>
      <c r="B69" s="1"/>
      <c r="C69" s="358"/>
      <c r="D69" s="283"/>
      <c r="E69" s="283"/>
      <c r="F69" s="517"/>
      <c r="G69" s="1061" t="s">
        <v>520</v>
      </c>
      <c r="H69" s="283"/>
      <c r="I69" s="1"/>
      <c r="J69" s="1061"/>
      <c r="K69" s="1061"/>
      <c r="L69" s="106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1" t="s">
        <v>1164</v>
      </c>
      <c r="H70" s="1"/>
      <c r="I70" s="1"/>
      <c r="J70" s="1061"/>
      <c r="K70" s="1061"/>
      <c r="L70" s="106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1" t="s">
        <v>1921</v>
      </c>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
    </row>
    <row r="76" spans="1:38">
      <c r="A76" s="283"/>
      <c r="B76" s="1"/>
      <c r="C76" s="358"/>
      <c r="D76" s="283"/>
      <c r="E76" s="283"/>
      <c r="F76" s="283"/>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
    </row>
    <row r="77" spans="1:38">
      <c r="A77" s="283"/>
      <c r="B77" s="1"/>
      <c r="C77" s="358"/>
      <c r="D77" s="283"/>
      <c r="E77" s="283"/>
      <c r="F77" s="283"/>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1" t="s">
        <v>1922</v>
      </c>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
    </row>
    <row r="80" spans="1:38">
      <c r="A80" s="283"/>
      <c r="B80" s="1"/>
      <c r="C80" s="358"/>
      <c r="D80" s="283"/>
      <c r="E80" s="283"/>
      <c r="F80" s="283"/>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
    </row>
    <row r="81" spans="1:38">
      <c r="A81" s="283"/>
      <c r="B81" s="1"/>
      <c r="C81" s="358"/>
      <c r="D81" s="283"/>
      <c r="E81" s="283"/>
      <c r="F81" s="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1" t="s">
        <v>1907</v>
      </c>
      <c r="H83" s="1551"/>
      <c r="I83" s="1551"/>
      <c r="J83" s="1551"/>
      <c r="K83" s="1551"/>
      <c r="L83" s="1551"/>
      <c r="M83" s="1551"/>
      <c r="N83" s="1551"/>
      <c r="O83" s="1551"/>
      <c r="P83" s="1551"/>
      <c r="Q83" s="1551"/>
      <c r="R83" s="1551"/>
      <c r="S83" s="1551"/>
      <c r="T83" s="1551"/>
      <c r="U83" s="1551"/>
      <c r="V83" s="1551"/>
      <c r="W83" s="1551"/>
      <c r="X83" s="1551"/>
      <c r="Y83" s="1551"/>
      <c r="Z83" s="1551"/>
      <c r="AA83" s="1551"/>
      <c r="AB83" s="1551"/>
      <c r="AC83" s="1551"/>
      <c r="AD83" s="1551"/>
      <c r="AE83" s="1551"/>
      <c r="AF83" s="1551"/>
      <c r="AG83" s="1551"/>
      <c r="AH83" s="1551"/>
      <c r="AI83" s="1551"/>
      <c r="AJ83" s="1551"/>
      <c r="AK83" s="1551"/>
      <c r="AL83" s="1"/>
    </row>
    <row r="84" spans="1:38">
      <c r="A84" s="283"/>
      <c r="B84" s="1"/>
      <c r="C84" s="358"/>
      <c r="D84" s="283"/>
      <c r="E84" s="283"/>
      <c r="F84" s="1"/>
      <c r="G84" s="1551"/>
      <c r="H84" s="1551"/>
      <c r="I84" s="1551"/>
      <c r="J84" s="1551"/>
      <c r="K84" s="1551"/>
      <c r="L84" s="1551"/>
      <c r="M84" s="1551"/>
      <c r="N84" s="1551"/>
      <c r="O84" s="1551"/>
      <c r="P84" s="1551"/>
      <c r="Q84" s="1551"/>
      <c r="R84" s="1551"/>
      <c r="S84" s="1551"/>
      <c r="T84" s="1551"/>
      <c r="U84" s="1551"/>
      <c r="V84" s="1551"/>
      <c r="W84" s="1551"/>
      <c r="X84" s="1551"/>
      <c r="Y84" s="1551"/>
      <c r="Z84" s="1551"/>
      <c r="AA84" s="1551"/>
      <c r="AB84" s="1551"/>
      <c r="AC84" s="1551"/>
      <c r="AD84" s="1551"/>
      <c r="AE84" s="1551"/>
      <c r="AF84" s="1551"/>
      <c r="AG84" s="1551"/>
      <c r="AH84" s="1551"/>
      <c r="AI84" s="1551"/>
      <c r="AJ84" s="1551"/>
      <c r="AK84" s="1551"/>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1" t="s">
        <v>1908</v>
      </c>
      <c r="H86" s="1551"/>
      <c r="I86" s="1551"/>
      <c r="J86" s="1551"/>
      <c r="K86" s="1551"/>
      <c r="L86" s="1551"/>
      <c r="M86" s="1551"/>
      <c r="N86" s="1551"/>
      <c r="O86" s="1551"/>
      <c r="P86" s="1551"/>
      <c r="Q86" s="1551"/>
      <c r="R86" s="1551"/>
      <c r="S86" s="1551"/>
      <c r="T86" s="1551"/>
      <c r="U86" s="1551"/>
      <c r="V86" s="1551"/>
      <c r="W86" s="1551"/>
      <c r="X86" s="1551"/>
      <c r="Y86" s="1551"/>
      <c r="Z86" s="1551"/>
      <c r="AA86" s="1551"/>
      <c r="AB86" s="1551"/>
      <c r="AC86" s="1551"/>
      <c r="AD86" s="1551"/>
      <c r="AE86" s="1551"/>
      <c r="AF86" s="1551"/>
      <c r="AG86" s="1551"/>
      <c r="AH86" s="1551"/>
      <c r="AI86" s="1551"/>
      <c r="AJ86" s="1551"/>
      <c r="AK86" s="1551"/>
      <c r="AL86" s="1"/>
    </row>
    <row r="87" spans="1:38">
      <c r="A87" s="283"/>
      <c r="B87" s="1"/>
      <c r="C87" s="358"/>
      <c r="D87" s="283"/>
      <c r="E87" s="283"/>
      <c r="F87" s="1"/>
      <c r="G87" s="1551"/>
      <c r="H87" s="1551"/>
      <c r="I87" s="1551"/>
      <c r="J87" s="1551"/>
      <c r="K87" s="1551"/>
      <c r="L87" s="1551"/>
      <c r="M87" s="1551"/>
      <c r="N87" s="1551"/>
      <c r="O87" s="1551"/>
      <c r="P87" s="1551"/>
      <c r="Q87" s="1551"/>
      <c r="R87" s="1551"/>
      <c r="S87" s="1551"/>
      <c r="T87" s="1551"/>
      <c r="U87" s="1551"/>
      <c r="V87" s="1551"/>
      <c r="W87" s="1551"/>
      <c r="X87" s="1551"/>
      <c r="Y87" s="1551"/>
      <c r="Z87" s="1551"/>
      <c r="AA87" s="1551"/>
      <c r="AB87" s="1551"/>
      <c r="AC87" s="1551"/>
      <c r="AD87" s="1551"/>
      <c r="AE87" s="1551"/>
      <c r="AF87" s="1551"/>
      <c r="AG87" s="1551"/>
      <c r="AH87" s="1551"/>
      <c r="AI87" s="1551"/>
      <c r="AJ87" s="1551"/>
      <c r="AK87" s="1551"/>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1" t="s">
        <v>1914</v>
      </c>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
    </row>
    <row r="90" spans="1:38">
      <c r="A90" s="283"/>
      <c r="B90" s="1"/>
      <c r="C90" s="358"/>
      <c r="D90" s="283"/>
      <c r="E90" s="283"/>
      <c r="F90" s="283"/>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
    </row>
    <row r="91" spans="1:38">
      <c r="A91" s="283"/>
      <c r="B91" s="1"/>
      <c r="C91" s="358"/>
      <c r="D91" s="283"/>
      <c r="E91" s="283"/>
      <c r="F91" s="283"/>
      <c r="G91" s="1551"/>
      <c r="H91" s="1551"/>
      <c r="I91" s="1551"/>
      <c r="J91" s="1551"/>
      <c r="K91" s="1551"/>
      <c r="L91" s="1551"/>
      <c r="M91" s="1551"/>
      <c r="N91" s="1551"/>
      <c r="O91" s="1551"/>
      <c r="P91" s="1551"/>
      <c r="Q91" s="1551"/>
      <c r="R91" s="1551"/>
      <c r="S91" s="1551"/>
      <c r="T91" s="1551"/>
      <c r="U91" s="1551"/>
      <c r="V91" s="1551"/>
      <c r="W91" s="1551"/>
      <c r="X91" s="1551"/>
      <c r="Y91" s="1551"/>
      <c r="Z91" s="1551"/>
      <c r="AA91" s="1551"/>
      <c r="AB91" s="1551"/>
      <c r="AC91" s="1551"/>
      <c r="AD91" s="1551"/>
      <c r="AE91" s="1551"/>
      <c r="AF91" s="1551"/>
      <c r="AG91" s="1551"/>
      <c r="AH91" s="1551"/>
      <c r="AI91" s="1551"/>
      <c r="AJ91" s="1551"/>
      <c r="AK91" s="1551"/>
      <c r="AL91" s="1"/>
    </row>
    <row r="92" spans="1:38">
      <c r="A92" s="283"/>
      <c r="B92" s="1"/>
      <c r="C92" s="358"/>
      <c r="D92" s="283"/>
      <c r="E92" s="283"/>
      <c r="F92" s="283"/>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
    </row>
    <row r="93" spans="1:38">
      <c r="A93" s="1068"/>
      <c r="B93" s="1069"/>
      <c r="C93" s="1070"/>
      <c r="D93" s="1068"/>
      <c r="E93" s="1068" t="s">
        <v>1098</v>
      </c>
      <c r="F93" s="1069" t="s">
        <v>1165</v>
      </c>
      <c r="G93" s="1068"/>
      <c r="H93" s="1069"/>
      <c r="I93" s="1069"/>
      <c r="J93" s="1069"/>
      <c r="K93" s="1069"/>
      <c r="L93" s="1068"/>
      <c r="M93" s="1068"/>
      <c r="N93" s="1069"/>
      <c r="O93" s="1069"/>
      <c r="P93" s="1068"/>
      <c r="Q93" s="1068"/>
      <c r="R93" s="1068"/>
      <c r="S93" s="1068"/>
      <c r="T93" s="1068"/>
      <c r="U93" s="1068"/>
      <c r="V93" s="1068"/>
      <c r="W93" s="1068"/>
      <c r="X93" s="1068"/>
      <c r="Y93" s="1068"/>
      <c r="Z93" s="1068"/>
      <c r="AA93" s="1068"/>
      <c r="AB93" s="1068"/>
      <c r="AC93" s="1069"/>
      <c r="AD93" s="1069"/>
      <c r="AE93" s="1069"/>
      <c r="AF93" s="1069"/>
      <c r="AG93" s="1069"/>
      <c r="AH93" s="1069"/>
      <c r="AI93" s="1069"/>
      <c r="AJ93" s="1069"/>
      <c r="AK93" s="1069"/>
      <c r="AL93" s="1069"/>
    </row>
    <row r="94" spans="1:38">
      <c r="A94" s="1068"/>
      <c r="B94" s="1069"/>
      <c r="C94" s="1070"/>
      <c r="D94" s="1068"/>
      <c r="E94" s="1068"/>
      <c r="F94" s="1069"/>
      <c r="G94" s="1552" t="s">
        <v>1915</v>
      </c>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069"/>
    </row>
    <row r="95" spans="1:38">
      <c r="A95" s="1068"/>
      <c r="B95" s="1069"/>
      <c r="C95" s="1070"/>
      <c r="D95" s="1068"/>
      <c r="E95" s="1068"/>
      <c r="F95" s="1069"/>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069"/>
    </row>
    <row r="96" spans="1:38">
      <c r="A96" s="1068"/>
      <c r="B96" s="1069"/>
      <c r="C96" s="1070"/>
      <c r="D96" s="1068"/>
      <c r="E96" s="1068"/>
      <c r="F96" s="1069"/>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069"/>
    </row>
    <row r="97" spans="1:38">
      <c r="A97" s="1068"/>
      <c r="B97" s="1069"/>
      <c r="C97" s="1070"/>
      <c r="D97" s="1068"/>
      <c r="E97" s="1068"/>
      <c r="F97" s="1069"/>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069"/>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1" t="s">
        <v>1916</v>
      </c>
      <c r="H99" s="1551"/>
      <c r="I99" s="1551"/>
      <c r="J99" s="1551"/>
      <c r="K99" s="1551"/>
      <c r="L99" s="1551"/>
      <c r="M99" s="1551"/>
      <c r="N99" s="1551"/>
      <c r="O99" s="1551"/>
      <c r="P99" s="1551"/>
      <c r="Q99" s="1551"/>
      <c r="R99" s="1551"/>
      <c r="S99" s="1551"/>
      <c r="T99" s="1551"/>
      <c r="U99" s="1551"/>
      <c r="V99" s="1551"/>
      <c r="W99" s="1551"/>
      <c r="X99" s="1551"/>
      <c r="Y99" s="1551"/>
      <c r="Z99" s="1551"/>
      <c r="AA99" s="1551"/>
      <c r="AB99" s="1551"/>
      <c r="AC99" s="1551"/>
      <c r="AD99" s="1551"/>
      <c r="AE99" s="1551"/>
      <c r="AF99" s="1551"/>
      <c r="AG99" s="1551"/>
      <c r="AH99" s="1551"/>
      <c r="AI99" s="1551"/>
      <c r="AJ99" s="1551"/>
      <c r="AK99" s="1551"/>
      <c r="AL99" s="1"/>
    </row>
    <row r="100" spans="1:38">
      <c r="A100" s="283"/>
      <c r="B100" s="1"/>
      <c r="C100" s="358"/>
      <c r="D100" s="283"/>
      <c r="E100" s="283"/>
      <c r="F100" s="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1" t="s">
        <v>1917</v>
      </c>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
    </row>
    <row r="103" spans="1:38">
      <c r="A103" s="283"/>
      <c r="B103" s="1"/>
      <c r="C103" s="358"/>
      <c r="D103" s="283"/>
      <c r="E103" s="283"/>
      <c r="F103" s="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1" t="s">
        <v>1918</v>
      </c>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
    </row>
    <row r="106" spans="1:38">
      <c r="A106" s="288"/>
      <c r="B106" s="272"/>
      <c r="C106" s="359"/>
      <c r="D106" s="288"/>
      <c r="E106" s="288"/>
      <c r="F106" s="288"/>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272"/>
    </row>
    <row r="107" spans="1:38">
      <c r="A107" s="288"/>
      <c r="B107" s="272"/>
      <c r="C107" s="359"/>
      <c r="D107" s="359"/>
      <c r="E107" s="288"/>
      <c r="F107" s="288"/>
      <c r="G107" s="1551"/>
      <c r="H107" s="1551"/>
      <c r="I107" s="1551"/>
      <c r="J107" s="1551"/>
      <c r="K107" s="1551"/>
      <c r="L107" s="1551"/>
      <c r="M107" s="1551"/>
      <c r="N107" s="1551"/>
      <c r="O107" s="1551"/>
      <c r="P107" s="1551"/>
      <c r="Q107" s="1551"/>
      <c r="R107" s="1551"/>
      <c r="S107" s="1551"/>
      <c r="T107" s="1551"/>
      <c r="U107" s="1551"/>
      <c r="V107" s="1551"/>
      <c r="W107" s="1551"/>
      <c r="X107" s="1551"/>
      <c r="Y107" s="1551"/>
      <c r="Z107" s="1551"/>
      <c r="AA107" s="1551"/>
      <c r="AB107" s="1551"/>
      <c r="AC107" s="1551"/>
      <c r="AD107" s="1551"/>
      <c r="AE107" s="1551"/>
      <c r="AF107" s="1551"/>
      <c r="AG107" s="1551"/>
      <c r="AH107" s="1551"/>
      <c r="AI107" s="1551"/>
      <c r="AJ107" s="1551"/>
      <c r="AK107" s="1551"/>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1" t="s">
        <v>1919</v>
      </c>
      <c r="H109" s="1551"/>
      <c r="I109" s="1551"/>
      <c r="J109" s="1551"/>
      <c r="K109" s="1551"/>
      <c r="L109" s="1551"/>
      <c r="M109" s="1551"/>
      <c r="N109" s="1551"/>
      <c r="O109" s="1551"/>
      <c r="P109" s="1551"/>
      <c r="Q109" s="1551"/>
      <c r="R109" s="1551"/>
      <c r="S109" s="1551"/>
      <c r="T109" s="1551"/>
      <c r="U109" s="1551"/>
      <c r="V109" s="1551"/>
      <c r="W109" s="1551"/>
      <c r="X109" s="1551"/>
      <c r="Y109" s="1551"/>
      <c r="Z109" s="1551"/>
      <c r="AA109" s="1551"/>
      <c r="AB109" s="1551"/>
      <c r="AC109" s="1551"/>
      <c r="AD109" s="1551"/>
      <c r="AE109" s="1551"/>
      <c r="AF109" s="1551"/>
      <c r="AG109" s="1551"/>
      <c r="AH109" s="1551"/>
      <c r="AI109" s="1551"/>
      <c r="AJ109" s="1551"/>
      <c r="AK109" s="1551"/>
      <c r="AL109" s="1"/>
    </row>
    <row r="110" spans="1:38">
      <c r="A110" s="283"/>
      <c r="B110" s="1"/>
      <c r="C110" s="358"/>
      <c r="D110" s="358"/>
      <c r="E110" s="283"/>
      <c r="F110" s="283"/>
      <c r="G110" s="1551"/>
      <c r="H110" s="1551"/>
      <c r="I110" s="1551"/>
      <c r="J110" s="1551"/>
      <c r="K110" s="1551"/>
      <c r="L110" s="1551"/>
      <c r="M110" s="1551"/>
      <c r="N110" s="1551"/>
      <c r="O110" s="1551"/>
      <c r="P110" s="1551"/>
      <c r="Q110" s="1551"/>
      <c r="R110" s="1551"/>
      <c r="S110" s="1551"/>
      <c r="T110" s="1551"/>
      <c r="U110" s="1551"/>
      <c r="V110" s="1551"/>
      <c r="W110" s="1551"/>
      <c r="X110" s="1551"/>
      <c r="Y110" s="1551"/>
      <c r="Z110" s="1551"/>
      <c r="AA110" s="1551"/>
      <c r="AB110" s="1551"/>
      <c r="AC110" s="1551"/>
      <c r="AD110" s="1551"/>
      <c r="AE110" s="1551"/>
      <c r="AF110" s="1551"/>
      <c r="AG110" s="1551"/>
      <c r="AH110" s="1551"/>
      <c r="AI110" s="1551"/>
      <c r="AJ110" s="1551"/>
      <c r="AK110" s="1551"/>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1"/>
      <c r="E112" s="1559" t="s">
        <v>1920</v>
      </c>
      <c r="F112" s="1559"/>
      <c r="G112" s="1559"/>
      <c r="H112" s="1559"/>
      <c r="I112" s="1559"/>
      <c r="J112" s="1559"/>
      <c r="K112" s="1559"/>
      <c r="L112" s="1559"/>
      <c r="M112" s="1559"/>
      <c r="N112" s="1559"/>
      <c r="O112" s="1559"/>
      <c r="P112" s="1559"/>
      <c r="Q112" s="1559"/>
      <c r="R112" s="1559"/>
      <c r="S112" s="1559"/>
      <c r="T112" s="1559"/>
      <c r="U112" s="1559"/>
      <c r="V112" s="1559"/>
      <c r="W112" s="1559"/>
      <c r="X112" s="1559"/>
      <c r="Y112" s="1559"/>
      <c r="Z112" s="1559"/>
      <c r="AA112" s="1559"/>
      <c r="AB112" s="1559"/>
      <c r="AC112" s="1559"/>
      <c r="AD112" s="1559"/>
      <c r="AE112" s="1559"/>
      <c r="AF112" s="1559"/>
      <c r="AG112" s="1559"/>
      <c r="AH112" s="1559"/>
      <c r="AI112" s="1559"/>
      <c r="AJ112" s="1559"/>
      <c r="AK112" s="1559"/>
      <c r="AL112" s="1"/>
    </row>
    <row r="113" spans="1:38">
      <c r="A113" s="283"/>
      <c r="B113" s="1"/>
      <c r="C113" s="1"/>
      <c r="D113" s="1071"/>
      <c r="E113" s="1559"/>
      <c r="F113" s="1559"/>
      <c r="G113" s="1559"/>
      <c r="H113" s="1559"/>
      <c r="I113" s="1559"/>
      <c r="J113" s="1559"/>
      <c r="K113" s="1559"/>
      <c r="L113" s="1559"/>
      <c r="M113" s="1559"/>
      <c r="N113" s="1559"/>
      <c r="O113" s="1559"/>
      <c r="P113" s="1559"/>
      <c r="Q113" s="1559"/>
      <c r="R113" s="1559"/>
      <c r="S113" s="1559"/>
      <c r="T113" s="1559"/>
      <c r="U113" s="1559"/>
      <c r="V113" s="1559"/>
      <c r="W113" s="1559"/>
      <c r="X113" s="1559"/>
      <c r="Y113" s="1559"/>
      <c r="Z113" s="1559"/>
      <c r="AA113" s="1559"/>
      <c r="AB113" s="1559"/>
      <c r="AC113" s="1559"/>
      <c r="AD113" s="1559"/>
      <c r="AE113" s="1559"/>
      <c r="AF113" s="1559"/>
      <c r="AG113" s="1559"/>
      <c r="AH113" s="1559"/>
      <c r="AI113" s="1559"/>
      <c r="AJ113" s="1559"/>
      <c r="AK113" s="1559"/>
      <c r="AL113" s="1"/>
    </row>
    <row r="114" spans="1:38" s="1062" customFormat="1" ht="12.75" customHeight="1">
      <c r="A114" s="283"/>
      <c r="B114" s="1072"/>
      <c r="C114" s="1071"/>
      <c r="D114" s="1071"/>
      <c r="E114" s="1072"/>
      <c r="F114" s="1071"/>
      <c r="G114" s="1071"/>
      <c r="H114" s="107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0" t="s">
        <v>513</v>
      </c>
      <c r="C115" s="1060" t="s">
        <v>752</v>
      </c>
      <c r="D115" s="1060"/>
      <c r="E115" s="1060"/>
      <c r="F115" s="1060"/>
      <c r="G115" s="1060"/>
      <c r="H115" s="1060"/>
      <c r="I115" s="1060"/>
      <c r="J115" s="1060"/>
      <c r="K115" s="106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3"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3"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3"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3"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3"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1" t="s">
        <v>2134</v>
      </c>
      <c r="G132" s="107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3"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4"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1" t="s">
        <v>1923</v>
      </c>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c r="AJ145" s="1551"/>
      <c r="AK145" s="1551"/>
      <c r="AL145" s="1"/>
    </row>
    <row r="146" spans="1:38">
      <c r="A146" s="1"/>
      <c r="B146" s="1"/>
      <c r="C146" s="1"/>
      <c r="D146" s="1"/>
      <c r="E146" s="1551"/>
      <c r="F146" s="1551"/>
      <c r="G146" s="1551"/>
      <c r="H146" s="1551"/>
      <c r="I146" s="1551"/>
      <c r="J146" s="1551"/>
      <c r="K146" s="1551"/>
      <c r="L146" s="1551"/>
      <c r="M146" s="1551"/>
      <c r="N146" s="1551"/>
      <c r="O146" s="1551"/>
      <c r="P146" s="1551"/>
      <c r="Q146" s="1551"/>
      <c r="R146" s="1551"/>
      <c r="S146" s="1551"/>
      <c r="T146" s="1551"/>
      <c r="U146" s="1551"/>
      <c r="V146" s="1551"/>
      <c r="W146" s="1551"/>
      <c r="X146" s="1551"/>
      <c r="Y146" s="1551"/>
      <c r="Z146" s="1551"/>
      <c r="AA146" s="1551"/>
      <c r="AB146" s="1551"/>
      <c r="AC146" s="1551"/>
      <c r="AD146" s="1551"/>
      <c r="AE146" s="1551"/>
      <c r="AF146" s="1551"/>
      <c r="AG146" s="1551"/>
      <c r="AH146" s="1551"/>
      <c r="AI146" s="1551"/>
      <c r="AJ146" s="1551"/>
      <c r="AK146" s="155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1" t="s">
        <v>1924</v>
      </c>
      <c r="H158" s="1551"/>
      <c r="I158" s="1551"/>
      <c r="J158" s="1551"/>
      <c r="K158" s="1551"/>
      <c r="L158" s="1551"/>
      <c r="M158" s="1551"/>
      <c r="N158" s="1551"/>
      <c r="O158" s="1551"/>
      <c r="P158" s="1551"/>
      <c r="Q158" s="1551"/>
      <c r="R158" s="1551"/>
      <c r="S158" s="1551"/>
      <c r="T158" s="1551"/>
      <c r="U158" s="1551"/>
      <c r="V158" s="1551"/>
      <c r="W158" s="1551"/>
      <c r="X158" s="1551"/>
      <c r="Y158" s="1551"/>
      <c r="Z158" s="1551"/>
      <c r="AA158" s="1551"/>
      <c r="AB158" s="1551"/>
      <c r="AC158" s="1551"/>
      <c r="AD158" s="1551"/>
      <c r="AE158" s="1551"/>
      <c r="AF158" s="1551"/>
      <c r="AG158" s="1551"/>
      <c r="AH158" s="1551"/>
      <c r="AI158" s="1551"/>
      <c r="AJ158" s="1551"/>
      <c r="AK158" s="1551"/>
      <c r="AL158" s="1"/>
    </row>
    <row r="159" spans="1:38">
      <c r="A159" s="1"/>
      <c r="B159" s="1"/>
      <c r="C159" s="1"/>
      <c r="D159" s="1"/>
      <c r="E159" s="1"/>
      <c r="F159" s="1"/>
      <c r="G159" s="1551"/>
      <c r="H159" s="1551"/>
      <c r="I159" s="1551"/>
      <c r="J159" s="1551"/>
      <c r="K159" s="1551"/>
      <c r="L159" s="1551"/>
      <c r="M159" s="1551"/>
      <c r="N159" s="1551"/>
      <c r="O159" s="1551"/>
      <c r="P159" s="1551"/>
      <c r="Q159" s="1551"/>
      <c r="R159" s="1551"/>
      <c r="S159" s="1551"/>
      <c r="T159" s="1551"/>
      <c r="U159" s="1551"/>
      <c r="V159" s="1551"/>
      <c r="W159" s="1551"/>
      <c r="X159" s="1551"/>
      <c r="Y159" s="1551"/>
      <c r="Z159" s="1551"/>
      <c r="AA159" s="1551"/>
      <c r="AB159" s="1551"/>
      <c r="AC159" s="1551"/>
      <c r="AD159" s="1551"/>
      <c r="AE159" s="1551"/>
      <c r="AF159" s="1551"/>
      <c r="AG159" s="1551"/>
      <c r="AH159" s="1551"/>
      <c r="AI159" s="1551"/>
      <c r="AJ159" s="1551"/>
      <c r="AK159" s="155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0" t="s">
        <v>2188</v>
      </c>
      <c r="F162" s="106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1"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1"/>
      <c r="G184" s="1"/>
      <c r="H184" s="1"/>
      <c r="I184" s="106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68" t="s">
        <v>1167</v>
      </c>
      <c r="F190" s="106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68"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1" t="s">
        <v>1784</v>
      </c>
      <c r="G195" s="1"/>
      <c r="H195" s="1"/>
      <c r="I195" s="106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68"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1"/>
      <c r="G202" s="283"/>
      <c r="H202" s="1"/>
      <c r="I202" s="106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1"/>
      <c r="G203" s="283"/>
      <c r="H203" s="1"/>
      <c r="I203" s="106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1"/>
      <c r="G204" s="283"/>
      <c r="H204" s="1"/>
      <c r="I204" s="106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1"/>
      <c r="G206" s="283"/>
      <c r="H206" s="1"/>
      <c r="I206" s="106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1" t="s">
        <v>1925</v>
      </c>
      <c r="H222" s="1551"/>
      <c r="I222" s="1551"/>
      <c r="J222" s="1551"/>
      <c r="K222" s="1551"/>
      <c r="L222" s="1551"/>
      <c r="M222" s="1551"/>
      <c r="N222" s="1551"/>
      <c r="O222" s="1551"/>
      <c r="P222" s="1551"/>
      <c r="Q222" s="1551"/>
      <c r="R222" s="1551"/>
      <c r="S222" s="1551"/>
      <c r="T222" s="1551"/>
      <c r="U222" s="1551"/>
      <c r="V222" s="1551"/>
      <c r="W222" s="1551"/>
      <c r="X222" s="1551"/>
      <c r="Y222" s="1551"/>
      <c r="Z222" s="1551"/>
      <c r="AA222" s="1551"/>
      <c r="AB222" s="1551"/>
      <c r="AC222" s="1551"/>
      <c r="AD222" s="1551"/>
      <c r="AE222" s="1551"/>
      <c r="AF222" s="1551"/>
      <c r="AG222" s="1551"/>
      <c r="AH222" s="1551"/>
      <c r="AI222" s="1551"/>
      <c r="AJ222" s="1551"/>
      <c r="AK222" s="1551"/>
      <c r="AL222" s="1"/>
    </row>
    <row r="223" spans="1:38">
      <c r="A223" s="1"/>
      <c r="B223" s="283"/>
      <c r="C223" s="283"/>
      <c r="D223" s="358"/>
      <c r="E223" s="1"/>
      <c r="F223" s="1"/>
      <c r="G223" s="1551"/>
      <c r="H223" s="1551"/>
      <c r="I223" s="1551"/>
      <c r="J223" s="1551"/>
      <c r="K223" s="1551"/>
      <c r="L223" s="1551"/>
      <c r="M223" s="1551"/>
      <c r="N223" s="1551"/>
      <c r="O223" s="1551"/>
      <c r="P223" s="1551"/>
      <c r="Q223" s="1551"/>
      <c r="R223" s="1551"/>
      <c r="S223" s="1551"/>
      <c r="T223" s="1551"/>
      <c r="U223" s="1551"/>
      <c r="V223" s="1551"/>
      <c r="W223" s="1551"/>
      <c r="X223" s="1551"/>
      <c r="Y223" s="1551"/>
      <c r="Z223" s="1551"/>
      <c r="AA223" s="1551"/>
      <c r="AB223" s="1551"/>
      <c r="AC223" s="1551"/>
      <c r="AD223" s="1551"/>
      <c r="AE223" s="1551"/>
      <c r="AF223" s="1551"/>
      <c r="AG223" s="1551"/>
      <c r="AH223" s="1551"/>
      <c r="AI223" s="1551"/>
      <c r="AJ223" s="1551"/>
      <c r="AK223" s="155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1" t="s">
        <v>1926</v>
      </c>
      <c r="H233" s="1551"/>
      <c r="I233" s="1551"/>
      <c r="J233" s="1551"/>
      <c r="K233" s="1551"/>
      <c r="L233" s="1551"/>
      <c r="M233" s="1551"/>
      <c r="N233" s="1551"/>
      <c r="O233" s="1551"/>
      <c r="P233" s="1551"/>
      <c r="Q233" s="1551"/>
      <c r="R233" s="1551"/>
      <c r="S233" s="1551"/>
      <c r="T233" s="1551"/>
      <c r="U233" s="1551"/>
      <c r="V233" s="1551"/>
      <c r="W233" s="1551"/>
      <c r="X233" s="1551"/>
      <c r="Y233" s="1551"/>
      <c r="Z233" s="1551"/>
      <c r="AA233" s="1551"/>
      <c r="AB233" s="1551"/>
      <c r="AC233" s="1551"/>
      <c r="AD233" s="1551"/>
      <c r="AE233" s="1551"/>
      <c r="AF233" s="1551"/>
      <c r="AG233" s="1551"/>
      <c r="AH233" s="1551"/>
      <c r="AI233" s="1551"/>
      <c r="AJ233" s="1551"/>
      <c r="AK233" s="1551"/>
      <c r="AL233" s="1"/>
    </row>
    <row r="234" spans="1:38">
      <c r="A234" s="1"/>
      <c r="B234" s="283"/>
      <c r="C234" s="283"/>
      <c r="D234" s="1"/>
      <c r="E234" s="1"/>
      <c r="F234" s="283"/>
      <c r="G234" s="1551"/>
      <c r="H234" s="1551"/>
      <c r="I234" s="1551"/>
      <c r="J234" s="1551"/>
      <c r="K234" s="1551"/>
      <c r="L234" s="1551"/>
      <c r="M234" s="1551"/>
      <c r="N234" s="1551"/>
      <c r="O234" s="1551"/>
      <c r="P234" s="1551"/>
      <c r="Q234" s="1551"/>
      <c r="R234" s="1551"/>
      <c r="S234" s="1551"/>
      <c r="T234" s="1551"/>
      <c r="U234" s="1551"/>
      <c r="V234" s="1551"/>
      <c r="W234" s="1551"/>
      <c r="X234" s="1551"/>
      <c r="Y234" s="1551"/>
      <c r="Z234" s="1551"/>
      <c r="AA234" s="1551"/>
      <c r="AB234" s="1551"/>
      <c r="AC234" s="1551"/>
      <c r="AD234" s="1551"/>
      <c r="AE234" s="1551"/>
      <c r="AF234" s="1551"/>
      <c r="AG234" s="1551"/>
      <c r="AH234" s="1551"/>
      <c r="AI234" s="1551"/>
      <c r="AJ234" s="1551"/>
      <c r="AK234" s="1551"/>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1" t="s">
        <v>1927</v>
      </c>
      <c r="H236" s="1551"/>
      <c r="I236" s="1551"/>
      <c r="J236" s="1551"/>
      <c r="K236" s="1551"/>
      <c r="L236" s="1551"/>
      <c r="M236" s="1551"/>
      <c r="N236" s="1551"/>
      <c r="O236" s="1551"/>
      <c r="P236" s="1551"/>
      <c r="Q236" s="1551"/>
      <c r="R236" s="1551"/>
      <c r="S236" s="1551"/>
      <c r="T236" s="1551"/>
      <c r="U236" s="1551"/>
      <c r="V236" s="1551"/>
      <c r="W236" s="1551"/>
      <c r="X236" s="1551"/>
      <c r="Y236" s="1551"/>
      <c r="Z236" s="1551"/>
      <c r="AA236" s="1551"/>
      <c r="AB236" s="1551"/>
      <c r="AC236" s="1551"/>
      <c r="AD236" s="1551"/>
      <c r="AE236" s="1551"/>
      <c r="AF236" s="1551"/>
      <c r="AG236" s="1551"/>
      <c r="AH236" s="1551"/>
      <c r="AI236" s="1551"/>
      <c r="AJ236" s="1551"/>
      <c r="AK236" s="1551"/>
      <c r="AL236" s="1"/>
    </row>
    <row r="237" spans="1:38">
      <c r="A237" s="1"/>
      <c r="B237" s="283"/>
      <c r="C237" s="283"/>
      <c r="D237" s="1"/>
      <c r="E237" s="1"/>
      <c r="F237" s="283"/>
      <c r="G237" s="1551"/>
      <c r="H237" s="1551"/>
      <c r="I237" s="1551"/>
      <c r="J237" s="1551"/>
      <c r="K237" s="1551"/>
      <c r="L237" s="1551"/>
      <c r="M237" s="1551"/>
      <c r="N237" s="1551"/>
      <c r="O237" s="1551"/>
      <c r="P237" s="1551"/>
      <c r="Q237" s="1551"/>
      <c r="R237" s="1551"/>
      <c r="S237" s="1551"/>
      <c r="T237" s="1551"/>
      <c r="U237" s="1551"/>
      <c r="V237" s="1551"/>
      <c r="W237" s="1551"/>
      <c r="X237" s="1551"/>
      <c r="Y237" s="1551"/>
      <c r="Z237" s="1551"/>
      <c r="AA237" s="1551"/>
      <c r="AB237" s="1551"/>
      <c r="AC237" s="1551"/>
      <c r="AD237" s="1551"/>
      <c r="AE237" s="1551"/>
      <c r="AF237" s="1551"/>
      <c r="AG237" s="1551"/>
      <c r="AH237" s="1551"/>
      <c r="AI237" s="1551"/>
      <c r="AJ237" s="1551"/>
      <c r="AK237" s="155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0" t="s">
        <v>372</v>
      </c>
      <c r="C239" s="1060"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3"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1"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1" t="s">
        <v>1785</v>
      </c>
      <c r="F285" s="1061"/>
      <c r="G285" s="283"/>
      <c r="H285" s="1061"/>
      <c r="I285" s="106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5" t="s">
        <v>1169</v>
      </c>
      <c r="F286" s="1"/>
      <c r="G286" s="283"/>
      <c r="H286" s="1075"/>
      <c r="I286" s="107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1" t="s">
        <v>1786</v>
      </c>
      <c r="G290" s="1061"/>
      <c r="H290" s="1061"/>
      <c r="I290" s="1061"/>
      <c r="J290" s="1061"/>
      <c r="K290" s="1061"/>
      <c r="L290" s="1061"/>
      <c r="M290" s="1061"/>
      <c r="N290" s="1061"/>
      <c r="O290" s="1061"/>
      <c r="P290" s="1061"/>
      <c r="Q290" s="1061"/>
      <c r="R290" s="1061"/>
      <c r="S290" s="1061"/>
      <c r="T290" s="1061"/>
      <c r="U290" s="1061"/>
      <c r="V290" s="1061"/>
      <c r="W290" s="1061"/>
      <c r="X290" s="1061"/>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3" t="s">
        <v>1110</v>
      </c>
      <c r="G301" s="1061"/>
      <c r="H301" s="1061"/>
      <c r="I301" s="1063"/>
      <c r="J301" s="1063"/>
      <c r="K301" s="1063"/>
      <c r="L301" s="106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3" t="s">
        <v>1353</v>
      </c>
      <c r="G302" s="1061"/>
      <c r="H302" s="1061"/>
      <c r="I302" s="1063"/>
      <c r="J302" s="1063"/>
      <c r="K302" s="1063"/>
      <c r="L302" s="106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3" t="s">
        <v>1107</v>
      </c>
      <c r="G303" s="1061"/>
      <c r="H303" s="1061"/>
      <c r="I303" s="1063"/>
      <c r="J303" s="1063"/>
      <c r="K303" s="1063"/>
      <c r="L303" s="106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1"/>
      <c r="G304" s="1061"/>
      <c r="H304" s="1061"/>
      <c r="I304" s="1061"/>
      <c r="J304" s="1061"/>
      <c r="K304" s="1061"/>
      <c r="L304" s="106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1"/>
      <c r="J305" s="1061"/>
      <c r="K305" s="1061"/>
      <c r="L305" s="106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1"/>
      <c r="J306" s="1061"/>
      <c r="K306" s="1061"/>
      <c r="L306" s="106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1"/>
      <c r="J307" s="1061"/>
      <c r="K307" s="1061"/>
      <c r="L307" s="106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6"/>
      <c r="B319" s="1077"/>
      <c r="C319" s="1078"/>
      <c r="D319" s="1077" t="s">
        <v>932</v>
      </c>
      <c r="E319" s="1077" t="s">
        <v>882</v>
      </c>
      <c r="F319" s="1078"/>
      <c r="G319" s="1078"/>
      <c r="H319" s="1078"/>
      <c r="I319" s="1078"/>
      <c r="J319" s="1078"/>
      <c r="K319" s="1078"/>
      <c r="L319" s="1078"/>
      <c r="M319" s="1078"/>
      <c r="N319" s="1078"/>
      <c r="O319" s="1078"/>
      <c r="P319" s="1078"/>
      <c r="Q319" s="1078"/>
      <c r="R319" s="1078"/>
      <c r="S319" s="1078"/>
      <c r="T319" s="1078"/>
      <c r="U319" s="1078"/>
      <c r="V319" s="1078"/>
      <c r="W319" s="1078"/>
      <c r="X319" s="1078"/>
      <c r="Y319" s="1078"/>
      <c r="Z319" s="1078"/>
      <c r="AA319" s="1078"/>
      <c r="AB319" s="1078"/>
      <c r="AC319" s="1078"/>
      <c r="AD319" s="1078"/>
      <c r="AE319" s="1078"/>
      <c r="AF319" s="1078"/>
      <c r="AG319" s="1078"/>
      <c r="AH319" s="1078"/>
      <c r="AI319" s="1078"/>
      <c r="AJ319" s="1078"/>
      <c r="AK319" s="1078"/>
      <c r="AL319" s="1078"/>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1" t="s">
        <v>1788</v>
      </c>
      <c r="G328" s="1"/>
      <c r="H328" s="1"/>
      <c r="I328" s="106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1" t="s">
        <v>1789</v>
      </c>
      <c r="G329" s="1"/>
      <c r="H329" s="1"/>
      <c r="I329" s="106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0"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0" t="s">
        <v>2056</v>
      </c>
      <c r="F343" s="1560"/>
      <c r="G343" s="1560"/>
      <c r="H343" s="1560"/>
      <c r="I343" s="1560"/>
      <c r="J343" s="1560"/>
      <c r="K343" s="1560"/>
      <c r="L343" s="1560"/>
      <c r="M343" s="1560"/>
      <c r="N343" s="1560"/>
      <c r="O343" s="1560"/>
      <c r="P343" s="1560"/>
      <c r="Q343" s="1560"/>
      <c r="R343" s="1560"/>
      <c r="S343" s="1560"/>
      <c r="T343" s="1560"/>
      <c r="U343" s="1560"/>
      <c r="V343" s="1560"/>
      <c r="W343" s="1560"/>
      <c r="X343" s="1560"/>
      <c r="Y343" s="1560"/>
      <c r="Z343" s="1560"/>
      <c r="AA343" s="1560"/>
      <c r="AB343" s="1560"/>
      <c r="AC343" s="1560"/>
      <c r="AD343" s="1560"/>
      <c r="AE343" s="1560"/>
      <c r="AF343" s="1560"/>
      <c r="AG343" s="1560"/>
      <c r="AH343" s="1560"/>
      <c r="AI343" s="1560"/>
      <c r="AJ343" s="1560"/>
      <c r="AK343" s="1560"/>
      <c r="AL343" s="1"/>
    </row>
    <row r="344" spans="1:38">
      <c r="A344" s="1"/>
      <c r="B344" s="358"/>
      <c r="C344" s="1"/>
      <c r="D344" s="1"/>
      <c r="E344" s="1560"/>
      <c r="F344" s="1560"/>
      <c r="G344" s="1560"/>
      <c r="H344" s="1560"/>
      <c r="I344" s="1560"/>
      <c r="J344" s="1560"/>
      <c r="K344" s="1560"/>
      <c r="L344" s="1560"/>
      <c r="M344" s="1560"/>
      <c r="N344" s="1560"/>
      <c r="O344" s="1560"/>
      <c r="P344" s="1560"/>
      <c r="Q344" s="1560"/>
      <c r="R344" s="1560"/>
      <c r="S344" s="1560"/>
      <c r="T344" s="1560"/>
      <c r="U344" s="1560"/>
      <c r="V344" s="1560"/>
      <c r="W344" s="1560"/>
      <c r="X344" s="1560"/>
      <c r="Y344" s="1560"/>
      <c r="Z344" s="1560"/>
      <c r="AA344" s="1560"/>
      <c r="AB344" s="1560"/>
      <c r="AC344" s="1560"/>
      <c r="AD344" s="1560"/>
      <c r="AE344" s="1560"/>
      <c r="AF344" s="1560"/>
      <c r="AG344" s="1560"/>
      <c r="AH344" s="1560"/>
      <c r="AI344" s="1560"/>
      <c r="AJ344" s="1560"/>
      <c r="AK344" s="1560"/>
      <c r="AL344" s="1"/>
    </row>
    <row r="345" spans="1:38">
      <c r="A345" s="1"/>
      <c r="B345" s="358"/>
      <c r="C345" s="1"/>
      <c r="D345" s="1"/>
      <c r="E345" s="1560"/>
      <c r="F345" s="1560"/>
      <c r="G345" s="1560"/>
      <c r="H345" s="1560"/>
      <c r="I345" s="1560"/>
      <c r="J345" s="1560"/>
      <c r="K345" s="1560"/>
      <c r="L345" s="1560"/>
      <c r="M345" s="1560"/>
      <c r="N345" s="1560"/>
      <c r="O345" s="1560"/>
      <c r="P345" s="1560"/>
      <c r="Q345" s="1560"/>
      <c r="R345" s="1560"/>
      <c r="S345" s="1560"/>
      <c r="T345" s="1560"/>
      <c r="U345" s="1560"/>
      <c r="V345" s="1560"/>
      <c r="W345" s="1560"/>
      <c r="X345" s="1560"/>
      <c r="Y345" s="1560"/>
      <c r="Z345" s="1560"/>
      <c r="AA345" s="1560"/>
      <c r="AB345" s="1560"/>
      <c r="AC345" s="1560"/>
      <c r="AD345" s="1560"/>
      <c r="AE345" s="1560"/>
      <c r="AF345" s="1560"/>
      <c r="AG345" s="1560"/>
      <c r="AH345" s="1560"/>
      <c r="AI345" s="1560"/>
      <c r="AJ345" s="1560"/>
      <c r="AK345" s="1560"/>
      <c r="AL345" s="1"/>
    </row>
    <row r="346" spans="1:38">
      <c r="A346" s="1"/>
      <c r="B346" s="358"/>
      <c r="C346" s="1"/>
      <c r="D346" s="1"/>
      <c r="E346" s="1560"/>
      <c r="F346" s="1560"/>
      <c r="G346" s="1560"/>
      <c r="H346" s="1560"/>
      <c r="I346" s="1560"/>
      <c r="J346" s="1560"/>
      <c r="K346" s="1560"/>
      <c r="L346" s="1560"/>
      <c r="M346" s="1560"/>
      <c r="N346" s="1560"/>
      <c r="O346" s="1560"/>
      <c r="P346" s="1560"/>
      <c r="Q346" s="1560"/>
      <c r="R346" s="1560"/>
      <c r="S346" s="1560"/>
      <c r="T346" s="1560"/>
      <c r="U346" s="1560"/>
      <c r="V346" s="1560"/>
      <c r="W346" s="1560"/>
      <c r="X346" s="1560"/>
      <c r="Y346" s="1560"/>
      <c r="Z346" s="1560"/>
      <c r="AA346" s="1560"/>
      <c r="AB346" s="1560"/>
      <c r="AC346" s="1560"/>
      <c r="AD346" s="1560"/>
      <c r="AE346" s="1560"/>
      <c r="AF346" s="1560"/>
      <c r="AG346" s="1560"/>
      <c r="AH346" s="1560"/>
      <c r="AI346" s="1560"/>
      <c r="AJ346" s="1560"/>
      <c r="AK346" s="1560"/>
      <c r="AL346" s="1"/>
    </row>
    <row r="347" spans="1:38">
      <c r="A347" s="1"/>
      <c r="B347" s="358"/>
      <c r="C347" s="1"/>
      <c r="D347" s="1"/>
      <c r="E347" s="1560"/>
      <c r="F347" s="1560"/>
      <c r="G347" s="1560"/>
      <c r="H347" s="1560"/>
      <c r="I347" s="1560"/>
      <c r="J347" s="1560"/>
      <c r="K347" s="1560"/>
      <c r="L347" s="1560"/>
      <c r="M347" s="1560"/>
      <c r="N347" s="1560"/>
      <c r="O347" s="1560"/>
      <c r="P347" s="1560"/>
      <c r="Q347" s="1560"/>
      <c r="R347" s="1560"/>
      <c r="S347" s="1560"/>
      <c r="T347" s="1560"/>
      <c r="U347" s="1560"/>
      <c r="V347" s="1560"/>
      <c r="W347" s="1560"/>
      <c r="X347" s="1560"/>
      <c r="Y347" s="1560"/>
      <c r="Z347" s="1560"/>
      <c r="AA347" s="1560"/>
      <c r="AB347" s="1560"/>
      <c r="AC347" s="1560"/>
      <c r="AD347" s="1560"/>
      <c r="AE347" s="1560"/>
      <c r="AF347" s="1560"/>
      <c r="AG347" s="1560"/>
      <c r="AH347" s="1560"/>
      <c r="AI347" s="1560"/>
      <c r="AJ347" s="1560"/>
      <c r="AK347" s="1560"/>
      <c r="AL347" s="1"/>
    </row>
    <row r="348" spans="1:38">
      <c r="A348" s="1"/>
      <c r="B348" s="358"/>
      <c r="C348" s="1"/>
      <c r="D348" s="1"/>
      <c r="E348" s="283" t="s">
        <v>1004</v>
      </c>
      <c r="F348" s="1551" t="s">
        <v>2057</v>
      </c>
      <c r="G348" s="1558"/>
      <c r="H348" s="1558"/>
      <c r="I348" s="1558"/>
      <c r="J348" s="1558"/>
      <c r="K348" s="1558"/>
      <c r="L348" s="1558"/>
      <c r="M348" s="1558"/>
      <c r="N348" s="1558"/>
      <c r="O348" s="1558"/>
      <c r="P348" s="1558"/>
      <c r="Q348" s="1558"/>
      <c r="R348" s="1558"/>
      <c r="S348" s="1558"/>
      <c r="T348" s="1558"/>
      <c r="U348" s="1558"/>
      <c r="V348" s="1558"/>
      <c r="W348" s="1558"/>
      <c r="X348" s="1558"/>
      <c r="Y348" s="1558"/>
      <c r="Z348" s="1558"/>
      <c r="AA348" s="1558"/>
      <c r="AB348" s="1558"/>
      <c r="AC348" s="1558"/>
      <c r="AD348" s="1558"/>
      <c r="AE348" s="1558"/>
      <c r="AF348" s="1558"/>
      <c r="AG348" s="1558"/>
      <c r="AH348" s="1558"/>
      <c r="AI348" s="1558"/>
      <c r="AJ348" s="1558"/>
      <c r="AK348" s="1558"/>
      <c r="AL348" s="1"/>
    </row>
    <row r="349" spans="1:38">
      <c r="A349" s="1"/>
      <c r="B349" s="358"/>
      <c r="C349" s="1"/>
      <c r="D349" s="1"/>
      <c r="E349" s="283"/>
      <c r="F349" s="1551"/>
      <c r="G349" s="1558"/>
      <c r="H349" s="1558"/>
      <c r="I349" s="1558"/>
      <c r="J349" s="1558"/>
      <c r="K349" s="1558"/>
      <c r="L349" s="1558"/>
      <c r="M349" s="1558"/>
      <c r="N349" s="1558"/>
      <c r="O349" s="1558"/>
      <c r="P349" s="1558"/>
      <c r="Q349" s="1558"/>
      <c r="R349" s="1558"/>
      <c r="S349" s="1558"/>
      <c r="T349" s="1558"/>
      <c r="U349" s="1558"/>
      <c r="V349" s="1558"/>
      <c r="W349" s="1558"/>
      <c r="X349" s="1558"/>
      <c r="Y349" s="1558"/>
      <c r="Z349" s="1558"/>
      <c r="AA349" s="1558"/>
      <c r="AB349" s="1558"/>
      <c r="AC349" s="1558"/>
      <c r="AD349" s="1558"/>
      <c r="AE349" s="1558"/>
      <c r="AF349" s="1558"/>
      <c r="AG349" s="1558"/>
      <c r="AH349" s="1558"/>
      <c r="AI349" s="1558"/>
      <c r="AJ349" s="1558"/>
      <c r="AK349" s="1558"/>
      <c r="AL349" s="1"/>
    </row>
    <row r="350" spans="1:38">
      <c r="A350" s="1"/>
      <c r="B350" s="358"/>
      <c r="C350" s="1"/>
      <c r="D350" s="1"/>
      <c r="E350" s="283"/>
      <c r="F350" s="1558"/>
      <c r="G350" s="1558"/>
      <c r="H350" s="1558"/>
      <c r="I350" s="1558"/>
      <c r="J350" s="1558"/>
      <c r="K350" s="1558"/>
      <c r="L350" s="1558"/>
      <c r="M350" s="1558"/>
      <c r="N350" s="1558"/>
      <c r="O350" s="1558"/>
      <c r="P350" s="1558"/>
      <c r="Q350" s="1558"/>
      <c r="R350" s="1558"/>
      <c r="S350" s="1558"/>
      <c r="T350" s="1558"/>
      <c r="U350" s="1558"/>
      <c r="V350" s="1558"/>
      <c r="W350" s="1558"/>
      <c r="X350" s="1558"/>
      <c r="Y350" s="1558"/>
      <c r="Z350" s="1558"/>
      <c r="AA350" s="1558"/>
      <c r="AB350" s="1558"/>
      <c r="AC350" s="1558"/>
      <c r="AD350" s="1558"/>
      <c r="AE350" s="1558"/>
      <c r="AF350" s="1558"/>
      <c r="AG350" s="1558"/>
      <c r="AH350" s="1558"/>
      <c r="AI350" s="1558"/>
      <c r="AJ350" s="1558"/>
      <c r="AK350" s="1558"/>
      <c r="AL350" s="1"/>
    </row>
    <row r="351" spans="1:38">
      <c r="A351" s="1"/>
      <c r="B351" s="358"/>
      <c r="C351" s="1"/>
      <c r="D351" s="1"/>
      <c r="E351" s="283"/>
      <c r="F351" s="1558"/>
      <c r="G351" s="1558"/>
      <c r="H351" s="1558"/>
      <c r="I351" s="1558"/>
      <c r="J351" s="1558"/>
      <c r="K351" s="1558"/>
      <c r="L351" s="1558"/>
      <c r="M351" s="1558"/>
      <c r="N351" s="1558"/>
      <c r="O351" s="1558"/>
      <c r="P351" s="1558"/>
      <c r="Q351" s="1558"/>
      <c r="R351" s="1558"/>
      <c r="S351" s="1558"/>
      <c r="T351" s="1558"/>
      <c r="U351" s="1558"/>
      <c r="V351" s="1558"/>
      <c r="W351" s="1558"/>
      <c r="X351" s="1558"/>
      <c r="Y351" s="1558"/>
      <c r="Z351" s="1558"/>
      <c r="AA351" s="1558"/>
      <c r="AB351" s="1558"/>
      <c r="AC351" s="1558"/>
      <c r="AD351" s="1558"/>
      <c r="AE351" s="1558"/>
      <c r="AF351" s="1558"/>
      <c r="AG351" s="1558"/>
      <c r="AH351" s="1558"/>
      <c r="AI351" s="1558"/>
      <c r="AJ351" s="1558"/>
      <c r="AK351" s="1558"/>
      <c r="AL351" s="1"/>
    </row>
    <row r="352" spans="1:38">
      <c r="A352" s="1"/>
      <c r="B352" s="358"/>
      <c r="C352" s="1"/>
      <c r="D352" s="1"/>
      <c r="E352" s="283" t="s">
        <v>1005</v>
      </c>
      <c r="F352" s="1551" t="s">
        <v>2058</v>
      </c>
      <c r="G352" s="1558"/>
      <c r="H352" s="1558"/>
      <c r="I352" s="1558"/>
      <c r="J352" s="1558"/>
      <c r="K352" s="1558"/>
      <c r="L352" s="1558"/>
      <c r="M352" s="1558"/>
      <c r="N352" s="1558"/>
      <c r="O352" s="1558"/>
      <c r="P352" s="1558"/>
      <c r="Q352" s="1558"/>
      <c r="R352" s="1558"/>
      <c r="S352" s="1558"/>
      <c r="T352" s="1558"/>
      <c r="U352" s="1558"/>
      <c r="V352" s="1558"/>
      <c r="W352" s="1558"/>
      <c r="X352" s="1558"/>
      <c r="Y352" s="1558"/>
      <c r="Z352" s="1558"/>
      <c r="AA352" s="1558"/>
      <c r="AB352" s="1558"/>
      <c r="AC352" s="1558"/>
      <c r="AD352" s="1558"/>
      <c r="AE352" s="1558"/>
      <c r="AF352" s="1558"/>
      <c r="AG352" s="1558"/>
      <c r="AH352" s="1558"/>
      <c r="AI352" s="1558"/>
      <c r="AJ352" s="1558"/>
      <c r="AK352" s="1558"/>
      <c r="AL352" s="1"/>
    </row>
    <row r="353" spans="1:38">
      <c r="A353" s="1"/>
      <c r="B353" s="358"/>
      <c r="C353" s="1"/>
      <c r="D353" s="1"/>
      <c r="E353" s="1"/>
      <c r="F353" s="1558"/>
      <c r="G353" s="1558"/>
      <c r="H353" s="1558"/>
      <c r="I353" s="1558"/>
      <c r="J353" s="1558"/>
      <c r="K353" s="1558"/>
      <c r="L353" s="1558"/>
      <c r="M353" s="1558"/>
      <c r="N353" s="1558"/>
      <c r="O353" s="1558"/>
      <c r="P353" s="1558"/>
      <c r="Q353" s="1558"/>
      <c r="R353" s="1558"/>
      <c r="S353" s="1558"/>
      <c r="T353" s="1558"/>
      <c r="U353" s="1558"/>
      <c r="V353" s="1558"/>
      <c r="W353" s="1558"/>
      <c r="X353" s="1558"/>
      <c r="Y353" s="1558"/>
      <c r="Z353" s="1558"/>
      <c r="AA353" s="1558"/>
      <c r="AB353" s="1558"/>
      <c r="AC353" s="1558"/>
      <c r="AD353" s="1558"/>
      <c r="AE353" s="1558"/>
      <c r="AF353" s="1558"/>
      <c r="AG353" s="1558"/>
      <c r="AH353" s="1558"/>
      <c r="AI353" s="1558"/>
      <c r="AJ353" s="1558"/>
      <c r="AK353" s="1558"/>
      <c r="AL353" s="1"/>
    </row>
    <row r="354" spans="1:38">
      <c r="A354" s="1"/>
      <c r="B354" s="358"/>
      <c r="C354" s="1"/>
      <c r="D354" s="1"/>
      <c r="E354" s="1"/>
      <c r="F354" s="1558"/>
      <c r="G354" s="1558"/>
      <c r="H354" s="1558"/>
      <c r="I354" s="1558"/>
      <c r="J354" s="1558"/>
      <c r="K354" s="1558"/>
      <c r="L354" s="1558"/>
      <c r="M354" s="1558"/>
      <c r="N354" s="1558"/>
      <c r="O354" s="1558"/>
      <c r="P354" s="1558"/>
      <c r="Q354" s="1558"/>
      <c r="R354" s="1558"/>
      <c r="S354" s="1558"/>
      <c r="T354" s="1558"/>
      <c r="U354" s="1558"/>
      <c r="V354" s="1558"/>
      <c r="W354" s="1558"/>
      <c r="X354" s="1558"/>
      <c r="Y354" s="1558"/>
      <c r="Z354" s="1558"/>
      <c r="AA354" s="1558"/>
      <c r="AB354" s="1558"/>
      <c r="AC354" s="1558"/>
      <c r="AD354" s="1558"/>
      <c r="AE354" s="1558"/>
      <c r="AF354" s="1558"/>
      <c r="AG354" s="1558"/>
      <c r="AH354" s="1558"/>
      <c r="AI354" s="1558"/>
      <c r="AJ354" s="1558"/>
      <c r="AK354" s="1558"/>
      <c r="AL354" s="1"/>
    </row>
    <row r="355" spans="1:38">
      <c r="A355" s="1"/>
      <c r="B355" s="358"/>
      <c r="C355" s="1"/>
      <c r="D355" s="1"/>
      <c r="E355" s="1"/>
      <c r="F355" s="1558"/>
      <c r="G355" s="1558"/>
      <c r="H355" s="1558"/>
      <c r="I355" s="1558"/>
      <c r="J355" s="1558"/>
      <c r="K355" s="1558"/>
      <c r="L355" s="1558"/>
      <c r="M355" s="1558"/>
      <c r="N355" s="1558"/>
      <c r="O355" s="1558"/>
      <c r="P355" s="1558"/>
      <c r="Q355" s="1558"/>
      <c r="R355" s="1558"/>
      <c r="S355" s="1558"/>
      <c r="T355" s="1558"/>
      <c r="U355" s="1558"/>
      <c r="V355" s="1558"/>
      <c r="W355" s="1558"/>
      <c r="X355" s="1558"/>
      <c r="Y355" s="1558"/>
      <c r="Z355" s="1558"/>
      <c r="AA355" s="1558"/>
      <c r="AB355" s="1558"/>
      <c r="AC355" s="1558"/>
      <c r="AD355" s="1558"/>
      <c r="AE355" s="1558"/>
      <c r="AF355" s="1558"/>
      <c r="AG355" s="1558"/>
      <c r="AH355" s="1558"/>
      <c r="AI355" s="1558"/>
      <c r="AJ355" s="1558"/>
      <c r="AK355" s="1558"/>
      <c r="AL355" s="1"/>
    </row>
    <row r="356" spans="1:38">
      <c r="A356" s="12"/>
      <c r="B356" s="1060" t="s">
        <v>497</v>
      </c>
      <c r="C356" s="1060" t="s">
        <v>172</v>
      </c>
      <c r="D356" s="12"/>
      <c r="E356" s="106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7" customFormat="1">
      <c r="A365" s="1"/>
      <c r="B365" s="358"/>
      <c r="C365" s="1"/>
      <c r="D365" s="1"/>
      <c r="E365" s="1557" t="s">
        <v>2053</v>
      </c>
    </row>
    <row r="366" spans="1:38" s="1557" customFormat="1">
      <c r="A366" s="1"/>
      <c r="B366" s="358"/>
      <c r="C366" s="1"/>
      <c r="D366" s="1"/>
    </row>
    <row r="367" spans="1:38">
      <c r="A367" s="1"/>
      <c r="B367" s="358"/>
      <c r="C367" s="1"/>
      <c r="D367" s="1"/>
      <c r="E367" s="1"/>
      <c r="F367" s="1555" t="s">
        <v>2054</v>
      </c>
      <c r="G367" s="1556"/>
      <c r="H367" s="1556"/>
      <c r="I367" s="1556"/>
      <c r="J367" s="1556"/>
      <c r="K367" s="1556"/>
      <c r="L367" s="1556"/>
      <c r="M367" s="1556"/>
      <c r="N367" s="1556"/>
      <c r="O367" s="1556"/>
      <c r="P367" s="1556"/>
      <c r="Q367" s="1556"/>
      <c r="R367" s="1556"/>
      <c r="S367" s="1556"/>
      <c r="T367" s="1556"/>
      <c r="U367" s="1556"/>
      <c r="V367" s="1556"/>
      <c r="W367" s="1556"/>
      <c r="X367" s="1556"/>
      <c r="Y367" s="1556"/>
      <c r="Z367" s="1556"/>
      <c r="AA367" s="1556"/>
      <c r="AB367" s="1556"/>
      <c r="AC367" s="1556"/>
      <c r="AD367" s="1556"/>
      <c r="AE367" s="1556"/>
      <c r="AF367" s="1556"/>
      <c r="AG367" s="1556"/>
      <c r="AH367" s="1556"/>
      <c r="AI367" s="1556"/>
      <c r="AJ367" s="1556"/>
      <c r="AK367" s="1556"/>
      <c r="AL367" s="1556"/>
    </row>
    <row r="368" spans="1:38">
      <c r="A368" s="1"/>
      <c r="B368" s="358"/>
      <c r="C368" s="1"/>
      <c r="D368" s="1"/>
      <c r="E368" s="1"/>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c r="AI368" s="1556"/>
      <c r="AJ368" s="1556"/>
      <c r="AK368" s="1556"/>
      <c r="AL368" s="155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3" t="s">
        <v>1793</v>
      </c>
      <c r="G376" s="288"/>
      <c r="H376" s="272"/>
      <c r="I376" s="106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7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7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3" t="s">
        <v>1793</v>
      </c>
      <c r="G387" s="283"/>
      <c r="H387" s="1"/>
      <c r="I387" s="106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7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7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58"/>
      <c r="G392" s="1058"/>
      <c r="H392" s="1058"/>
      <c r="I392" s="1058"/>
      <c r="J392" s="1058"/>
      <c r="K392" s="1058"/>
      <c r="L392" s="1058"/>
      <c r="M392" s="1058"/>
      <c r="N392" s="1058"/>
      <c r="O392" s="1058"/>
      <c r="P392" s="1058"/>
      <c r="Q392" s="1058"/>
      <c r="R392" s="1058"/>
      <c r="S392" s="1058"/>
      <c r="T392" s="1058"/>
      <c r="U392" s="1058"/>
      <c r="V392" s="1058"/>
      <c r="W392" s="1058"/>
      <c r="X392" s="1058"/>
      <c r="Y392" s="1058"/>
      <c r="Z392" s="1058"/>
      <c r="AA392" s="1058"/>
      <c r="AB392" s="1058"/>
      <c r="AC392" s="1058"/>
      <c r="AD392" s="1058"/>
      <c r="AE392" s="1058"/>
      <c r="AF392" s="1058"/>
      <c r="AG392" s="1058"/>
      <c r="AH392" s="1058"/>
      <c r="AI392" s="1058"/>
      <c r="AJ392" s="1058"/>
      <c r="AK392" s="1058"/>
      <c r="AL392" s="272"/>
    </row>
    <row r="393" spans="1:38">
      <c r="A393" s="12"/>
      <c r="B393" s="1060" t="s">
        <v>823</v>
      </c>
      <c r="C393" s="1060"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59" t="s">
        <v>160</v>
      </c>
      <c r="C408" s="1060"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1"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497" customWidth="1"/>
    <col min="6" max="6" width="2.5703125" style="1501" customWidth="1"/>
    <col min="7" max="7" width="2.5703125" style="1497" customWidth="1"/>
    <col min="8" max="8" width="2.5703125" style="1501" customWidth="1"/>
    <col min="9" max="10" width="2.5703125" style="1497" customWidth="1"/>
    <col min="11" max="11" width="2.5703125" style="1498" customWidth="1"/>
    <col min="12" max="43" width="2.5703125" style="1497" customWidth="1"/>
    <col min="44" max="47" width="2.5703125" style="1497" hidden="1" customWidth="1"/>
    <col min="48" max="16384" width="9.140625" style="1497" hidden="1"/>
  </cols>
  <sheetData>
    <row r="1" spans="1:57" ht="15" customHeight="1">
      <c r="A1" s="2653" t="s">
        <v>2341</v>
      </c>
      <c r="B1" s="2653"/>
      <c r="C1" s="2653"/>
      <c r="D1" s="2653"/>
      <c r="E1" s="2653"/>
      <c r="F1" s="2653"/>
      <c r="G1" s="2653"/>
      <c r="H1" s="2653"/>
      <c r="I1" s="2653"/>
      <c r="J1" s="2653"/>
      <c r="K1" s="2653"/>
      <c r="L1" s="2653"/>
      <c r="M1" s="2653"/>
      <c r="N1" s="2653"/>
      <c r="O1" s="2653"/>
      <c r="P1" s="2653"/>
      <c r="Q1" s="2653"/>
      <c r="R1" s="2653"/>
      <c r="S1" s="2653"/>
      <c r="T1" s="2653"/>
      <c r="U1" s="2653"/>
      <c r="V1" s="2653"/>
      <c r="W1" s="2653"/>
      <c r="X1" s="2653"/>
      <c r="Y1" s="2653"/>
      <c r="Z1" s="2653"/>
      <c r="AA1" s="2653"/>
      <c r="AB1" s="2653"/>
      <c r="AC1" s="2653"/>
      <c r="AD1" s="2653"/>
      <c r="AE1" s="2653"/>
      <c r="AF1" s="2653"/>
      <c r="AG1" s="2653"/>
      <c r="AH1" s="2653"/>
      <c r="AI1" s="2653"/>
      <c r="AJ1" s="2653"/>
      <c r="AK1" s="2653"/>
      <c r="AL1" s="2653"/>
      <c r="AM1" s="2653"/>
      <c r="AN1" s="2653"/>
      <c r="AO1" s="2653"/>
      <c r="AP1" s="2653"/>
      <c r="AQ1" s="2653"/>
    </row>
    <row r="2" spans="1:57" ht="15" customHeight="1">
      <c r="A2" s="2653"/>
      <c r="B2" s="2653"/>
      <c r="C2" s="2653"/>
      <c r="D2" s="2653"/>
      <c r="E2" s="2653"/>
      <c r="F2" s="2653"/>
      <c r="G2" s="2653"/>
      <c r="H2" s="2653"/>
      <c r="I2" s="2653"/>
      <c r="J2" s="2653"/>
      <c r="K2" s="2653"/>
      <c r="L2" s="2653"/>
      <c r="M2" s="2653"/>
      <c r="N2" s="2653"/>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53"/>
      <c r="AO2" s="2653"/>
      <c r="AP2" s="2653"/>
      <c r="AQ2" s="2653"/>
    </row>
    <row r="3" spans="1:57">
      <c r="A3" s="1499"/>
      <c r="B3" s="1499"/>
      <c r="E3" s="1500"/>
      <c r="I3" s="1502"/>
      <c r="K3" s="1503"/>
    </row>
    <row r="4" spans="1:57" ht="14.25" customHeight="1">
      <c r="A4" s="2652" t="s">
        <v>2342</v>
      </c>
      <c r="B4" s="2652"/>
      <c r="C4" s="2652"/>
      <c r="D4" s="2652"/>
      <c r="E4" s="2652"/>
      <c r="F4" s="2652"/>
      <c r="G4" s="2652"/>
      <c r="H4" s="2652"/>
      <c r="I4" s="2652"/>
      <c r="J4" s="2652"/>
      <c r="K4" s="2652"/>
      <c r="L4" s="2652"/>
      <c r="M4" s="2652"/>
      <c r="N4" s="2652"/>
      <c r="O4" s="2652"/>
      <c r="P4" s="2652"/>
      <c r="Q4" s="2652"/>
      <c r="R4" s="2652"/>
      <c r="S4" s="2652"/>
      <c r="T4" s="2652"/>
      <c r="U4" s="2652"/>
      <c r="V4" s="2652"/>
      <c r="W4" s="2652"/>
      <c r="X4" s="2652"/>
      <c r="Y4" s="2652"/>
      <c r="Z4" s="2652"/>
      <c r="AA4" s="2652"/>
      <c r="AB4" s="2652"/>
      <c r="AC4" s="2652"/>
      <c r="AD4" s="2652"/>
      <c r="AE4" s="2652"/>
      <c r="AF4" s="2652"/>
      <c r="AG4" s="2652"/>
      <c r="AH4" s="2652"/>
      <c r="AI4" s="2652"/>
      <c r="AJ4" s="2652"/>
      <c r="AK4" s="2652"/>
      <c r="AL4" s="2652"/>
      <c r="AM4" s="2652"/>
      <c r="AN4" s="2652"/>
      <c r="AO4" s="2652"/>
      <c r="AP4" s="2652"/>
      <c r="AQ4" s="2652"/>
    </row>
    <row r="5" spans="1:57">
      <c r="A5" s="1499"/>
      <c r="B5" s="1499"/>
      <c r="E5" s="1500"/>
      <c r="I5" s="1502"/>
      <c r="K5" s="1503"/>
    </row>
    <row r="6" spans="1:57">
      <c r="A6" s="1499"/>
      <c r="B6" s="1499"/>
      <c r="D6" s="1497" t="s">
        <v>2345</v>
      </c>
      <c r="I6" s="1502"/>
      <c r="K6" s="1503"/>
      <c r="U6" s="2651"/>
      <c r="V6" s="2651"/>
      <c r="W6" s="2651"/>
      <c r="BC6" s="1497" t="s">
        <v>2343</v>
      </c>
    </row>
    <row r="7" spans="1:57">
      <c r="A7" s="1499"/>
      <c r="B7" s="1499"/>
      <c r="D7" s="1504" t="s">
        <v>2346</v>
      </c>
      <c r="E7" s="1500"/>
      <c r="I7" s="1502"/>
      <c r="K7" s="1503"/>
      <c r="BC7" s="1497" t="s">
        <v>2344</v>
      </c>
    </row>
    <row r="8" spans="1:57">
      <c r="A8" s="1499"/>
      <c r="B8" s="1499"/>
      <c r="D8" s="1504"/>
      <c r="E8" s="1497" t="s">
        <v>2363</v>
      </c>
      <c r="BC8" s="1497" t="s">
        <v>2347</v>
      </c>
    </row>
    <row r="9" spans="1:57">
      <c r="A9" s="1499"/>
      <c r="B9" s="1499"/>
      <c r="E9" s="1500" t="s">
        <v>2362</v>
      </c>
      <c r="I9" s="1502"/>
      <c r="K9" s="1503"/>
      <c r="P9" s="2659"/>
      <c r="Q9" s="2659"/>
      <c r="R9" s="2659"/>
      <c r="S9" s="2659"/>
      <c r="T9" s="2659"/>
    </row>
    <row r="10" spans="1:57">
      <c r="A10" s="1499"/>
      <c r="B10" s="1499"/>
      <c r="E10" s="1500"/>
      <c r="I10" s="1502"/>
      <c r="K10" s="1503"/>
    </row>
    <row r="11" spans="1:57">
      <c r="A11" s="2652" t="s">
        <v>2348</v>
      </c>
      <c r="B11" s="2652"/>
      <c r="C11" s="2652"/>
      <c r="D11" s="2652"/>
      <c r="E11" s="2652"/>
      <c r="F11" s="2652"/>
      <c r="G11" s="2652"/>
      <c r="H11" s="2652"/>
      <c r="I11" s="2652"/>
      <c r="J11" s="2652"/>
      <c r="K11" s="2652"/>
      <c r="L11" s="2652"/>
      <c r="M11" s="2652"/>
      <c r="N11" s="2652"/>
      <c r="O11" s="2652"/>
      <c r="P11" s="2652"/>
      <c r="Q11" s="2652"/>
      <c r="R11" s="2652"/>
      <c r="S11" s="2652"/>
      <c r="T11" s="2652"/>
      <c r="U11" s="2652"/>
      <c r="V11" s="2652"/>
      <c r="W11" s="2652"/>
      <c r="X11" s="2652"/>
      <c r="Y11" s="2652"/>
      <c r="Z11" s="2652"/>
      <c r="AA11" s="2652"/>
      <c r="AB11" s="2652"/>
      <c r="AC11" s="2652"/>
      <c r="AD11" s="2652"/>
      <c r="AE11" s="2652"/>
      <c r="AF11" s="2652"/>
      <c r="AG11" s="2652"/>
      <c r="AH11" s="2652"/>
      <c r="AI11" s="2652"/>
      <c r="AJ11" s="2652"/>
      <c r="AK11" s="2652"/>
      <c r="AL11" s="2652"/>
      <c r="AM11" s="2652"/>
      <c r="AN11" s="2652"/>
      <c r="AO11" s="2652"/>
      <c r="AP11" s="2652"/>
      <c r="AQ11" s="2652"/>
      <c r="BC11" s="1497" t="s">
        <v>119</v>
      </c>
    </row>
    <row r="12" spans="1:57">
      <c r="A12" s="1499"/>
      <c r="B12" s="1499"/>
      <c r="E12" s="1500"/>
      <c r="I12" s="1502"/>
      <c r="K12" s="1503"/>
      <c r="BC12" s="1497" t="s">
        <v>531</v>
      </c>
    </row>
    <row r="13" spans="1:57">
      <c r="A13" s="1499"/>
      <c r="B13" s="1499"/>
      <c r="D13" s="1497" t="s">
        <v>2349</v>
      </c>
      <c r="E13" s="1500"/>
      <c r="I13" s="1502"/>
      <c r="K13" s="1503"/>
      <c r="T13" s="2651"/>
      <c r="U13" s="2651"/>
      <c r="V13" s="2651"/>
    </row>
    <row r="14" spans="1:57">
      <c r="A14" s="1499"/>
      <c r="B14" s="1499"/>
      <c r="E14" s="1500" t="s">
        <v>2356</v>
      </c>
      <c r="I14" s="1502"/>
      <c r="K14" s="1503"/>
      <c r="N14" s="2657"/>
      <c r="O14" s="2657"/>
      <c r="P14" s="2657"/>
      <c r="Q14" s="2657"/>
      <c r="R14" s="2657"/>
      <c r="S14" s="2657"/>
      <c r="T14" s="2657"/>
      <c r="U14" s="2657"/>
      <c r="V14" s="2657"/>
      <c r="W14" s="2657"/>
      <c r="X14" s="2657"/>
      <c r="Y14" s="2657"/>
      <c r="Z14" s="2657"/>
      <c r="AA14" s="2657"/>
      <c r="AB14" s="2657"/>
      <c r="AC14" s="2657"/>
      <c r="AD14" s="2657"/>
      <c r="AE14" s="2657"/>
    </row>
    <row r="15" spans="1:57">
      <c r="A15" s="1499"/>
      <c r="B15" s="1499"/>
      <c r="E15" s="1500" t="s">
        <v>2350</v>
      </c>
      <c r="I15" s="1502"/>
      <c r="K15" s="1503"/>
      <c r="N15" s="1528"/>
      <c r="O15" s="1528"/>
      <c r="P15" s="1528"/>
      <c r="Q15" s="1528"/>
      <c r="R15" s="1528"/>
      <c r="S15" s="1528"/>
      <c r="T15" s="1528"/>
      <c r="U15" s="1528"/>
      <c r="V15" s="1528"/>
      <c r="W15" s="1528"/>
      <c r="X15" s="1528"/>
      <c r="Y15" s="1528"/>
      <c r="Z15" s="1528"/>
      <c r="AA15" s="1528"/>
      <c r="AB15" s="1528"/>
      <c r="AC15" s="1528"/>
      <c r="AD15" s="1528"/>
      <c r="AE15" s="1528"/>
      <c r="BC15" s="1497" t="s">
        <v>2364</v>
      </c>
      <c r="BE15" s="1497">
        <f>'Basis &amp; Credits'!AB55</f>
        <v>2318741</v>
      </c>
    </row>
    <row r="16" spans="1:57">
      <c r="A16" s="1499"/>
      <c r="B16" s="1499"/>
      <c r="BC16" s="1497" t="s">
        <v>2365</v>
      </c>
      <c r="BE16" s="1497">
        <f>'Basis &amp; Credits'!T11+'Basis &amp; Credits'!AD11</f>
        <v>47778788</v>
      </c>
    </row>
    <row r="17" spans="1:43">
      <c r="A17" s="1499"/>
      <c r="B17" s="1499"/>
      <c r="D17" s="1497" t="s">
        <v>2351</v>
      </c>
      <c r="E17" s="1500"/>
      <c r="I17" s="1502"/>
      <c r="K17" s="1503"/>
      <c r="U17" s="2658" t="str">
        <f>IF(T13="yes",(BE15/BE16)," ")</f>
        <v xml:space="preserve"> </v>
      </c>
      <c r="V17" s="2658"/>
      <c r="W17" s="2658"/>
      <c r="X17" s="2658"/>
      <c r="Y17" s="2658"/>
    </row>
    <row r="18" spans="1:43">
      <c r="A18" s="1499"/>
      <c r="B18" s="1499"/>
      <c r="E18" s="1500"/>
      <c r="I18" s="1502"/>
      <c r="K18" s="1503"/>
    </row>
    <row r="19" spans="1:43">
      <c r="A19" s="2652" t="s">
        <v>2353</v>
      </c>
      <c r="B19" s="2652"/>
      <c r="C19" s="2652"/>
      <c r="D19" s="2652"/>
      <c r="E19" s="2652"/>
      <c r="F19" s="2652"/>
      <c r="G19" s="2652"/>
      <c r="H19" s="2652"/>
      <c r="I19" s="2652"/>
      <c r="J19" s="2652"/>
      <c r="K19" s="2652"/>
      <c r="L19" s="2652"/>
      <c r="M19" s="2652"/>
      <c r="N19" s="2652"/>
      <c r="O19" s="2652"/>
      <c r="P19" s="2652"/>
      <c r="Q19" s="2652"/>
      <c r="R19" s="2652"/>
      <c r="S19" s="2652"/>
      <c r="T19" s="2652"/>
      <c r="U19" s="2652"/>
      <c r="V19" s="2652"/>
      <c r="W19" s="2652"/>
      <c r="X19" s="2652"/>
      <c r="Y19" s="2652"/>
      <c r="Z19" s="2652"/>
      <c r="AA19" s="2652"/>
      <c r="AB19" s="2652"/>
      <c r="AC19" s="2652"/>
      <c r="AD19" s="2652"/>
      <c r="AE19" s="2652"/>
      <c r="AF19" s="2652"/>
      <c r="AG19" s="2652"/>
      <c r="AH19" s="2652"/>
      <c r="AI19" s="2652"/>
      <c r="AJ19" s="2652"/>
      <c r="AK19" s="2652"/>
      <c r="AL19" s="2652"/>
      <c r="AM19" s="2652"/>
      <c r="AN19" s="2652"/>
      <c r="AO19" s="2652"/>
      <c r="AP19" s="2652"/>
      <c r="AQ19" s="2652"/>
    </row>
    <row r="20" spans="1:43">
      <c r="C20" s="1499"/>
      <c r="D20" s="1499"/>
      <c r="F20" s="1497"/>
      <c r="G20" s="1500"/>
      <c r="J20" s="1501"/>
      <c r="K20" s="1502"/>
      <c r="M20" s="1503"/>
    </row>
    <row r="21" spans="1:43">
      <c r="C21" s="1499"/>
      <c r="D21" s="1499"/>
      <c r="F21" s="1497"/>
      <c r="G21" s="1500"/>
      <c r="J21" s="1501"/>
      <c r="K21" s="1502"/>
      <c r="M21" s="1503"/>
    </row>
    <row r="22" spans="1:43">
      <c r="C22" s="1505" t="s">
        <v>795</v>
      </c>
      <c r="D22" s="1505"/>
      <c r="E22" s="1497" t="s">
        <v>2354</v>
      </c>
      <c r="F22" s="1497"/>
      <c r="H22" s="1506"/>
      <c r="J22" s="1501"/>
      <c r="K22" s="1497"/>
      <c r="M22" s="1507"/>
      <c r="Q22" s="2660">
        <f>ROUND('Basis &amp; Credits'!AB55,0)</f>
        <v>2318741</v>
      </c>
      <c r="R22" s="2660"/>
      <c r="S22" s="2660"/>
      <c r="T22" s="2660"/>
      <c r="U22" s="2660"/>
      <c r="V22" s="2660"/>
      <c r="W22" s="2660"/>
      <c r="X22" s="2660"/>
      <c r="Y22" s="1527"/>
    </row>
    <row r="23" spans="1:43">
      <c r="C23" s="1499"/>
      <c r="D23" s="1499"/>
      <c r="F23" s="1497"/>
      <c r="G23" s="1508"/>
      <c r="H23" s="1509"/>
      <c r="I23" s="1510"/>
      <c r="J23" s="1511"/>
      <c r="K23" s="1508"/>
      <c r="M23" s="1498"/>
    </row>
    <row r="24" spans="1:43" s="1514" customFormat="1">
      <c r="C24" s="1512"/>
      <c r="D24" s="1512"/>
      <c r="E24" s="1513"/>
      <c r="J24" s="1511"/>
      <c r="L24" s="2663" t="s">
        <v>2331</v>
      </c>
      <c r="M24" s="2663"/>
      <c r="N24" s="2663"/>
      <c r="P24" s="2648" t="s">
        <v>2332</v>
      </c>
      <c r="Q24" s="2648"/>
      <c r="R24" s="2648"/>
      <c r="S24" s="2648"/>
      <c r="T24" s="2648"/>
      <c r="V24" s="2648" t="s">
        <v>2333</v>
      </c>
      <c r="W24" s="2648"/>
      <c r="X24" s="2648"/>
      <c r="AC24" s="1497"/>
      <c r="AD24" s="1497"/>
      <c r="AE24" s="1497"/>
      <c r="AF24" s="1497"/>
      <c r="AG24" s="1497"/>
      <c r="AH24" s="1497"/>
    </row>
    <row r="25" spans="1:43">
      <c r="C25" s="1505" t="s">
        <v>207</v>
      </c>
      <c r="D25" s="1505"/>
      <c r="E25" s="1497" t="s">
        <v>1090</v>
      </c>
      <c r="F25" s="1497"/>
      <c r="J25" s="1511"/>
      <c r="L25" s="2649" t="s">
        <v>2334</v>
      </c>
      <c r="M25" s="2649"/>
      <c r="N25" s="2649"/>
      <c r="P25" s="2649" t="s">
        <v>2335</v>
      </c>
      <c r="Q25" s="2649"/>
      <c r="R25" s="2649"/>
      <c r="S25" s="2649"/>
      <c r="T25" s="2649"/>
      <c r="V25" s="2649" t="s">
        <v>2334</v>
      </c>
      <c r="W25" s="2649"/>
      <c r="X25" s="2649"/>
    </row>
    <row r="26" spans="1:43">
      <c r="C26" s="1499"/>
      <c r="D26" s="1499"/>
      <c r="E26" s="1515" t="s">
        <v>2336</v>
      </c>
      <c r="F26" s="1515"/>
      <c r="J26" s="1516"/>
      <c r="L26" s="2664">
        <f>Application!BN627</f>
        <v>0</v>
      </c>
      <c r="M26" s="2664"/>
      <c r="N26" s="2664"/>
      <c r="P26" s="2650">
        <v>0.9</v>
      </c>
      <c r="Q26" s="2650"/>
      <c r="R26" s="2650"/>
      <c r="S26" s="2650"/>
      <c r="T26" s="2650"/>
      <c r="V26" s="2650">
        <f>L26*P26</f>
        <v>0</v>
      </c>
      <c r="W26" s="2650"/>
      <c r="X26" s="2650"/>
    </row>
    <row r="27" spans="1:43">
      <c r="C27" s="1499"/>
      <c r="D27" s="1499"/>
      <c r="E27" s="1514" t="s">
        <v>2337</v>
      </c>
      <c r="F27" s="1514"/>
      <c r="J27" s="1516"/>
      <c r="L27" s="2640">
        <f>Application!BS627</f>
        <v>80</v>
      </c>
      <c r="M27" s="2640">
        <f>Application!BS635+Application!BS644+Application!CX658</f>
        <v>0</v>
      </c>
      <c r="N27" s="2640"/>
      <c r="P27" s="2645">
        <v>1</v>
      </c>
      <c r="Q27" s="2645"/>
      <c r="R27" s="2645"/>
      <c r="S27" s="2645"/>
      <c r="T27" s="2645"/>
      <c r="V27" s="2646">
        <f t="shared" ref="V27:V29" si="0">L27*P27</f>
        <v>80</v>
      </c>
      <c r="W27" s="2646"/>
      <c r="X27" s="2646"/>
    </row>
    <row r="28" spans="1:43">
      <c r="C28" s="1499"/>
      <c r="D28" s="1499"/>
      <c r="E28" s="1514" t="s">
        <v>2338</v>
      </c>
      <c r="F28" s="1514"/>
      <c r="J28" s="1516"/>
      <c r="L28" s="2640">
        <f>Application!BX627</f>
        <v>20</v>
      </c>
      <c r="M28" s="2640">
        <f>Application!BX635+Application!BX644+Application!DC658</f>
        <v>0</v>
      </c>
      <c r="N28" s="2640"/>
      <c r="P28" s="2645">
        <v>1.25</v>
      </c>
      <c r="Q28" s="2645"/>
      <c r="R28" s="2645"/>
      <c r="S28" s="2645"/>
      <c r="T28" s="2645"/>
      <c r="V28" s="2646">
        <f t="shared" si="0"/>
        <v>25</v>
      </c>
      <c r="W28" s="2646"/>
      <c r="X28" s="2646"/>
    </row>
    <row r="29" spans="1:43">
      <c r="C29" s="1499"/>
      <c r="D29" s="1499"/>
      <c r="E29" s="1514" t="s">
        <v>2339</v>
      </c>
      <c r="F29" s="1514"/>
      <c r="J29" s="1516"/>
      <c r="L29" s="2640">
        <f>Application!CC627</f>
        <v>0</v>
      </c>
      <c r="M29" s="2640">
        <f>Application!CC635+Application!CC644+Application!DH658</f>
        <v>0</v>
      </c>
      <c r="N29" s="2640"/>
      <c r="P29" s="2645">
        <v>1.5</v>
      </c>
      <c r="Q29" s="2645"/>
      <c r="R29" s="2645"/>
      <c r="S29" s="2645"/>
      <c r="T29" s="2645"/>
      <c r="V29" s="2646">
        <f t="shared" si="0"/>
        <v>0</v>
      </c>
      <c r="W29" s="2646"/>
      <c r="X29" s="2646"/>
    </row>
    <row r="30" spans="1:43">
      <c r="C30" s="1499"/>
      <c r="D30" s="1499"/>
      <c r="E30" s="1514" t="s">
        <v>2340</v>
      </c>
      <c r="F30" s="1514"/>
      <c r="J30" s="1516"/>
      <c r="L30" s="2641">
        <f>Application!CH627+Application!CM627</f>
        <v>0</v>
      </c>
      <c r="M30" s="2641"/>
      <c r="N30" s="2641"/>
      <c r="P30" s="2645">
        <v>1.75</v>
      </c>
      <c r="Q30" s="2645"/>
      <c r="R30" s="2645">
        <f>1.75+0.25*0</f>
        <v>1.75</v>
      </c>
      <c r="S30" s="2645"/>
      <c r="T30" s="2645"/>
      <c r="V30" s="2647">
        <f>L30*P30</f>
        <v>0</v>
      </c>
      <c r="W30" s="2647"/>
      <c r="X30" s="2647"/>
    </row>
    <row r="31" spans="1:43">
      <c r="C31" s="1499"/>
      <c r="D31" s="1499"/>
      <c r="F31" s="1497"/>
      <c r="J31" s="1501"/>
      <c r="L31" s="2661">
        <f>SUM(L26:N30)</f>
        <v>100</v>
      </c>
      <c r="M31" s="2662"/>
      <c r="N31" s="2662"/>
      <c r="V31" s="2650">
        <f>SUM(V26:X30)</f>
        <v>105</v>
      </c>
      <c r="W31" s="2650"/>
      <c r="X31" s="2650"/>
      <c r="AA31" s="1500"/>
    </row>
    <row r="32" spans="1:43">
      <c r="C32" s="1499"/>
      <c r="D32" s="1499"/>
      <c r="F32" s="1497"/>
      <c r="G32" s="1500"/>
      <c r="J32" s="1501"/>
      <c r="K32" s="1517"/>
      <c r="N32" s="1501"/>
    </row>
    <row r="33" spans="1:27">
      <c r="C33" s="1505" t="s">
        <v>208</v>
      </c>
      <c r="D33" s="1505"/>
      <c r="E33" s="1518" t="s">
        <v>2355</v>
      </c>
      <c r="H33" s="1519"/>
      <c r="I33" s="1520"/>
      <c r="J33" s="1521"/>
      <c r="K33" s="1517"/>
      <c r="M33" s="1498"/>
      <c r="V33" s="2642">
        <f>IF(V31&gt;0,V31/Q22," ")</f>
        <v>4.52831946301894E-5</v>
      </c>
      <c r="W33" s="2643"/>
      <c r="X33" s="2643"/>
      <c r="Y33" s="2643"/>
      <c r="Z33" s="2643"/>
      <c r="AA33" s="2644"/>
    </row>
    <row r="34" spans="1:27">
      <c r="F34" s="1497"/>
      <c r="J34" s="1501"/>
      <c r="K34" s="1497"/>
      <c r="M34" s="1498"/>
    </row>
    <row r="35" spans="1:27">
      <c r="E35" s="1499" t="s">
        <v>2366</v>
      </c>
      <c r="F35" s="1499"/>
      <c r="G35" s="1499"/>
      <c r="H35" s="1518"/>
      <c r="I35" s="1499"/>
      <c r="J35" s="1518"/>
      <c r="K35" s="1499"/>
      <c r="L35" s="1499"/>
      <c r="M35" s="1529"/>
      <c r="N35" s="1499"/>
      <c r="O35" s="1499"/>
      <c r="P35" s="1499"/>
      <c r="Q35" s="1499"/>
      <c r="R35" s="1499"/>
      <c r="V35" s="2654">
        <f>IF(V31&gt;0,1/V33," ")</f>
        <v>22083.247619047619</v>
      </c>
      <c r="W35" s="2655"/>
      <c r="X35" s="2655"/>
      <c r="Y35" s="2655"/>
      <c r="Z35" s="2655"/>
      <c r="AA35" s="2656"/>
    </row>
    <row r="36" spans="1:27" ht="12.75" customHeight="1">
      <c r="B36" s="1522"/>
      <c r="C36" s="1522"/>
      <c r="D36" s="1522"/>
      <c r="E36" s="1522"/>
      <c r="F36" s="1522"/>
      <c r="G36" s="1522"/>
      <c r="H36" s="1522"/>
      <c r="I36" s="1522"/>
    </row>
    <row r="37" spans="1:27">
      <c r="A37" s="1522"/>
      <c r="B37" s="1522"/>
      <c r="C37" s="1522"/>
      <c r="D37" s="1522"/>
      <c r="E37" s="1522"/>
      <c r="F37" s="1522"/>
      <c r="G37" s="1522"/>
      <c r="H37" s="1522"/>
      <c r="I37" s="1522"/>
    </row>
    <row r="38" spans="1:27">
      <c r="A38" s="1522"/>
      <c r="B38" s="1522"/>
      <c r="C38" s="1522"/>
      <c r="D38" s="1522"/>
      <c r="E38" s="1522"/>
      <c r="F38" s="1522"/>
      <c r="G38" s="1522"/>
      <c r="H38" s="1522"/>
      <c r="I38" s="1522"/>
    </row>
    <row r="39" spans="1:27">
      <c r="A39" s="1522"/>
      <c r="B39" s="1522"/>
      <c r="C39" s="1522"/>
      <c r="D39" s="1522"/>
      <c r="E39" s="1522"/>
      <c r="F39" s="1522"/>
      <c r="G39" s="1522"/>
      <c r="H39" s="1522"/>
      <c r="I39" s="152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70" zoomScale="85" zoomScaleNormal="100" zoomScaleSheetLayoutView="85" workbookViewId="0">
      <selection activeCell="R106" sqref="R106"/>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701" t="s">
        <v>2122</v>
      </c>
      <c r="B1" s="2701"/>
      <c r="C1" s="2701"/>
      <c r="D1" s="2701"/>
      <c r="E1" s="2701"/>
      <c r="F1" s="2701"/>
      <c r="G1" s="2701"/>
      <c r="H1" s="2701"/>
      <c r="I1" s="2701"/>
      <c r="J1" s="2701"/>
      <c r="K1" s="2701"/>
      <c r="L1" s="2701"/>
      <c r="M1" s="2701"/>
      <c r="N1" s="2701"/>
      <c r="O1" s="2701"/>
      <c r="P1" s="2701"/>
      <c r="Q1" s="2701"/>
      <c r="R1" s="2701"/>
      <c r="S1" s="2701"/>
    </row>
    <row r="2" spans="1:19" ht="15" customHeight="1">
      <c r="A2" s="2701"/>
      <c r="B2" s="2701"/>
      <c r="C2" s="2701"/>
      <c r="D2" s="2701"/>
      <c r="E2" s="2701"/>
      <c r="F2" s="2701"/>
      <c r="G2" s="2701"/>
      <c r="H2" s="2701"/>
      <c r="I2" s="2701"/>
      <c r="J2" s="2701"/>
      <c r="K2" s="2701"/>
      <c r="L2" s="2701"/>
      <c r="M2" s="2701"/>
      <c r="N2" s="2701"/>
      <c r="O2" s="2701"/>
      <c r="P2" s="2701"/>
      <c r="Q2" s="2701"/>
      <c r="R2" s="2701"/>
      <c r="S2" s="270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702" t="s">
        <v>1834</v>
      </c>
      <c r="C4" s="2702"/>
      <c r="D4" s="2702"/>
      <c r="E4" s="2702"/>
      <c r="F4" s="2702"/>
      <c r="G4" s="2702"/>
      <c r="H4" s="2702"/>
      <c r="I4" s="2702"/>
      <c r="J4" s="2702"/>
      <c r="K4" s="2702"/>
      <c r="L4" s="2702"/>
      <c r="M4" s="2702"/>
      <c r="N4" s="2702"/>
      <c r="O4" s="2702"/>
      <c r="P4" s="2702"/>
      <c r="Q4" s="2702"/>
      <c r="R4" s="2702"/>
      <c r="S4" s="818"/>
    </row>
    <row r="5" spans="1:19" ht="15" customHeight="1">
      <c r="A5" s="817"/>
      <c r="B5" s="2702"/>
      <c r="C5" s="2702"/>
      <c r="D5" s="2702"/>
      <c r="E5" s="2702"/>
      <c r="F5" s="2702"/>
      <c r="G5" s="2702"/>
      <c r="H5" s="2702"/>
      <c r="I5" s="2702"/>
      <c r="J5" s="2702"/>
      <c r="K5" s="2702"/>
      <c r="L5" s="2702"/>
      <c r="M5" s="2702"/>
      <c r="N5" s="2702"/>
      <c r="O5" s="2702"/>
      <c r="P5" s="2702"/>
      <c r="Q5" s="2702"/>
      <c r="R5" s="2702"/>
      <c r="S5" s="818"/>
    </row>
    <row r="6" spans="1:19" ht="15" customHeight="1">
      <c r="A6" s="817"/>
      <c r="B6" s="2702"/>
      <c r="C6" s="2702"/>
      <c r="D6" s="2702"/>
      <c r="E6" s="2702"/>
      <c r="F6" s="2702"/>
      <c r="G6" s="2702"/>
      <c r="H6" s="2702"/>
      <c r="I6" s="2702"/>
      <c r="J6" s="2702"/>
      <c r="K6" s="2702"/>
      <c r="L6" s="2702"/>
      <c r="M6" s="2702"/>
      <c r="N6" s="2702"/>
      <c r="O6" s="2702"/>
      <c r="P6" s="2702"/>
      <c r="Q6" s="2702"/>
      <c r="R6" s="2702"/>
      <c r="S6" s="818"/>
    </row>
    <row r="7" spans="1:19" ht="15" customHeight="1">
      <c r="A7" s="817"/>
      <c r="B7" s="1039"/>
      <c r="C7" s="1039"/>
      <c r="D7" s="1039"/>
      <c r="E7" s="1039"/>
      <c r="F7" s="1039"/>
      <c r="G7" s="1039"/>
      <c r="H7" s="1039"/>
      <c r="I7" s="1039"/>
      <c r="J7" s="1039"/>
      <c r="K7" s="1039"/>
      <c r="L7" s="1039"/>
      <c r="M7" s="1039"/>
      <c r="N7" s="1039"/>
      <c r="O7" s="1039"/>
      <c r="P7" s="1039"/>
      <c r="Q7" s="1039"/>
      <c r="R7" s="1039"/>
      <c r="S7" s="818"/>
    </row>
    <row r="8" spans="1:19" ht="15" customHeight="1">
      <c r="A8" s="817"/>
      <c r="B8" s="2702" t="s">
        <v>1910</v>
      </c>
      <c r="C8" s="2702"/>
      <c r="D8" s="2702"/>
      <c r="E8" s="2702"/>
      <c r="F8" s="2702"/>
      <c r="G8" s="2702"/>
      <c r="H8" s="2702"/>
      <c r="I8" s="2702"/>
      <c r="J8" s="2702"/>
      <c r="K8" s="2702"/>
      <c r="L8" s="2702"/>
      <c r="M8" s="2702"/>
      <c r="N8" s="2702"/>
      <c r="O8" s="2702"/>
      <c r="P8" s="2702"/>
      <c r="Q8" s="2702"/>
      <c r="R8" s="270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703" t="s">
        <v>1911</v>
      </c>
      <c r="C10" s="2703"/>
      <c r="D10" s="2703"/>
      <c r="E10" s="2703"/>
      <c r="F10" s="2703"/>
      <c r="G10" s="2703"/>
      <c r="H10" s="2703"/>
      <c r="I10" s="2703"/>
      <c r="J10" s="2703"/>
      <c r="K10" s="2703"/>
      <c r="L10" s="2703"/>
      <c r="M10" s="2703"/>
      <c r="N10" s="2703"/>
      <c r="O10" s="2703"/>
      <c r="P10" s="2703"/>
      <c r="Q10" s="2703"/>
      <c r="R10" s="2703"/>
      <c r="S10" s="818"/>
    </row>
    <row r="11" spans="1:19" ht="15" customHeight="1">
      <c r="A11" s="817"/>
      <c r="B11" s="2703"/>
      <c r="C11" s="2703"/>
      <c r="D11" s="2703"/>
      <c r="E11" s="2703"/>
      <c r="F11" s="2703"/>
      <c r="G11" s="2703"/>
      <c r="H11" s="2703"/>
      <c r="I11" s="2703"/>
      <c r="J11" s="2703"/>
      <c r="K11" s="2703"/>
      <c r="L11" s="2703"/>
      <c r="M11" s="2703"/>
      <c r="N11" s="2703"/>
      <c r="O11" s="2703"/>
      <c r="P11" s="2703"/>
      <c r="Q11" s="2703"/>
      <c r="R11" s="2703"/>
      <c r="S11" s="818"/>
    </row>
    <row r="12" spans="1:19" ht="15" customHeight="1">
      <c r="A12" s="817"/>
      <c r="B12" s="1048"/>
      <c r="C12" s="1048"/>
      <c r="D12" s="1048"/>
      <c r="E12" s="1048"/>
      <c r="F12" s="1048"/>
      <c r="G12" s="1048"/>
      <c r="H12" s="1048"/>
      <c r="I12" s="1048"/>
      <c r="J12" s="1048"/>
      <c r="K12" s="1048"/>
      <c r="L12" s="1048"/>
      <c r="M12" s="1048"/>
      <c r="N12" s="1048"/>
      <c r="O12" s="1048"/>
      <c r="P12" s="1048"/>
      <c r="Q12" s="1048"/>
      <c r="R12" s="1048"/>
      <c r="S12" s="818"/>
    </row>
    <row r="13" spans="1:19" ht="15" customHeight="1">
      <c r="A13" s="817"/>
      <c r="B13" s="2703" t="s">
        <v>2223</v>
      </c>
      <c r="C13" s="2703"/>
      <c r="D13" s="2703"/>
      <c r="E13" s="2703"/>
      <c r="F13" s="2703"/>
      <c r="G13" s="2703"/>
      <c r="H13" s="2703"/>
      <c r="I13" s="2703"/>
      <c r="J13" s="2703"/>
      <c r="K13" s="2703"/>
      <c r="L13" s="2703"/>
      <c r="M13" s="2703"/>
      <c r="N13" s="2703"/>
      <c r="O13" s="2703"/>
      <c r="P13" s="2703"/>
      <c r="Q13" s="2703"/>
      <c r="R13" s="2703"/>
      <c r="S13" s="818"/>
    </row>
    <row r="14" spans="1:19" ht="15" customHeight="1">
      <c r="A14" s="817"/>
      <c r="B14" s="2703"/>
      <c r="C14" s="2703"/>
      <c r="D14" s="2703"/>
      <c r="E14" s="2703"/>
      <c r="F14" s="2703"/>
      <c r="G14" s="2703"/>
      <c r="H14" s="2703"/>
      <c r="I14" s="2703"/>
      <c r="J14" s="2703"/>
      <c r="K14" s="2703"/>
      <c r="L14" s="2703"/>
      <c r="M14" s="2703"/>
      <c r="N14" s="2703"/>
      <c r="O14" s="2703"/>
      <c r="P14" s="2703"/>
      <c r="Q14" s="2703"/>
      <c r="R14" s="2703"/>
      <c r="S14" s="818"/>
    </row>
    <row r="15" spans="1:19" ht="15" customHeight="1">
      <c r="A15" s="817"/>
      <c r="B15" s="2703"/>
      <c r="C15" s="2703"/>
      <c r="D15" s="2703"/>
      <c r="E15" s="2703"/>
      <c r="F15" s="2703"/>
      <c r="G15" s="2703"/>
      <c r="H15" s="2703"/>
      <c r="I15" s="2703"/>
      <c r="J15" s="2703"/>
      <c r="K15" s="2703"/>
      <c r="L15" s="2703"/>
      <c r="M15" s="2703"/>
      <c r="N15" s="2703"/>
      <c r="O15" s="2703"/>
      <c r="P15" s="2703"/>
      <c r="Q15" s="2703"/>
      <c r="R15" s="2703"/>
      <c r="S15" s="818"/>
    </row>
    <row r="16" spans="1:19" ht="15" customHeight="1">
      <c r="A16" s="817"/>
      <c r="B16" s="2703"/>
      <c r="C16" s="2703"/>
      <c r="D16" s="2703"/>
      <c r="E16" s="2703"/>
      <c r="F16" s="2703"/>
      <c r="G16" s="2703"/>
      <c r="H16" s="2703"/>
      <c r="I16" s="2703"/>
      <c r="J16" s="2703"/>
      <c r="K16" s="2703"/>
      <c r="L16" s="2703"/>
      <c r="M16" s="2703"/>
      <c r="N16" s="2703"/>
      <c r="O16" s="2703"/>
      <c r="P16" s="2703"/>
      <c r="Q16" s="2703"/>
      <c r="R16" s="2703"/>
      <c r="S16" s="818"/>
    </row>
    <row r="17" spans="1:19" ht="15" customHeight="1">
      <c r="A17" s="817"/>
      <c r="B17" s="2703"/>
      <c r="C17" s="2703"/>
      <c r="D17" s="2703"/>
      <c r="E17" s="2703"/>
      <c r="F17" s="2703"/>
      <c r="G17" s="2703"/>
      <c r="H17" s="2703"/>
      <c r="I17" s="2703"/>
      <c r="J17" s="2703"/>
      <c r="K17" s="2703"/>
      <c r="L17" s="2703"/>
      <c r="M17" s="2703"/>
      <c r="N17" s="2703"/>
      <c r="O17" s="2703"/>
      <c r="P17" s="2703"/>
      <c r="Q17" s="2703"/>
      <c r="R17" s="270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704" t="s">
        <v>2033</v>
      </c>
      <c r="C19" s="2704"/>
      <c r="D19" s="2704"/>
      <c r="E19" s="2704"/>
      <c r="F19" s="2704"/>
      <c r="G19" s="2704"/>
      <c r="H19" s="2704"/>
      <c r="I19" s="2704"/>
      <c r="J19" s="2704"/>
      <c r="K19" s="2704"/>
      <c r="L19" s="2704"/>
      <c r="M19" s="2704"/>
      <c r="N19" s="2704"/>
      <c r="O19" s="2704"/>
      <c r="P19" s="2704"/>
      <c r="Q19" s="2704"/>
      <c r="R19" s="2704"/>
      <c r="S19" s="818"/>
    </row>
    <row r="20" spans="1:19" ht="15" customHeight="1">
      <c r="A20" s="817"/>
      <c r="B20" s="2704"/>
      <c r="C20" s="2704"/>
      <c r="D20" s="2704"/>
      <c r="E20" s="2704"/>
      <c r="F20" s="2704"/>
      <c r="G20" s="2704"/>
      <c r="H20" s="2704"/>
      <c r="I20" s="2704"/>
      <c r="J20" s="2704"/>
      <c r="K20" s="2704"/>
      <c r="L20" s="2704"/>
      <c r="M20" s="2704"/>
      <c r="N20" s="2704"/>
      <c r="O20" s="2704"/>
      <c r="P20" s="2704"/>
      <c r="Q20" s="2704"/>
      <c r="R20" s="2704"/>
      <c r="S20" s="818"/>
    </row>
    <row r="21" spans="1:19" ht="15" customHeight="1">
      <c r="A21" s="817"/>
      <c r="B21" s="2704"/>
      <c r="C21" s="2704"/>
      <c r="D21" s="2704"/>
      <c r="E21" s="2704"/>
      <c r="F21" s="2704"/>
      <c r="G21" s="2704"/>
      <c r="H21" s="2704"/>
      <c r="I21" s="2704"/>
      <c r="J21" s="2704"/>
      <c r="K21" s="2704"/>
      <c r="L21" s="2704"/>
      <c r="M21" s="2704"/>
      <c r="N21" s="2704"/>
      <c r="O21" s="2704"/>
      <c r="P21" s="2704"/>
      <c r="Q21" s="2704"/>
      <c r="R21" s="2704"/>
      <c r="S21" s="818"/>
    </row>
    <row r="22" spans="1:19" ht="15" customHeight="1">
      <c r="A22" s="817"/>
      <c r="B22" s="1047"/>
      <c r="C22" s="1047"/>
      <c r="D22" s="1047"/>
      <c r="E22" s="1047"/>
      <c r="F22" s="1047"/>
      <c r="G22" s="1047"/>
      <c r="H22" s="1047"/>
      <c r="I22" s="1047"/>
      <c r="J22" s="1047"/>
      <c r="K22" s="1047"/>
      <c r="L22" s="1047"/>
      <c r="M22" s="1047"/>
      <c r="N22" s="1047"/>
      <c r="O22" s="1047"/>
      <c r="P22" s="1047"/>
      <c r="Q22" s="1047"/>
      <c r="R22" s="1047"/>
      <c r="S22" s="818"/>
    </row>
    <row r="23" spans="1:19" ht="15" customHeight="1">
      <c r="A23" s="817"/>
      <c r="B23" s="2704" t="s">
        <v>2034</v>
      </c>
      <c r="C23" s="2704"/>
      <c r="D23" s="2704"/>
      <c r="E23" s="2704"/>
      <c r="F23" s="2704"/>
      <c r="G23" s="2704"/>
      <c r="H23" s="2704"/>
      <c r="I23" s="2704"/>
      <c r="J23" s="2704"/>
      <c r="K23" s="2704"/>
      <c r="L23" s="2704"/>
      <c r="M23" s="2704"/>
      <c r="N23" s="2704"/>
      <c r="O23" s="2704"/>
      <c r="P23" s="2704"/>
      <c r="Q23" s="2704"/>
      <c r="R23" s="2704"/>
      <c r="S23" s="818"/>
    </row>
    <row r="24" spans="1:19" ht="15" customHeight="1">
      <c r="A24" s="819"/>
      <c r="B24" s="2704"/>
      <c r="C24" s="2704"/>
      <c r="D24" s="2704"/>
      <c r="E24" s="2704"/>
      <c r="F24" s="2704"/>
      <c r="G24" s="2704"/>
      <c r="H24" s="2704"/>
      <c r="I24" s="2704"/>
      <c r="J24" s="2704"/>
      <c r="K24" s="2704"/>
      <c r="L24" s="2704"/>
      <c r="M24" s="2704"/>
      <c r="N24" s="2704"/>
      <c r="O24" s="2704"/>
      <c r="P24" s="2704"/>
      <c r="Q24" s="2704"/>
      <c r="R24" s="2704"/>
      <c r="S24" s="819"/>
    </row>
    <row r="25" spans="1:19" ht="15" customHeight="1">
      <c r="A25" s="819"/>
      <c r="B25" s="1047"/>
      <c r="C25" s="1047"/>
      <c r="D25" s="1047"/>
      <c r="E25" s="1047"/>
      <c r="F25" s="1047"/>
      <c r="G25" s="1047"/>
      <c r="H25" s="1047"/>
      <c r="I25" s="1047"/>
      <c r="J25" s="1047"/>
      <c r="K25" s="1047"/>
      <c r="L25" s="1047"/>
      <c r="M25" s="1047"/>
      <c r="N25" s="1047"/>
      <c r="O25" s="1047"/>
      <c r="P25" s="1047"/>
      <c r="Q25" s="1047"/>
      <c r="R25" s="1047"/>
      <c r="S25" s="819"/>
    </row>
    <row r="26" spans="1:19" ht="15" customHeight="1">
      <c r="A26" s="819"/>
      <c r="B26" s="2702" t="s">
        <v>1909</v>
      </c>
      <c r="C26" s="2702"/>
      <c r="D26" s="2702"/>
      <c r="E26" s="2702"/>
      <c r="F26" s="2702"/>
      <c r="G26" s="2702"/>
      <c r="H26" s="2702"/>
      <c r="I26" s="2702"/>
      <c r="J26" s="2702"/>
      <c r="K26" s="2702"/>
      <c r="L26" s="2702"/>
      <c r="M26" s="2702"/>
      <c r="N26" s="2702"/>
      <c r="O26" s="2702"/>
      <c r="P26" s="2702"/>
      <c r="Q26" s="2702"/>
      <c r="R26" s="2702"/>
      <c r="S26" s="819"/>
    </row>
    <row r="27" spans="1:19" ht="15" customHeight="1">
      <c r="A27" s="819"/>
      <c r="B27" s="1047"/>
      <c r="C27" s="1047"/>
      <c r="D27" s="1047"/>
      <c r="E27" s="1047"/>
      <c r="F27" s="1047"/>
      <c r="G27" s="1047"/>
      <c r="H27" s="1047"/>
      <c r="I27" s="1047"/>
      <c r="J27" s="1047"/>
      <c r="K27" s="1047"/>
      <c r="L27" s="1047"/>
      <c r="M27" s="1047"/>
      <c r="N27" s="1047"/>
      <c r="O27" s="1047"/>
      <c r="P27" s="1047"/>
      <c r="Q27" s="1047"/>
      <c r="R27" s="1047"/>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709" t="s">
        <v>1813</v>
      </c>
      <c r="C29" s="2709"/>
      <c r="D29" s="2709"/>
      <c r="E29" s="2709"/>
      <c r="F29" s="2709"/>
      <c r="G29" s="2709"/>
      <c r="H29" s="821"/>
      <c r="I29" s="821"/>
      <c r="J29" s="821"/>
      <c r="K29" s="821"/>
      <c r="L29" s="821"/>
      <c r="M29" s="821"/>
      <c r="N29" s="821"/>
      <c r="O29" s="2707" t="s">
        <v>1822</v>
      </c>
      <c r="P29" s="819"/>
      <c r="Q29" s="819"/>
      <c r="R29" s="819"/>
      <c r="S29" s="819"/>
    </row>
    <row r="30" spans="1:19" ht="15" customHeight="1">
      <c r="A30" s="819"/>
      <c r="B30" s="2709"/>
      <c r="C30" s="2709"/>
      <c r="D30" s="2709"/>
      <c r="E30" s="2709"/>
      <c r="F30" s="2709"/>
      <c r="G30" s="2709"/>
      <c r="H30" s="821"/>
      <c r="I30" s="821"/>
      <c r="J30" s="821"/>
      <c r="K30" s="821"/>
      <c r="L30" s="821"/>
      <c r="M30" s="821"/>
      <c r="N30" s="821"/>
      <c r="O30" s="2707"/>
      <c r="P30" s="819"/>
      <c r="Q30" s="819"/>
      <c r="R30" s="819"/>
      <c r="S30" s="819"/>
    </row>
    <row r="31" spans="1:19" ht="15" customHeight="1">
      <c r="A31" s="819"/>
      <c r="B31" s="2709"/>
      <c r="C31" s="2709"/>
      <c r="D31" s="2709"/>
      <c r="E31" s="2709"/>
      <c r="F31" s="2709"/>
      <c r="G31" s="2709"/>
      <c r="H31" s="821"/>
      <c r="I31" s="821"/>
      <c r="J31" s="821"/>
      <c r="K31" s="821"/>
      <c r="L31" s="821"/>
      <c r="M31" s="821"/>
      <c r="N31" s="821"/>
      <c r="O31" s="2707"/>
      <c r="P31" s="819"/>
      <c r="Q31" s="819"/>
      <c r="R31" s="819"/>
      <c r="S31" s="819"/>
    </row>
    <row r="32" spans="1:19" ht="15" customHeight="1">
      <c r="A32" s="819"/>
      <c r="B32" s="2710"/>
      <c r="C32" s="2710"/>
      <c r="D32" s="2710"/>
      <c r="E32" s="2710"/>
      <c r="F32" s="2710"/>
      <c r="G32" s="2710"/>
      <c r="H32" s="819"/>
      <c r="I32" s="2676" t="s">
        <v>155</v>
      </c>
      <c r="J32" s="2668" t="s">
        <v>1096</v>
      </c>
      <c r="K32" s="2711">
        <v>1</v>
      </c>
      <c r="L32" s="819"/>
      <c r="M32" s="822"/>
      <c r="N32" s="819"/>
      <c r="O32" s="2708"/>
      <c r="P32" s="2668" t="s">
        <v>2221</v>
      </c>
      <c r="Q32" s="819"/>
      <c r="R32" s="819"/>
      <c r="S32" s="819"/>
    </row>
    <row r="33" spans="1:19" ht="15" customHeight="1">
      <c r="A33" s="819"/>
      <c r="B33" s="2666" t="s">
        <v>1817</v>
      </c>
      <c r="C33" s="2666"/>
      <c r="D33" s="2666"/>
      <c r="E33" s="2666"/>
      <c r="F33" s="2666"/>
      <c r="G33" s="2666"/>
      <c r="H33" s="819"/>
      <c r="I33" s="2676"/>
      <c r="J33" s="2668"/>
      <c r="K33" s="2711"/>
      <c r="L33" s="819"/>
      <c r="M33" s="823"/>
      <c r="N33" s="819"/>
      <c r="O33" s="2666" t="s">
        <v>1817</v>
      </c>
      <c r="P33" s="2668"/>
      <c r="Q33" s="819"/>
      <c r="R33" s="819"/>
      <c r="S33" s="819"/>
    </row>
    <row r="34" spans="1:19" ht="15" customHeight="1">
      <c r="A34" s="819"/>
      <c r="B34" s="2667"/>
      <c r="C34" s="2667"/>
      <c r="D34" s="2667"/>
      <c r="E34" s="2667"/>
      <c r="F34" s="2667"/>
      <c r="G34" s="2667"/>
      <c r="H34" s="819"/>
      <c r="I34" s="1045"/>
      <c r="J34" s="1044"/>
      <c r="K34" s="1046"/>
      <c r="L34" s="819"/>
      <c r="M34" s="823"/>
      <c r="N34" s="819"/>
      <c r="O34" s="2667"/>
      <c r="P34" s="1044"/>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38"/>
      <c r="C36" s="1038"/>
      <c r="D36" s="1038"/>
      <c r="E36" s="1038"/>
      <c r="F36" s="1038"/>
      <c r="G36" s="1038"/>
      <c r="H36" s="819"/>
      <c r="I36" s="1036"/>
      <c r="J36" s="1035"/>
      <c r="K36" s="1037"/>
      <c r="L36" s="819"/>
      <c r="M36" s="823"/>
      <c r="N36" s="819"/>
      <c r="O36" s="1038"/>
      <c r="P36" s="1035"/>
      <c r="Q36" s="819"/>
      <c r="R36" s="819"/>
      <c r="S36" s="819"/>
    </row>
    <row r="37" spans="1:19" ht="15" customHeight="1">
      <c r="A37" s="829"/>
      <c r="B37" s="2690" t="s">
        <v>1805</v>
      </c>
      <c r="C37" s="2690"/>
      <c r="D37" s="2690"/>
      <c r="E37" s="2690"/>
      <c r="F37" s="830"/>
      <c r="G37" s="830"/>
      <c r="H37" s="831"/>
      <c r="I37" s="832"/>
      <c r="J37" s="832"/>
      <c r="P37" s="819"/>
      <c r="Q37" s="833"/>
      <c r="R37" s="833"/>
      <c r="S37" s="819"/>
    </row>
    <row r="38" spans="1:19" ht="15" customHeight="1">
      <c r="A38" s="819"/>
      <c r="B38" s="2695" t="s">
        <v>1823</v>
      </c>
      <c r="C38" s="2695"/>
      <c r="D38" s="2695"/>
      <c r="E38" s="2695"/>
      <c r="F38" s="1040"/>
      <c r="G38" s="834">
        <f>D110</f>
        <v>488267.01759911125</v>
      </c>
      <c r="H38" s="835"/>
      <c r="I38" s="836"/>
      <c r="J38" s="835"/>
      <c r="L38" s="1316"/>
      <c r="M38" s="1316"/>
      <c r="N38" s="1316"/>
      <c r="O38" s="1316"/>
      <c r="P38" s="782"/>
      <c r="Q38" s="2665"/>
      <c r="R38" s="2665"/>
      <c r="S38" s="782"/>
    </row>
    <row r="39" spans="1:19" ht="15" customHeight="1">
      <c r="A39" s="597"/>
      <c r="B39" s="2696" t="s">
        <v>1418</v>
      </c>
      <c r="C39" s="2696"/>
      <c r="D39" s="2696"/>
      <c r="E39" s="2696"/>
      <c r="F39" s="1040"/>
      <c r="G39" s="1000"/>
      <c r="H39" s="835"/>
      <c r="I39" s="836"/>
      <c r="J39" s="835"/>
      <c r="L39" s="835"/>
      <c r="M39" s="833"/>
      <c r="N39" s="833"/>
      <c r="O39" s="833"/>
      <c r="P39" s="782"/>
      <c r="Q39" s="1175"/>
      <c r="R39" s="1175"/>
      <c r="S39" s="782"/>
    </row>
    <row r="40" spans="1:19" ht="15" customHeight="1">
      <c r="A40" s="597"/>
      <c r="B40" s="2696" t="s">
        <v>1419</v>
      </c>
      <c r="C40" s="2696"/>
      <c r="D40" s="2696"/>
      <c r="E40" s="2696"/>
      <c r="F40" s="1040"/>
      <c r="G40" s="1000"/>
      <c r="H40" s="835"/>
      <c r="I40" s="836"/>
      <c r="J40" s="835"/>
      <c r="K40" s="2700"/>
      <c r="L40" s="2700"/>
      <c r="M40" s="2700"/>
      <c r="N40" s="2700"/>
      <c r="O40" s="2700"/>
      <c r="P40" s="1069"/>
      <c r="Q40" s="2665"/>
      <c r="R40" s="2665"/>
      <c r="S40" s="819"/>
    </row>
    <row r="41" spans="1:19" ht="15" customHeight="1">
      <c r="A41" s="597"/>
      <c r="B41" s="2697" t="s">
        <v>1818</v>
      </c>
      <c r="C41" s="2697"/>
      <c r="D41" s="2697"/>
      <c r="E41" s="2697"/>
      <c r="F41" s="1040"/>
      <c r="G41" s="835"/>
      <c r="H41" s="835"/>
      <c r="I41" s="836"/>
      <c r="J41" s="835"/>
      <c r="K41" s="835"/>
      <c r="L41" s="835"/>
      <c r="M41" s="833"/>
      <c r="N41" s="833"/>
      <c r="O41" s="833"/>
      <c r="P41" s="782"/>
      <c r="Q41" s="837"/>
      <c r="R41" s="837"/>
      <c r="S41" s="819"/>
    </row>
    <row r="42" spans="1:19" ht="15" customHeight="1">
      <c r="A42" s="597"/>
      <c r="B42" s="1536" t="s">
        <v>1113</v>
      </c>
      <c r="C42" s="1536"/>
      <c r="D42" s="1537"/>
      <c r="E42" s="1538">
        <f>Application!AO634</f>
        <v>20000000</v>
      </c>
      <c r="F42" s="1040"/>
      <c r="G42" s="835"/>
      <c r="H42" s="835"/>
      <c r="I42" s="836"/>
      <c r="J42" s="835"/>
      <c r="K42" s="2700"/>
      <c r="L42" s="2700"/>
      <c r="M42" s="2700"/>
      <c r="N42" s="2700"/>
      <c r="O42" s="2700"/>
      <c r="P42" s="1069"/>
      <c r="Q42" s="2665"/>
      <c r="R42" s="2665"/>
      <c r="S42" s="819"/>
    </row>
    <row r="43" spans="1:19" ht="15" customHeight="1">
      <c r="A43" s="597"/>
      <c r="B43" s="1536" t="s">
        <v>2480</v>
      </c>
      <c r="C43" s="1536"/>
      <c r="D43" s="1539"/>
      <c r="E43" s="1538">
        <f>Application!AO633</f>
        <v>4400000</v>
      </c>
      <c r="F43" s="1040"/>
      <c r="G43" s="835"/>
      <c r="H43" s="835"/>
      <c r="I43" s="836"/>
      <c r="J43" s="835"/>
      <c r="L43" s="835"/>
      <c r="M43" s="833"/>
      <c r="N43" s="833"/>
      <c r="O43" s="833"/>
      <c r="P43" s="782"/>
      <c r="Q43" s="837"/>
      <c r="R43" s="837"/>
      <c r="S43" s="819"/>
    </row>
    <row r="44" spans="1:19" ht="15" customHeight="1">
      <c r="A44" s="597"/>
      <c r="B44" s="1536"/>
      <c r="C44" s="1536"/>
      <c r="D44" s="1539"/>
      <c r="E44" s="1538"/>
      <c r="F44" s="1040"/>
      <c r="G44" s="835"/>
      <c r="H44" s="835"/>
      <c r="I44" s="836"/>
      <c r="K44" s="1322" t="s">
        <v>2103</v>
      </c>
      <c r="P44" s="1069"/>
      <c r="Q44" s="2665"/>
      <c r="R44" s="2665"/>
      <c r="S44" s="819"/>
    </row>
    <row r="45" spans="1:19" ht="15" customHeight="1">
      <c r="A45" s="597"/>
      <c r="B45" s="1002"/>
      <c r="C45" s="1002"/>
      <c r="D45" s="814"/>
      <c r="E45" s="1043"/>
      <c r="F45" s="1040"/>
      <c r="G45" s="835"/>
      <c r="H45" s="835"/>
      <c r="I45" s="836"/>
      <c r="K45" s="1323" t="s">
        <v>2098</v>
      </c>
      <c r="L45" s="1323"/>
      <c r="M45" s="835"/>
      <c r="N45" s="835"/>
      <c r="O45" s="835"/>
      <c r="P45" s="835"/>
      <c r="Q45" s="597"/>
      <c r="R45" s="597"/>
      <c r="S45" s="819"/>
    </row>
    <row r="46" spans="1:19" ht="15" customHeight="1">
      <c r="A46" s="597"/>
      <c r="B46" s="1002"/>
      <c r="C46" s="1002"/>
      <c r="D46" s="814"/>
      <c r="E46" s="1043"/>
      <c r="F46" s="1040"/>
      <c r="G46" s="835"/>
      <c r="H46" s="835"/>
      <c r="I46" s="836"/>
      <c r="J46" s="835"/>
      <c r="K46" s="2671" t="s">
        <v>2099</v>
      </c>
      <c r="L46" s="2671"/>
      <c r="M46" s="2671"/>
      <c r="N46" s="2671"/>
      <c r="O46" s="2671"/>
      <c r="P46" s="819"/>
      <c r="Q46" s="2669"/>
      <c r="R46" s="2669"/>
      <c r="S46" s="819"/>
    </row>
    <row r="47" spans="1:19" ht="15" customHeight="1">
      <c r="A47" s="597"/>
      <c r="B47" s="1002"/>
      <c r="C47" s="1002"/>
      <c r="D47" s="814"/>
      <c r="E47" s="1043"/>
      <c r="F47" s="1040"/>
      <c r="G47" s="835"/>
      <c r="H47" s="835"/>
      <c r="I47" s="836"/>
      <c r="J47" s="835"/>
      <c r="K47" s="2670" t="s">
        <v>2100</v>
      </c>
      <c r="L47" s="2670"/>
      <c r="M47" s="2670"/>
      <c r="N47" s="2670"/>
      <c r="O47" s="2670"/>
      <c r="P47" s="819"/>
      <c r="Q47" s="2706"/>
      <c r="R47" s="2706"/>
      <c r="S47" s="819"/>
    </row>
    <row r="48" spans="1:19" ht="15" customHeight="1">
      <c r="A48" s="597"/>
      <c r="B48" s="1002"/>
      <c r="C48" s="1002"/>
      <c r="D48" s="814"/>
      <c r="E48" s="1043"/>
      <c r="F48" s="1040"/>
      <c r="G48" s="835"/>
      <c r="H48" s="835"/>
      <c r="I48" s="836"/>
      <c r="J48" s="835"/>
      <c r="K48" s="2705" t="s">
        <v>2101</v>
      </c>
      <c r="L48" s="2705"/>
      <c r="M48" s="2705"/>
      <c r="N48" s="2705"/>
      <c r="O48" s="2705"/>
      <c r="P48" s="819"/>
      <c r="Q48" s="2671">
        <f>Q46+Q47</f>
        <v>0</v>
      </c>
      <c r="R48" s="2671"/>
      <c r="S48" s="819"/>
    </row>
    <row r="49" spans="1:29" ht="15" customHeight="1">
      <c r="A49" s="597"/>
      <c r="B49" s="1002"/>
      <c r="C49" s="1002"/>
      <c r="D49" s="814"/>
      <c r="E49" s="1043"/>
      <c r="F49" s="1040"/>
      <c r="G49" s="835"/>
      <c r="H49" s="835"/>
      <c r="I49" s="836"/>
      <c r="J49" s="835"/>
      <c r="K49" s="597"/>
      <c r="L49" s="597"/>
      <c r="M49" s="597"/>
      <c r="N49" s="597"/>
      <c r="O49" s="597"/>
      <c r="P49" s="597"/>
      <c r="Q49" s="597"/>
      <c r="R49" s="597"/>
      <c r="S49" s="819"/>
    </row>
    <row r="50" spans="1:29" ht="15" customHeight="1">
      <c r="A50" s="597"/>
      <c r="B50" s="998" t="s">
        <v>1912</v>
      </c>
      <c r="C50" s="998"/>
      <c r="D50" s="1001"/>
      <c r="E50" s="999">
        <f>'Sources and Uses Budget'!B15</f>
        <v>0</v>
      </c>
      <c r="F50" s="1040"/>
      <c r="G50" s="835"/>
      <c r="H50" s="835"/>
      <c r="I50" s="836"/>
      <c r="J50" s="835"/>
      <c r="K50" s="597"/>
      <c r="L50" s="597"/>
      <c r="M50" s="597"/>
      <c r="N50" s="597"/>
      <c r="O50" s="597"/>
      <c r="P50" s="597"/>
      <c r="Q50" s="597"/>
      <c r="R50" s="597"/>
      <c r="S50" s="819"/>
    </row>
    <row r="51" spans="1:29" ht="15" customHeight="1">
      <c r="A51" s="597"/>
      <c r="B51" s="997" t="s">
        <v>1487</v>
      </c>
      <c r="C51" s="997"/>
      <c r="D51" s="1001"/>
      <c r="E51" s="999"/>
      <c r="F51" s="1040"/>
      <c r="G51" s="835"/>
      <c r="H51" s="835"/>
      <c r="I51" s="836"/>
      <c r="J51" s="835"/>
      <c r="K51" s="597"/>
      <c r="L51" s="597"/>
      <c r="M51" s="597"/>
      <c r="N51" s="597"/>
      <c r="O51" s="597"/>
      <c r="P51" s="597"/>
      <c r="Q51" s="597"/>
      <c r="R51" s="597"/>
      <c r="S51" s="819"/>
    </row>
    <row r="52" spans="1:29" s="818" customFormat="1" ht="15" customHeight="1">
      <c r="B52" s="2695" t="s">
        <v>1814</v>
      </c>
      <c r="C52" s="2695"/>
      <c r="D52" s="2695"/>
      <c r="E52" s="2695"/>
      <c r="F52" s="1040"/>
      <c r="G52" s="834">
        <f>SUM(E42:E49)-ABS(E50)-ABS(E51)</f>
        <v>24400000</v>
      </c>
      <c r="H52" s="835"/>
      <c r="I52" s="836"/>
      <c r="J52" s="835"/>
    </row>
    <row r="53" spans="1:29" ht="15" customHeight="1">
      <c r="A53" s="597"/>
      <c r="B53" s="819"/>
      <c r="C53" s="840"/>
      <c r="D53" s="840" t="s">
        <v>974</v>
      </c>
      <c r="E53" s="841"/>
      <c r="F53" s="841"/>
      <c r="G53" s="842">
        <f>SUM(G38:G40)+G52</f>
        <v>24888267.01759911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0"/>
      <c r="C55" s="1040"/>
      <c r="D55" s="1040"/>
      <c r="E55" s="1040"/>
      <c r="F55" s="1040"/>
      <c r="G55" s="1040"/>
      <c r="H55" s="1040"/>
      <c r="I55" s="1040"/>
      <c r="J55" s="1040"/>
      <c r="K55" s="1040"/>
      <c r="L55" s="1040"/>
      <c r="M55" s="1040"/>
      <c r="N55" s="1040"/>
      <c r="O55" s="1040"/>
      <c r="P55" s="1040"/>
      <c r="Q55" s="819"/>
      <c r="R55" s="819"/>
      <c r="S55" s="819"/>
      <c r="U55" s="1253" t="s">
        <v>136</v>
      </c>
      <c r="AC55" s="1253" t="s">
        <v>1078</v>
      </c>
    </row>
    <row r="56" spans="1:29" ht="15" customHeight="1">
      <c r="A56" s="597"/>
      <c r="B56" s="2698" t="s">
        <v>1397</v>
      </c>
      <c r="C56" s="2698"/>
      <c r="D56" s="1040"/>
      <c r="E56" s="1040"/>
      <c r="F56" s="1040"/>
      <c r="G56" s="1040"/>
      <c r="H56" s="1040"/>
      <c r="I56" s="1040"/>
      <c r="J56" s="1040"/>
      <c r="K56" s="1040"/>
      <c r="L56" s="1040"/>
      <c r="M56" s="1040"/>
      <c r="N56" s="1040"/>
      <c r="O56" s="1040"/>
      <c r="P56" s="1040"/>
      <c r="Q56" s="819"/>
      <c r="R56" s="819"/>
      <c r="S56" s="819"/>
      <c r="U56" s="1252" t="s">
        <v>2027</v>
      </c>
      <c r="AC56" s="1305">
        <v>0.2</v>
      </c>
    </row>
    <row r="57" spans="1:29" ht="15" customHeight="1">
      <c r="A57" s="838"/>
      <c r="B57" s="2699" t="s">
        <v>1808</v>
      </c>
      <c r="C57" s="2699"/>
      <c r="D57" s="2699"/>
      <c r="E57" s="2699"/>
      <c r="F57" s="2699"/>
      <c r="G57" s="2699"/>
      <c r="H57" s="2699"/>
      <c r="I57" s="2699"/>
      <c r="J57" s="2699"/>
      <c r="K57" s="2699"/>
      <c r="L57" s="2699"/>
      <c r="M57" s="2699"/>
      <c r="N57" s="2699"/>
      <c r="O57" s="2699"/>
      <c r="P57" s="1040"/>
      <c r="Q57" s="819"/>
      <c r="R57" s="819"/>
      <c r="S57" s="819"/>
      <c r="U57" s="1252" t="s">
        <v>2028</v>
      </c>
      <c r="AC57" s="1305">
        <v>0.1</v>
      </c>
    </row>
    <row r="58" spans="1:29" ht="15" customHeight="1">
      <c r="A58" s="819"/>
      <c r="B58" s="2690" t="s">
        <v>1807</v>
      </c>
      <c r="C58" s="2691"/>
      <c r="D58" s="2691"/>
      <c r="E58" s="2691"/>
      <c r="F58" s="845"/>
      <c r="G58" s="845"/>
      <c r="H58" s="846"/>
      <c r="I58" s="846"/>
      <c r="J58" s="2692">
        <f>('Sources and Uses Budget'!D104+Q47)/('Sources and Uses Budget'!B104+Q48)</f>
        <v>0</v>
      </c>
      <c r="K58" s="2693"/>
      <c r="L58" s="2693"/>
      <c r="M58" s="2693"/>
      <c r="N58" s="2694"/>
      <c r="O58" s="846"/>
      <c r="P58" s="846"/>
      <c r="Q58" s="819"/>
      <c r="R58" s="819"/>
      <c r="S58" s="819"/>
      <c r="U58" s="1252" t="s">
        <v>2029</v>
      </c>
      <c r="AC58" s="1305">
        <v>0.1</v>
      </c>
    </row>
    <row r="59" spans="1:29" ht="15" customHeight="1">
      <c r="A59" s="819"/>
      <c r="B59" s="2680" t="s">
        <v>2032</v>
      </c>
      <c r="C59" s="2680"/>
      <c r="D59" s="2680"/>
      <c r="E59" s="2680"/>
      <c r="F59" s="2680"/>
      <c r="G59" s="2680"/>
      <c r="H59" s="2680"/>
      <c r="I59" s="2680"/>
      <c r="J59" s="2680"/>
      <c r="K59" s="2680"/>
      <c r="L59" s="2680"/>
      <c r="M59" s="2680"/>
      <c r="N59" s="2680"/>
      <c r="O59" s="2680"/>
      <c r="P59" s="846"/>
      <c r="Q59" s="819"/>
      <c r="R59" s="819"/>
      <c r="S59" s="819"/>
      <c r="U59" s="1252" t="s">
        <v>2030</v>
      </c>
      <c r="AC59" s="1305">
        <v>0.05</v>
      </c>
    </row>
    <row r="60" spans="1:29" ht="15" customHeight="1" thickBot="1">
      <c r="A60" s="819"/>
      <c r="B60" s="2680"/>
      <c r="C60" s="2680"/>
      <c r="D60" s="2680"/>
      <c r="E60" s="2680"/>
      <c r="F60" s="2680"/>
      <c r="G60" s="2680"/>
      <c r="H60" s="2680"/>
      <c r="I60" s="2680"/>
      <c r="J60" s="2680"/>
      <c r="K60" s="2680"/>
      <c r="L60" s="2680"/>
      <c r="M60" s="2680"/>
      <c r="N60" s="2680"/>
      <c r="O60" s="2680"/>
      <c r="P60" s="846"/>
      <c r="Q60" s="819"/>
      <c r="R60" s="819"/>
      <c r="S60" s="819"/>
      <c r="U60" s="1253"/>
      <c r="AC60" s="1254"/>
    </row>
    <row r="61" spans="1:29" ht="15" customHeight="1">
      <c r="A61" s="819"/>
      <c r="B61" s="2681" t="s">
        <v>1809</v>
      </c>
      <c r="C61" s="2681"/>
      <c r="D61" s="2681"/>
      <c r="E61" s="2681"/>
      <c r="F61" s="2681"/>
      <c r="G61" s="2681"/>
      <c r="H61" s="2681"/>
      <c r="I61" s="2681"/>
      <c r="J61" s="2681"/>
      <c r="K61" s="2681"/>
      <c r="L61" s="2681"/>
      <c r="M61" s="2681"/>
      <c r="N61" s="2681"/>
      <c r="O61" s="2681"/>
      <c r="P61" s="846"/>
      <c r="Q61" s="819"/>
      <c r="R61" s="819"/>
      <c r="S61" s="819"/>
      <c r="U61" s="271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13"/>
    </row>
    <row r="63" spans="1:29" ht="15" customHeight="1">
      <c r="A63" s="819"/>
      <c r="B63" s="833"/>
      <c r="C63" s="833"/>
      <c r="D63" s="833"/>
      <c r="E63" s="1322"/>
      <c r="F63" s="833"/>
      <c r="G63" s="833"/>
      <c r="H63" s="833"/>
      <c r="I63" s="1262"/>
      <c r="J63" s="2686" t="s">
        <v>2222</v>
      </c>
      <c r="K63" s="2687"/>
      <c r="L63" s="2687"/>
      <c r="M63" s="2687"/>
      <c r="N63" s="2687"/>
      <c r="O63" s="2687"/>
      <c r="P63" s="2687"/>
      <c r="Q63" s="2687"/>
      <c r="R63" s="2687"/>
      <c r="S63" s="819"/>
      <c r="U63" s="2712">
        <f>IF(J67="Non-rural project, Census Tract is High Resource (10 percentage points)",AC57,0)</f>
        <v>0</v>
      </c>
    </row>
    <row r="64" spans="1:29" ht="15" customHeight="1" thickBot="1">
      <c r="A64" s="819"/>
      <c r="B64" s="2682" t="s">
        <v>1819</v>
      </c>
      <c r="C64" s="2682"/>
      <c r="D64" s="833"/>
      <c r="F64" s="833"/>
      <c r="G64" s="1324" t="s">
        <v>2102</v>
      </c>
      <c r="H64" s="833"/>
      <c r="I64" s="1263"/>
      <c r="J64" s="2688"/>
      <c r="K64" s="2689"/>
      <c r="L64" s="2689"/>
      <c r="M64" s="2689"/>
      <c r="N64" s="2689"/>
      <c r="O64" s="2689"/>
      <c r="P64" s="2689"/>
      <c r="Q64" s="2689"/>
      <c r="R64" s="2689"/>
      <c r="S64" s="819"/>
      <c r="U64" s="2713"/>
    </row>
    <row r="65" spans="1:22" ht="15" customHeight="1">
      <c r="A65" s="819"/>
      <c r="B65" s="848" t="s">
        <v>1812</v>
      </c>
      <c r="C65" s="1008" t="str">
        <f>IF(Application!M349="Yes","Yes","No")</f>
        <v>Yes</v>
      </c>
      <c r="E65" s="1325"/>
      <c r="F65" s="1325"/>
      <c r="G65" s="1326" t="s">
        <v>2104</v>
      </c>
      <c r="H65" s="833"/>
      <c r="I65" s="1263"/>
      <c r="J65" s="2688"/>
      <c r="K65" s="2689"/>
      <c r="L65" s="2689"/>
      <c r="M65" s="2689"/>
      <c r="N65" s="2689"/>
      <c r="O65" s="2689"/>
      <c r="P65" s="2689"/>
      <c r="Q65" s="2689"/>
      <c r="R65" s="2689"/>
      <c r="S65" s="819"/>
      <c r="U65" s="2712">
        <f>IF(J67="Rural project, Census Tract is Highest Resource (10 percentage points)",AC58,0)</f>
        <v>0</v>
      </c>
    </row>
    <row r="66" spans="1:22" ht="15" customHeight="1" thickBot="1">
      <c r="A66" s="819"/>
      <c r="B66" s="849" t="s">
        <v>1896</v>
      </c>
      <c r="C66" s="1009">
        <f>Application!AG430-Application!AG431</f>
        <v>101</v>
      </c>
      <c r="D66" s="1325"/>
      <c r="E66" s="849" t="s">
        <v>2105</v>
      </c>
      <c r="F66" s="1325"/>
      <c r="G66" s="1053"/>
      <c r="H66" s="850"/>
      <c r="I66" s="1264"/>
      <c r="J66" s="2688"/>
      <c r="K66" s="2689"/>
      <c r="L66" s="2689"/>
      <c r="M66" s="2689"/>
      <c r="N66" s="2689"/>
      <c r="O66" s="2689"/>
      <c r="P66" s="2689"/>
      <c r="Q66" s="2689"/>
      <c r="R66" s="2689"/>
      <c r="S66" s="819"/>
      <c r="U66" s="2713"/>
    </row>
    <row r="67" spans="1:22" ht="15" customHeight="1">
      <c r="A67" s="819"/>
      <c r="B67" s="849" t="s">
        <v>1806</v>
      </c>
      <c r="C67" s="1010">
        <f>MIN(IF(AND(C65="Yes",G67&gt;=50),(0.75+(G67/200)),1),1.5)</f>
        <v>1.2549999999999999</v>
      </c>
      <c r="D67" s="850"/>
      <c r="E67" s="849" t="s">
        <v>1897</v>
      </c>
      <c r="G67" s="1009">
        <f>C66+G66</f>
        <v>101</v>
      </c>
      <c r="H67" s="850"/>
      <c r="I67" s="1264"/>
      <c r="J67" s="2685" t="s">
        <v>136</v>
      </c>
      <c r="K67" s="2685"/>
      <c r="L67" s="2685"/>
      <c r="M67" s="2685"/>
      <c r="N67" s="2685"/>
      <c r="O67" s="2685"/>
      <c r="P67" s="2685"/>
      <c r="Q67" s="2685"/>
      <c r="R67" s="2685"/>
      <c r="S67" s="819"/>
      <c r="U67" s="2712">
        <f>IF(J67="Rural project, Census Tract is High Resource (5 percentage points)",AC59,0)</f>
        <v>0</v>
      </c>
    </row>
    <row r="68" spans="1:22" ht="15" customHeight="1" thickBot="1">
      <c r="A68" s="819"/>
      <c r="B68" s="825"/>
      <c r="C68" s="825"/>
      <c r="D68" s="825"/>
      <c r="E68" s="825"/>
      <c r="F68" s="825"/>
      <c r="G68" s="825"/>
      <c r="H68" s="825"/>
      <c r="I68" s="1265"/>
      <c r="J68" s="825"/>
      <c r="K68" s="825"/>
      <c r="L68" s="825"/>
      <c r="M68" s="825"/>
      <c r="N68" s="825"/>
      <c r="O68" s="825"/>
      <c r="P68" s="825"/>
      <c r="Q68" s="825"/>
      <c r="R68" s="825"/>
      <c r="S68" s="819"/>
      <c r="U68" s="2713"/>
    </row>
    <row r="69" spans="1:22" ht="15" customHeight="1">
      <c r="A69" s="819"/>
      <c r="B69" s="819"/>
      <c r="C69" s="819"/>
      <c r="D69" s="819"/>
      <c r="E69" s="819"/>
      <c r="F69" s="819"/>
      <c r="G69" s="819"/>
      <c r="H69" s="819"/>
      <c r="I69" s="819"/>
      <c r="J69" s="819"/>
      <c r="K69" s="819"/>
      <c r="L69" s="819"/>
      <c r="M69" s="819"/>
      <c r="N69" s="819"/>
      <c r="O69" s="819"/>
      <c r="P69" s="819"/>
      <c r="Q69" s="819"/>
      <c r="R69" s="819"/>
      <c r="S69" s="819"/>
      <c r="U69" s="2716">
        <f>SUM(U61:U68)</f>
        <v>0</v>
      </c>
    </row>
    <row r="70" spans="1:22" ht="15" customHeight="1" thickBot="1">
      <c r="A70" s="819"/>
      <c r="B70" s="2683" t="s">
        <v>1816</v>
      </c>
      <c r="C70" s="2683"/>
      <c r="D70" s="820"/>
      <c r="E70" s="820"/>
      <c r="F70" s="820"/>
      <c r="G70" s="820"/>
      <c r="H70" s="819"/>
      <c r="I70" s="819"/>
      <c r="J70" s="819"/>
      <c r="K70" s="819"/>
      <c r="L70" s="819"/>
      <c r="M70" s="819"/>
      <c r="N70" s="819"/>
      <c r="O70" s="819"/>
      <c r="P70" s="819"/>
      <c r="Q70" s="819"/>
      <c r="R70" s="819"/>
      <c r="S70" s="819"/>
      <c r="U70" s="2717"/>
      <c r="V70" s="638" t="s">
        <v>2031</v>
      </c>
    </row>
    <row r="71" spans="1:22" ht="15" customHeight="1">
      <c r="A71" s="819"/>
      <c r="B71" s="2684" t="s">
        <v>1820</v>
      </c>
      <c r="C71" s="2684"/>
      <c r="D71" s="2684"/>
      <c r="E71" s="820"/>
      <c r="F71" s="820"/>
      <c r="G71" s="834">
        <f>G53*(1-J58)</f>
        <v>24888267.01759911</v>
      </c>
      <c r="H71" s="819"/>
      <c r="I71" s="819"/>
      <c r="J71" s="852"/>
      <c r="K71" s="1160" t="s">
        <v>1822</v>
      </c>
      <c r="L71" s="1160"/>
      <c r="M71" s="1160"/>
      <c r="N71" s="1160"/>
      <c r="O71" s="1160"/>
      <c r="P71" s="819"/>
      <c r="Q71" s="2671">
        <f>'Basis &amp; Credits'!T23+'Basis &amp; Credits'!Y23+'Basis &amp; Credits'!AD23+'Basis &amp; Credits'!AI23</f>
        <v>25763788</v>
      </c>
      <c r="R71" s="2671"/>
      <c r="S71" s="819"/>
    </row>
    <row r="72" spans="1:22" ht="15" customHeight="1">
      <c r="A72" s="819"/>
      <c r="B72" s="2673" t="s">
        <v>1821</v>
      </c>
      <c r="C72" s="2673"/>
      <c r="D72" s="2673"/>
      <c r="E72" s="820"/>
      <c r="F72" s="820"/>
      <c r="G72" s="834">
        <f>G71*C67</f>
        <v>31234775.107086878</v>
      </c>
      <c r="H72" s="819"/>
      <c r="I72" s="819"/>
      <c r="J72" s="852"/>
      <c r="K72" s="1266"/>
      <c r="L72" s="1266"/>
      <c r="M72" s="1266"/>
      <c r="N72" s="1266"/>
      <c r="O72" s="1266"/>
      <c r="P72" s="819"/>
      <c r="Q72" s="2665"/>
      <c r="R72" s="2665"/>
      <c r="S72" s="819"/>
    </row>
    <row r="73" spans="1:22" ht="15" customHeight="1">
      <c r="A73" s="819"/>
      <c r="B73" s="1003"/>
      <c r="C73" s="1004"/>
      <c r="D73" s="1005"/>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74">
        <f>$G$72</f>
        <v>31234775.107086878</v>
      </c>
      <c r="C75" s="2675"/>
      <c r="D75" s="2675"/>
      <c r="E75" s="2675"/>
      <c r="F75" s="2675"/>
      <c r="G75" s="2675"/>
      <c r="H75" s="853"/>
      <c r="I75" s="2676" t="s">
        <v>155</v>
      </c>
      <c r="J75" s="2668" t="s">
        <v>1096</v>
      </c>
      <c r="K75" s="2676">
        <v>1</v>
      </c>
      <c r="L75" s="819"/>
      <c r="M75" s="825"/>
      <c r="N75" s="851"/>
      <c r="O75" s="1055">
        <f>$Q$71</f>
        <v>25763788</v>
      </c>
      <c r="P75" s="2668" t="s">
        <v>2221</v>
      </c>
      <c r="Q75" s="2677" t="s">
        <v>154</v>
      </c>
      <c r="R75" s="2714">
        <f>((B75/B76)+((1-(O75/O76))/2))+U69</f>
        <v>0.84642418214420989</v>
      </c>
    </row>
    <row r="76" spans="1:22" ht="15" customHeight="1" thickBot="1">
      <c r="A76" s="819"/>
      <c r="B76" s="2678">
        <f>'Sources and Uses Budget'!$C$104+$Q$46-($E$50+$E$51)*(1-$J$58)</f>
        <v>52978060</v>
      </c>
      <c r="C76" s="2679"/>
      <c r="D76" s="2679"/>
      <c r="E76" s="2679"/>
      <c r="F76" s="2679"/>
      <c r="G76" s="2678"/>
      <c r="H76" s="819"/>
      <c r="I76" s="2676"/>
      <c r="J76" s="2668"/>
      <c r="K76" s="2676"/>
      <c r="L76" s="819"/>
      <c r="M76" s="1036"/>
      <c r="N76" s="819"/>
      <c r="O76" s="1054">
        <f>B76</f>
        <v>52978060</v>
      </c>
      <c r="P76" s="2668"/>
      <c r="Q76" s="2677"/>
      <c r="R76" s="271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59" t="s">
        <v>1815</v>
      </c>
      <c r="C79" s="833"/>
      <c r="D79" s="833"/>
      <c r="E79" s="833"/>
      <c r="F79" s="833"/>
      <c r="G79" s="833"/>
      <c r="H79" s="833"/>
      <c r="I79" s="833"/>
      <c r="J79" s="833"/>
      <c r="K79" s="833"/>
      <c r="L79" s="833"/>
      <c r="M79" s="833"/>
      <c r="N79" s="833"/>
      <c r="O79" s="833"/>
      <c r="P79" s="833"/>
      <c r="Q79" s="833"/>
      <c r="R79" s="833"/>
      <c r="S79" s="819"/>
    </row>
    <row r="80" spans="1:22" ht="15" customHeight="1">
      <c r="A80" s="819"/>
      <c r="C80" s="1159"/>
      <c r="D80" s="1159"/>
      <c r="E80" s="1159"/>
      <c r="F80" s="1159"/>
      <c r="G80" s="1159"/>
      <c r="H80" s="1159"/>
      <c r="I80" s="1159"/>
      <c r="J80" s="1159"/>
      <c r="K80" s="1159"/>
      <c r="L80" s="1159"/>
      <c r="M80" s="1159"/>
      <c r="N80" s="1159"/>
      <c r="O80" s="1159"/>
      <c r="P80" s="819"/>
      <c r="Q80" s="819"/>
      <c r="R80" s="819"/>
      <c r="S80" s="819"/>
    </row>
    <row r="81" spans="1:19" ht="15" customHeight="1">
      <c r="A81" s="819"/>
      <c r="B81" s="796" t="s">
        <v>2096</v>
      </c>
      <c r="C81" s="1042"/>
      <c r="D81" s="1042"/>
      <c r="E81" s="1042"/>
      <c r="F81" s="1042"/>
      <c r="G81" s="819"/>
      <c r="H81" s="1042"/>
      <c r="I81" s="836"/>
      <c r="J81" s="1042"/>
      <c r="K81" s="796" t="s">
        <v>2097</v>
      </c>
      <c r="L81" s="1042"/>
      <c r="M81" s="1042"/>
      <c r="N81" s="1042"/>
      <c r="O81" s="1042"/>
      <c r="P81" s="819"/>
      <c r="Q81" s="819"/>
      <c r="R81" s="819"/>
      <c r="S81" s="819"/>
    </row>
    <row r="82" spans="1:19" ht="15" customHeight="1">
      <c r="A82" s="819"/>
      <c r="B82" s="1283" t="s">
        <v>2037</v>
      </c>
      <c r="C82" s="1272"/>
      <c r="D82" s="1267"/>
      <c r="E82" s="1272"/>
      <c r="F82" s="1272"/>
      <c r="G82" s="1274"/>
      <c r="H82" s="819"/>
      <c r="I82" s="836"/>
      <c r="J82" s="819"/>
      <c r="L82" s="819"/>
      <c r="M82" s="819"/>
      <c r="N82" s="819"/>
      <c r="O82" s="819"/>
      <c r="P82" s="819"/>
      <c r="Q82" s="819"/>
      <c r="R82" s="819"/>
      <c r="S82" s="819"/>
    </row>
    <row r="83" spans="1:19" ht="15" customHeight="1">
      <c r="A83" s="819"/>
      <c r="B83" s="1281" t="s">
        <v>2040</v>
      </c>
      <c r="C83" s="1272"/>
      <c r="D83" s="1273"/>
      <c r="E83" s="1270"/>
      <c r="F83" s="1270"/>
      <c r="G83" s="1274"/>
      <c r="H83" s="819"/>
      <c r="I83" s="836"/>
      <c r="J83" s="819"/>
      <c r="K83" s="1255" t="s">
        <v>1898</v>
      </c>
      <c r="L83" s="819"/>
      <c r="M83" s="819"/>
      <c r="N83" s="819"/>
      <c r="O83" s="819"/>
      <c r="P83" s="819"/>
      <c r="Q83" s="819"/>
      <c r="R83" s="819"/>
      <c r="S83" s="819"/>
    </row>
    <row r="84" spans="1:19" ht="15" customHeight="1">
      <c r="A84" s="819"/>
      <c r="B84" s="1282" t="s">
        <v>2177</v>
      </c>
      <c r="C84" s="1275"/>
      <c r="D84" s="1276"/>
      <c r="E84" s="1268"/>
      <c r="F84" s="1268"/>
      <c r="G84" s="1277"/>
      <c r="H84" s="819"/>
      <c r="I84" s="836"/>
      <c r="J84" s="819"/>
      <c r="K84" s="1255" t="s">
        <v>1829</v>
      </c>
      <c r="L84" s="1156"/>
      <c r="M84" s="1156"/>
      <c r="N84" s="1156"/>
      <c r="O84" s="1156"/>
      <c r="P84" s="1156"/>
      <c r="Q84" s="2669"/>
      <c r="R84" s="2669"/>
      <c r="S84" s="819"/>
    </row>
    <row r="85" spans="1:19" ht="15" customHeight="1">
      <c r="A85" s="819"/>
      <c r="B85" s="1282" t="s">
        <v>2036</v>
      </c>
      <c r="C85" s="1278"/>
      <c r="D85" s="1279"/>
      <c r="E85" s="1271"/>
      <c r="F85" s="1271"/>
      <c r="G85" s="1280"/>
      <c r="H85" s="819"/>
      <c r="I85" s="836"/>
      <c r="J85" s="819"/>
      <c r="L85" s="1157"/>
      <c r="M85" s="1157"/>
      <c r="N85" s="1157"/>
      <c r="O85" s="1157"/>
      <c r="P85" s="1157"/>
      <c r="S85" s="819"/>
    </row>
    <row r="86" spans="1:19" ht="15" customHeight="1">
      <c r="A86" s="819"/>
      <c r="B86" s="1283" t="s">
        <v>2120</v>
      </c>
      <c r="C86" s="1275"/>
      <c r="D86" s="1276"/>
      <c r="E86" s="1268"/>
      <c r="F86" s="1268"/>
      <c r="G86" s="1269"/>
      <c r="H86" s="819"/>
      <c r="I86" s="836"/>
      <c r="J86" s="819"/>
      <c r="L86" s="1158"/>
      <c r="M86" s="1158"/>
      <c r="N86" s="1158"/>
      <c r="O86" s="1332" t="s">
        <v>1128</v>
      </c>
      <c r="P86" s="1158"/>
      <c r="Q86" s="819"/>
      <c r="R86" s="597"/>
      <c r="S86" s="819"/>
    </row>
    <row r="87" spans="1:19" ht="15" customHeight="1">
      <c r="A87" s="819"/>
      <c r="B87" s="1283" t="s">
        <v>2203</v>
      </c>
      <c r="C87" s="1278"/>
      <c r="D87" s="1267"/>
      <c r="E87" s="1272"/>
      <c r="F87" s="1272"/>
      <c r="G87" s="1337"/>
      <c r="H87" s="819"/>
      <c r="I87" s="836"/>
      <c r="J87" s="819"/>
      <c r="S87" s="819"/>
    </row>
    <row r="88" spans="1:19" ht="15" customHeight="1">
      <c r="A88" s="819"/>
      <c r="B88" s="1333"/>
      <c r="C88" s="1334"/>
      <c r="D88" s="1335"/>
      <c r="E88" s="1336" t="s">
        <v>2035</v>
      </c>
      <c r="F88" s="1270"/>
      <c r="G88" s="1270" t="s">
        <v>1097</v>
      </c>
      <c r="H88" s="819"/>
      <c r="I88" s="836"/>
      <c r="J88" s="819"/>
      <c r="K88" s="1256" t="s">
        <v>1828</v>
      </c>
      <c r="L88" s="1156"/>
      <c r="M88" s="1156"/>
      <c r="N88" s="1156"/>
      <c r="O88" s="1156"/>
      <c r="P88" s="1156"/>
      <c r="Q88" s="819"/>
      <c r="R88" s="597"/>
      <c r="S88" s="819"/>
    </row>
    <row r="89" spans="1:19" ht="15" customHeight="1">
      <c r="A89" s="819"/>
      <c r="B89" s="854" t="s">
        <v>1090</v>
      </c>
      <c r="C89" s="855" t="s">
        <v>1091</v>
      </c>
      <c r="D89" s="1284" t="s">
        <v>2038</v>
      </c>
      <c r="E89" s="1284" t="s">
        <v>2121</v>
      </c>
      <c r="F89" s="856"/>
      <c r="G89" s="856" t="s">
        <v>2039</v>
      </c>
      <c r="H89" s="819"/>
      <c r="I89" s="836"/>
      <c r="J89" s="819"/>
      <c r="K89" s="1256" t="s">
        <v>1830</v>
      </c>
      <c r="L89" s="1157"/>
      <c r="M89" s="1157"/>
      <c r="N89" s="1157"/>
      <c r="O89" s="1157"/>
      <c r="P89" s="1157"/>
      <c r="Q89" s="2669"/>
      <c r="R89" s="2669"/>
      <c r="S89" s="819"/>
    </row>
    <row r="90" spans="1:19" ht="15" customHeight="1">
      <c r="A90" s="597"/>
      <c r="B90" s="1540" t="s">
        <v>2525</v>
      </c>
      <c r="C90" s="1541">
        <v>20</v>
      </c>
      <c r="D90" s="1542">
        <v>833.8</v>
      </c>
      <c r="E90" s="1542">
        <f>'Subsidy Contract Calculation'!E4</f>
        <v>999</v>
      </c>
      <c r="F90" s="864"/>
      <c r="G90" s="857">
        <f>MAX(($E90-$D90)*$C90*12,0)</f>
        <v>39648.000000000015</v>
      </c>
      <c r="H90" s="819"/>
      <c r="I90" s="836"/>
      <c r="J90" s="819"/>
      <c r="K90" s="1256" t="s">
        <v>1831</v>
      </c>
      <c r="L90" s="1157"/>
      <c r="M90" s="1157"/>
      <c r="N90" s="1157"/>
      <c r="O90" s="1157"/>
      <c r="P90" s="1157"/>
      <c r="Q90" s="2672"/>
      <c r="R90" s="2672"/>
      <c r="S90" s="819"/>
    </row>
    <row r="91" spans="1:19" ht="15" customHeight="1">
      <c r="A91" s="597"/>
      <c r="B91" s="1540" t="s">
        <v>2526</v>
      </c>
      <c r="C91" s="1541">
        <v>5</v>
      </c>
      <c r="D91" s="1542">
        <v>993.4</v>
      </c>
      <c r="E91" s="1542">
        <f>'Subsidy Contract Calculation'!E8</f>
        <v>1207</v>
      </c>
      <c r="F91" s="864"/>
      <c r="G91" s="857">
        <f t="shared" ref="G91:G97" si="0">MAX(($E91-$D91)*$C91*12,0)</f>
        <v>12816</v>
      </c>
      <c r="H91" s="819"/>
      <c r="I91" s="836"/>
      <c r="J91" s="819"/>
      <c r="K91" s="1256" t="s">
        <v>1835</v>
      </c>
      <c r="L91" s="1157"/>
      <c r="M91" s="1157"/>
      <c r="N91" s="1157"/>
      <c r="O91" s="1157"/>
      <c r="P91" s="1157"/>
      <c r="Q91" s="2670">
        <f>IFERROR(Q89/Q90,0)</f>
        <v>0</v>
      </c>
      <c r="R91" s="2670"/>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57" t="s">
        <v>1836</v>
      </c>
      <c r="L93" s="1155"/>
      <c r="M93" s="1155"/>
      <c r="N93" s="1155"/>
      <c r="O93" s="1155"/>
      <c r="P93" s="1155"/>
      <c r="Q93" s="2671">
        <f>MAX(Q84,Q91)</f>
        <v>0</v>
      </c>
      <c r="R93" s="2671"/>
      <c r="S93" s="819"/>
    </row>
    <row r="94" spans="1:19" ht="15" customHeight="1">
      <c r="A94" s="597"/>
      <c r="B94" s="797" t="s">
        <v>681</v>
      </c>
      <c r="C94" s="798"/>
      <c r="D94" s="799"/>
      <c r="E94" s="800"/>
      <c r="F94" s="864"/>
      <c r="G94" s="857">
        <f t="shared" si="0"/>
        <v>0</v>
      </c>
      <c r="H94" s="819"/>
      <c r="I94" s="836"/>
      <c r="J94" s="819"/>
      <c r="K94" s="1257"/>
      <c r="L94" s="1155"/>
      <c r="M94" s="1155"/>
      <c r="N94" s="1155"/>
      <c r="O94" s="1155"/>
      <c r="P94" s="1155"/>
      <c r="Q94" s="1328"/>
      <c r="R94" s="1328"/>
      <c r="S94" s="819"/>
    </row>
    <row r="95" spans="1:19" ht="15" customHeight="1">
      <c r="A95" s="597"/>
      <c r="B95" s="797" t="s">
        <v>681</v>
      </c>
      <c r="C95" s="798"/>
      <c r="D95" s="799"/>
      <c r="E95" s="800"/>
      <c r="F95" s="864"/>
      <c r="G95" s="857">
        <f t="shared" si="0"/>
        <v>0</v>
      </c>
      <c r="H95" s="819"/>
      <c r="I95" s="836"/>
      <c r="J95" s="819"/>
      <c r="K95" s="1257"/>
      <c r="L95" s="1155"/>
      <c r="M95" s="1155"/>
      <c r="N95" s="1155"/>
      <c r="O95" s="1155"/>
      <c r="P95" s="1155"/>
      <c r="Q95" s="1328"/>
      <c r="R95" s="1328"/>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1" t="s">
        <v>1934</v>
      </c>
      <c r="F98" s="1041"/>
      <c r="G98" s="1085">
        <f>SUM(G90:G97)</f>
        <v>52464.000000000015</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6">
        <f>G98+Q93</f>
        <v>52464.000000000015</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6">
        <f>D100-(D100*D101)</f>
        <v>49840.800000000017</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6">
        <f>D102/D108</f>
        <v>43339.826086956542</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1">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07">
        <f>PV(D107/12,D106*12,-D104/12, ,0)</f>
        <v>488267.01759911125</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16"/>
  <sheetViews>
    <sheetView view="pageBreakPreview" topLeftCell="A31" zoomScale="85" zoomScaleNormal="100" zoomScaleSheetLayoutView="85" workbookViewId="0">
      <selection activeCell="S63" sqref="S6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924360</v>
      </c>
      <c r="F4" s="610"/>
      <c r="G4" s="610">
        <f>E4*$C$4</f>
        <v>947468.99999999988</v>
      </c>
      <c r="H4" s="610"/>
      <c r="I4" s="610">
        <f>G4*$C$4</f>
        <v>971155.72499999974</v>
      </c>
      <c r="J4" s="610"/>
      <c r="K4" s="610">
        <f>I4*$C$4</f>
        <v>995434.61812499969</v>
      </c>
      <c r="L4" s="610"/>
      <c r="M4" s="610">
        <f>K4*$C$4</f>
        <v>1020320.4835781245</v>
      </c>
      <c r="N4" s="610"/>
      <c r="O4" s="610">
        <f>M4*$C$4</f>
        <v>1045828.4956675776</v>
      </c>
      <c r="P4" s="610"/>
      <c r="Q4" s="610">
        <f>O4*$C$4</f>
        <v>1071974.2080592669</v>
      </c>
      <c r="R4" s="610"/>
      <c r="S4" s="610">
        <f>Q4*$C$4</f>
        <v>1098773.5632607485</v>
      </c>
      <c r="T4" s="610"/>
      <c r="U4" s="610">
        <f>S4*$C$4</f>
        <v>1126242.9023422671</v>
      </c>
      <c r="V4" s="610"/>
      <c r="W4" s="610">
        <f>U4*$C$4</f>
        <v>1154398.9749008238</v>
      </c>
      <c r="X4" s="610"/>
      <c r="Y4" s="610">
        <f>W4*$C$4</f>
        <v>1183258.9492733444</v>
      </c>
      <c r="Z4" s="610"/>
      <c r="AA4" s="610">
        <f>Y4*$C$4</f>
        <v>1212840.4230051779</v>
      </c>
      <c r="AB4" s="610"/>
      <c r="AC4" s="610">
        <f>AA4*$C$4</f>
        <v>1243161.4335803073</v>
      </c>
      <c r="AD4" s="610"/>
      <c r="AE4" s="610">
        <f>AC4*$C$4</f>
        <v>1274240.4694198149</v>
      </c>
      <c r="AF4" s="610"/>
      <c r="AG4" s="610">
        <f>AE4*$C$4</f>
        <v>1306096.4811553101</v>
      </c>
      <c r="AH4" s="610"/>
    </row>
    <row r="5" spans="1:34" ht="14.25">
      <c r="A5" s="600"/>
      <c r="B5" s="600" t="s">
        <v>1092</v>
      </c>
      <c r="C5" s="635">
        <f>IF(Application!$D$214="Special Needs",0.1,0.05)</f>
        <v>0.05</v>
      </c>
      <c r="D5" s="600"/>
      <c r="E5" s="612">
        <f>-E4*$C$5</f>
        <v>-46218</v>
      </c>
      <c r="F5" s="612"/>
      <c r="G5" s="612">
        <f>-G4*$C$5</f>
        <v>-47373.45</v>
      </c>
      <c r="H5" s="612"/>
      <c r="I5" s="612">
        <f>-I4*$C$5</f>
        <v>-48557.78624999999</v>
      </c>
      <c r="J5" s="612"/>
      <c r="K5" s="612">
        <f>-K4*$C$5</f>
        <v>-49771.730906249984</v>
      </c>
      <c r="L5" s="612"/>
      <c r="M5" s="612">
        <f>-M4*$C$5</f>
        <v>-51016.024178906227</v>
      </c>
      <c r="N5" s="612"/>
      <c r="O5" s="612">
        <f>-O4*$C$5</f>
        <v>-52291.424783378883</v>
      </c>
      <c r="P5" s="612"/>
      <c r="Q5" s="612">
        <f>-Q4*$C$5</f>
        <v>-53598.710402963348</v>
      </c>
      <c r="R5" s="612"/>
      <c r="S5" s="612">
        <f>-S4*$C$5</f>
        <v>-54938.678163037432</v>
      </c>
      <c r="T5" s="612"/>
      <c r="U5" s="612">
        <f>-U4*$C$5</f>
        <v>-56312.145117113359</v>
      </c>
      <c r="V5" s="612"/>
      <c r="W5" s="612">
        <f>-W4*$C$5</f>
        <v>-57719.948745041191</v>
      </c>
      <c r="X5" s="612"/>
      <c r="Y5" s="612">
        <f>-Y4*$C$5</f>
        <v>-59162.947463667224</v>
      </c>
      <c r="Z5" s="612"/>
      <c r="AA5" s="612">
        <f>-AA4*$C$5</f>
        <v>-60642.021150258894</v>
      </c>
      <c r="AB5" s="612"/>
      <c r="AC5" s="612">
        <f>-AC4*$C$5</f>
        <v>-62158.071679015367</v>
      </c>
      <c r="AD5" s="612"/>
      <c r="AE5" s="612">
        <f>-AE4*$C$5</f>
        <v>-63712.023470990745</v>
      </c>
      <c r="AF5" s="612"/>
      <c r="AG5" s="612">
        <f>-AG4*$C$5</f>
        <v>-65304.824057765509</v>
      </c>
      <c r="AH5" s="600"/>
    </row>
    <row r="6" spans="1:34" ht="14.25">
      <c r="A6" s="600" t="s">
        <v>1191</v>
      </c>
      <c r="B6" s="600"/>
      <c r="C6" s="634">
        <v>1.0249999999999999</v>
      </c>
      <c r="D6" s="600"/>
      <c r="E6" s="613">
        <f>Application!Z787</f>
        <v>194232</v>
      </c>
      <c r="F6" s="613"/>
      <c r="G6" s="613">
        <f>E6*$C$6</f>
        <v>199087.8</v>
      </c>
      <c r="H6" s="613"/>
      <c r="I6" s="613">
        <f>G6*$C$6</f>
        <v>204064.99499999997</v>
      </c>
      <c r="J6" s="613"/>
      <c r="K6" s="613">
        <f>I6*$C$6</f>
        <v>209166.61987499995</v>
      </c>
      <c r="L6" s="613"/>
      <c r="M6" s="613">
        <f>K6*$C$6</f>
        <v>214395.78537187492</v>
      </c>
      <c r="N6" s="613"/>
      <c r="O6" s="613">
        <f>M6*$C$6</f>
        <v>219755.68000617178</v>
      </c>
      <c r="P6" s="613"/>
      <c r="Q6" s="613">
        <f>O6*$C$6</f>
        <v>225249.57200632605</v>
      </c>
      <c r="R6" s="613"/>
      <c r="S6" s="613">
        <f>Q6*$C$6</f>
        <v>230880.81130648419</v>
      </c>
      <c r="T6" s="613"/>
      <c r="U6" s="613">
        <f>S6*$C$6</f>
        <v>236652.83158914628</v>
      </c>
      <c r="V6" s="613"/>
      <c r="W6" s="613">
        <f>U6*$C$6</f>
        <v>242569.15237887492</v>
      </c>
      <c r="X6" s="613"/>
      <c r="Y6" s="613">
        <f>W6*$C$6</f>
        <v>248633.38118834677</v>
      </c>
      <c r="Z6" s="613"/>
      <c r="AA6" s="613">
        <f>Y6*$C$6</f>
        <v>254849.21571805541</v>
      </c>
      <c r="AB6" s="613"/>
      <c r="AC6" s="613">
        <f>AA6*$C$6</f>
        <v>261220.44611100678</v>
      </c>
      <c r="AD6" s="613"/>
      <c r="AE6" s="613">
        <f>AC6*$C$6</f>
        <v>267750.95726378192</v>
      </c>
      <c r="AF6" s="613"/>
      <c r="AG6" s="613">
        <f>AE6*$C$6</f>
        <v>274444.73119537643</v>
      </c>
      <c r="AH6" s="600"/>
    </row>
    <row r="7" spans="1:34" ht="14.25">
      <c r="A7" s="600"/>
      <c r="B7" s="600" t="s">
        <v>1092</v>
      </c>
      <c r="C7" s="635">
        <f>IF(Application!$D$214="Special Needs",0.1,0.05)</f>
        <v>0.05</v>
      </c>
      <c r="D7" s="600"/>
      <c r="E7" s="612">
        <f>-E6*$C$7</f>
        <v>-9711.6</v>
      </c>
      <c r="F7" s="612"/>
      <c r="G7" s="612">
        <f>-G6*$C$7</f>
        <v>-9954.39</v>
      </c>
      <c r="H7" s="612"/>
      <c r="I7" s="612">
        <f>-I6*$C$7</f>
        <v>-10203.249749999999</v>
      </c>
      <c r="J7" s="612"/>
      <c r="K7" s="612">
        <f>-K6*$C$7</f>
        <v>-10458.330993749998</v>
      </c>
      <c r="L7" s="612"/>
      <c r="M7" s="612">
        <f>-M6*$C$7</f>
        <v>-10719.789268593748</v>
      </c>
      <c r="N7" s="612"/>
      <c r="O7" s="612">
        <f>-O6*$C$7</f>
        <v>-10987.784000308589</v>
      </c>
      <c r="P7" s="612"/>
      <c r="Q7" s="612">
        <f>-Q6*$C$7</f>
        <v>-11262.478600316303</v>
      </c>
      <c r="R7" s="612"/>
      <c r="S7" s="612">
        <f>-S6*$C$7</f>
        <v>-11544.040565324211</v>
      </c>
      <c r="T7" s="612"/>
      <c r="U7" s="612">
        <f>-U6*$C$7</f>
        <v>-11832.641579457315</v>
      </c>
      <c r="V7" s="612"/>
      <c r="W7" s="612">
        <f>-W6*$C$7</f>
        <v>-12128.457618943747</v>
      </c>
      <c r="X7" s="612"/>
      <c r="Y7" s="612">
        <f>-Y6*$C$7</f>
        <v>-12431.66905941734</v>
      </c>
      <c r="Z7" s="612"/>
      <c r="AA7" s="612">
        <f>-AA6*$C$7</f>
        <v>-12742.460785902771</v>
      </c>
      <c r="AB7" s="612"/>
      <c r="AC7" s="612">
        <f>-AC6*$C$7</f>
        <v>-13061.022305550339</v>
      </c>
      <c r="AD7" s="612"/>
      <c r="AE7" s="612">
        <f>-AE6*$C$7</f>
        <v>-13387.547863189096</v>
      </c>
      <c r="AF7" s="612"/>
      <c r="AG7" s="612">
        <f>-AG6*$C$7</f>
        <v>-13722.236559768822</v>
      </c>
      <c r="AH7" s="600"/>
    </row>
    <row r="8" spans="1:34" ht="14.25">
      <c r="A8" s="600" t="s">
        <v>289</v>
      </c>
      <c r="B8" s="600"/>
      <c r="C8" s="634">
        <v>1.0249999999999999</v>
      </c>
      <c r="D8" s="600"/>
      <c r="E8" s="613">
        <f>Application!Z795</f>
        <v>14952</v>
      </c>
      <c r="F8" s="613"/>
      <c r="G8" s="613">
        <f>E8*$C$8</f>
        <v>15325.8</v>
      </c>
      <c r="H8" s="613"/>
      <c r="I8" s="613">
        <f>G8*$C$8</f>
        <v>15708.944999999998</v>
      </c>
      <c r="J8" s="613"/>
      <c r="K8" s="613">
        <f>I8*$C$8</f>
        <v>16101.668624999997</v>
      </c>
      <c r="L8" s="613"/>
      <c r="M8" s="613">
        <f>K8*$C$8</f>
        <v>16504.210340624995</v>
      </c>
      <c r="N8" s="613"/>
      <c r="O8" s="613">
        <f>M8*$C$8</f>
        <v>16916.81559914062</v>
      </c>
      <c r="P8" s="613"/>
      <c r="Q8" s="613">
        <f>O8*$C$8</f>
        <v>17339.735989119134</v>
      </c>
      <c r="R8" s="613"/>
      <c r="S8" s="613">
        <f>Q8*$C$8</f>
        <v>17773.22938884711</v>
      </c>
      <c r="T8" s="613"/>
      <c r="U8" s="613">
        <f>S8*$C$8</f>
        <v>18217.560123568288</v>
      </c>
      <c r="V8" s="613"/>
      <c r="W8" s="613">
        <f>U8*$C$8</f>
        <v>18672.999126657494</v>
      </c>
      <c r="X8" s="613"/>
      <c r="Y8" s="613">
        <f>W8*$C$8</f>
        <v>19139.824104823929</v>
      </c>
      <c r="Z8" s="613"/>
      <c r="AA8" s="613">
        <f>Y8*$C$8</f>
        <v>19618.319707444527</v>
      </c>
      <c r="AB8" s="613"/>
      <c r="AC8" s="613">
        <f>AA8*$C$8</f>
        <v>20108.777700130639</v>
      </c>
      <c r="AD8" s="613"/>
      <c r="AE8" s="613">
        <f>AC8*$C$8</f>
        <v>20611.497142633903</v>
      </c>
      <c r="AF8" s="613"/>
      <c r="AG8" s="613">
        <f>AE8*$C$8</f>
        <v>21126.784571199751</v>
      </c>
      <c r="AH8" s="600"/>
    </row>
    <row r="9" spans="1:34" ht="14.25">
      <c r="A9" s="600"/>
      <c r="B9" s="600" t="s">
        <v>1092</v>
      </c>
      <c r="C9" s="635">
        <f>IF(Application!$D$214="Special Needs",0.1,0.05)</f>
        <v>0.05</v>
      </c>
      <c r="D9" s="600"/>
      <c r="E9" s="632">
        <f>-E8*$C$9</f>
        <v>-747.6</v>
      </c>
      <c r="F9" s="612"/>
      <c r="G9" s="632">
        <f>-G8*$C$9</f>
        <v>-766.29</v>
      </c>
      <c r="H9" s="612"/>
      <c r="I9" s="632">
        <f>-I8*$C$9</f>
        <v>-785.44724999999994</v>
      </c>
      <c r="J9" s="612"/>
      <c r="K9" s="632">
        <f>-K8*$C$9</f>
        <v>-805.08343124999988</v>
      </c>
      <c r="L9" s="612"/>
      <c r="M9" s="632">
        <f>-M8*$C$9</f>
        <v>-825.21051703124976</v>
      </c>
      <c r="N9" s="612"/>
      <c r="O9" s="632">
        <f>-O8*$C$9</f>
        <v>-845.84077995703103</v>
      </c>
      <c r="P9" s="612"/>
      <c r="Q9" s="632">
        <f>-Q8*$C$9</f>
        <v>-866.98679945595677</v>
      </c>
      <c r="R9" s="612"/>
      <c r="S9" s="632">
        <f>-S8*$C$9</f>
        <v>-888.66146944235561</v>
      </c>
      <c r="T9" s="612"/>
      <c r="U9" s="632">
        <f>-U8*$C$9</f>
        <v>-910.87800617841447</v>
      </c>
      <c r="V9" s="612"/>
      <c r="W9" s="632">
        <f>-W8*$C$9</f>
        <v>-933.64995633287481</v>
      </c>
      <c r="X9" s="612"/>
      <c r="Y9" s="632">
        <f>-Y8*$C$9</f>
        <v>-956.99120524119644</v>
      </c>
      <c r="Z9" s="612"/>
      <c r="AA9" s="632">
        <f>-AA8*$C$9</f>
        <v>-980.91598537222637</v>
      </c>
      <c r="AB9" s="612"/>
      <c r="AC9" s="632">
        <f>-AC8*$C$9</f>
        <v>-1005.438885006532</v>
      </c>
      <c r="AD9" s="612"/>
      <c r="AE9" s="632">
        <f>-AE8*$C$9</f>
        <v>-1030.5748571316951</v>
      </c>
      <c r="AF9" s="612"/>
      <c r="AG9" s="632">
        <f>-AG8*$C$9</f>
        <v>-1056.3392285599875</v>
      </c>
      <c r="AH9" s="600"/>
    </row>
    <row r="10" spans="1:34" ht="15">
      <c r="A10" s="614" t="s">
        <v>1192</v>
      </c>
      <c r="B10" s="614"/>
      <c r="C10" s="605"/>
      <c r="D10" s="614"/>
      <c r="E10" s="614">
        <f>SUM(E4:E9)</f>
        <v>1076866.7999999998</v>
      </c>
      <c r="F10" s="614"/>
      <c r="G10" s="614">
        <f>SUM(G4:G9)</f>
        <v>1103788.47</v>
      </c>
      <c r="H10" s="614"/>
      <c r="I10" s="614">
        <f>SUM(I4:I9)</f>
        <v>1131383.1817499998</v>
      </c>
      <c r="J10" s="614"/>
      <c r="K10" s="614">
        <f>SUM(K4:K9)</f>
        <v>1159667.7612937498</v>
      </c>
      <c r="L10" s="614"/>
      <c r="M10" s="614">
        <f>SUM(M4:M9)</f>
        <v>1188659.4553260931</v>
      </c>
      <c r="N10" s="614"/>
      <c r="O10" s="614">
        <f>SUM(O4:O9)</f>
        <v>1218375.9417092456</v>
      </c>
      <c r="P10" s="614"/>
      <c r="Q10" s="614">
        <f>SUM(Q4:Q9)</f>
        <v>1248835.3402519766</v>
      </c>
      <c r="R10" s="614"/>
      <c r="S10" s="614">
        <f>SUM(S4:S9)</f>
        <v>1280056.2237582759</v>
      </c>
      <c r="T10" s="614"/>
      <c r="U10" s="614">
        <f>SUM(U4:U9)</f>
        <v>1312057.6293522327</v>
      </c>
      <c r="V10" s="614"/>
      <c r="W10" s="614">
        <f>SUM(W4:W9)</f>
        <v>1344859.0700860382</v>
      </c>
      <c r="X10" s="614"/>
      <c r="Y10" s="614">
        <f>SUM(Y4:Y9)</f>
        <v>1378480.546838189</v>
      </c>
      <c r="Z10" s="614"/>
      <c r="AA10" s="614">
        <f>SUM(AA4:AA9)</f>
        <v>1412942.5605091441</v>
      </c>
      <c r="AB10" s="614"/>
      <c r="AC10" s="614">
        <f>SUM(AC4:AC9)</f>
        <v>1448266.1245218725</v>
      </c>
      <c r="AD10" s="614"/>
      <c r="AE10" s="614">
        <f>SUM(AE4:AE9)</f>
        <v>1484472.7776349189</v>
      </c>
      <c r="AF10" s="614"/>
      <c r="AG10" s="614">
        <f>SUM(AG4:AG9)</f>
        <v>1521584.5970757918</v>
      </c>
      <c r="AH10" s="614"/>
    </row>
    <row r="11" spans="1:34">
      <c r="A11" s="597"/>
      <c r="B11" s="597"/>
      <c r="C11" s="1545"/>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35762</v>
      </c>
      <c r="F14" s="610"/>
      <c r="G14" s="610">
        <f t="shared" ref="G14:G20" si="0">E14*$C$13</f>
        <v>37013.67</v>
      </c>
      <c r="H14" s="610"/>
      <c r="I14" s="610">
        <f t="shared" ref="I14:I20" si="1">G14*$C$13</f>
        <v>38309.148449999993</v>
      </c>
      <c r="J14" s="610"/>
      <c r="K14" s="610">
        <f t="shared" ref="K14:K20" si="2">I14*$C$13</f>
        <v>39649.968645749992</v>
      </c>
      <c r="L14" s="610"/>
      <c r="M14" s="610">
        <f t="shared" ref="M14:M20" si="3">K14*$C$13</f>
        <v>41037.71754835124</v>
      </c>
      <c r="N14" s="610"/>
      <c r="O14" s="610">
        <f t="shared" ref="O14:O20" si="4">M14*$C$13</f>
        <v>42474.037662543531</v>
      </c>
      <c r="P14" s="610"/>
      <c r="Q14" s="610">
        <f t="shared" ref="Q14:Q20" si="5">O14*$C$13</f>
        <v>43960.628980732552</v>
      </c>
      <c r="R14" s="610"/>
      <c r="S14" s="610">
        <f t="shared" ref="S14:S20" si="6">Q14*$C$13</f>
        <v>45499.250995058188</v>
      </c>
      <c r="T14" s="610"/>
      <c r="U14" s="610">
        <f t="shared" ref="U14:U20" si="7">S14*$C$13</f>
        <v>47091.724779885219</v>
      </c>
      <c r="V14" s="610"/>
      <c r="W14" s="610">
        <f t="shared" ref="W14:W20" si="8">U14*$C$13</f>
        <v>48739.935147181197</v>
      </c>
      <c r="X14" s="610"/>
      <c r="Y14" s="610">
        <f t="shared" ref="Y14:Y20" si="9">W14*$C$13</f>
        <v>50445.832877332534</v>
      </c>
      <c r="Z14" s="610"/>
      <c r="AA14" s="610">
        <f t="shared" ref="AA14:AA20" si="10">Y14*$C$13</f>
        <v>52211.437028039167</v>
      </c>
      <c r="AB14" s="610"/>
      <c r="AC14" s="610">
        <f t="shared" ref="AC14:AC20" si="11">AA14*$C$13</f>
        <v>54038.837324020533</v>
      </c>
      <c r="AD14" s="610"/>
      <c r="AE14" s="610">
        <f t="shared" ref="AE14:AE20" si="12">AC14*$C$13</f>
        <v>55930.19663036125</v>
      </c>
      <c r="AF14" s="610"/>
      <c r="AG14" s="610">
        <f t="shared" ref="AG14:AG20" si="13">AE14*$C$13</f>
        <v>57887.753512423886</v>
      </c>
      <c r="AH14" s="610"/>
    </row>
    <row r="15" spans="1:34" ht="14.25">
      <c r="A15" s="600" t="s">
        <v>517</v>
      </c>
      <c r="B15" s="600"/>
      <c r="C15" s="624"/>
      <c r="D15" s="600"/>
      <c r="E15" s="613">
        <f>Application!W827</f>
        <v>65666</v>
      </c>
      <c r="F15" s="613"/>
      <c r="G15" s="613">
        <f t="shared" si="0"/>
        <v>67964.31</v>
      </c>
      <c r="H15" s="613"/>
      <c r="I15" s="613">
        <f t="shared" si="1"/>
        <v>70343.060849999994</v>
      </c>
      <c r="J15" s="613"/>
      <c r="K15" s="613">
        <f t="shared" si="2"/>
        <v>72805.067979749991</v>
      </c>
      <c r="L15" s="613"/>
      <c r="M15" s="613">
        <f t="shared" si="3"/>
        <v>75353.245359041233</v>
      </c>
      <c r="N15" s="613"/>
      <c r="O15" s="613">
        <f t="shared" si="4"/>
        <v>77990.608946607666</v>
      </c>
      <c r="P15" s="613"/>
      <c r="Q15" s="613">
        <f t="shared" si="5"/>
        <v>80720.280259738924</v>
      </c>
      <c r="R15" s="613"/>
      <c r="S15" s="613">
        <f t="shared" si="6"/>
        <v>83545.490068829778</v>
      </c>
      <c r="T15" s="613"/>
      <c r="U15" s="613">
        <f t="shared" si="7"/>
        <v>86469.582221238816</v>
      </c>
      <c r="V15" s="613"/>
      <c r="W15" s="613">
        <f t="shared" si="8"/>
        <v>89496.017598982173</v>
      </c>
      <c r="X15" s="613"/>
      <c r="Y15" s="613">
        <f t="shared" si="9"/>
        <v>92628.378214946541</v>
      </c>
      <c r="Z15" s="613"/>
      <c r="AA15" s="613">
        <f t="shared" si="10"/>
        <v>95870.371452469655</v>
      </c>
      <c r="AB15" s="613"/>
      <c r="AC15" s="613">
        <f t="shared" si="11"/>
        <v>99225.834453306088</v>
      </c>
      <c r="AD15" s="613"/>
      <c r="AE15" s="613">
        <f t="shared" si="12"/>
        <v>102698.7386591718</v>
      </c>
      <c r="AF15" s="613"/>
      <c r="AG15" s="613">
        <f t="shared" si="13"/>
        <v>106293.1945122428</v>
      </c>
      <c r="AH15" s="600"/>
    </row>
    <row r="16" spans="1:34" ht="14.25">
      <c r="A16" s="600" t="s">
        <v>801</v>
      </c>
      <c r="B16" s="600"/>
      <c r="C16" s="624"/>
      <c r="D16" s="600"/>
      <c r="E16" s="613">
        <f>Application!W833</f>
        <v>72262</v>
      </c>
      <c r="F16" s="613"/>
      <c r="G16" s="613">
        <f t="shared" si="0"/>
        <v>74791.17</v>
      </c>
      <c r="H16" s="613"/>
      <c r="I16" s="613">
        <f t="shared" si="1"/>
        <v>77408.860949999987</v>
      </c>
      <c r="J16" s="613"/>
      <c r="K16" s="613">
        <f t="shared" si="2"/>
        <v>80118.171083249981</v>
      </c>
      <c r="L16" s="613"/>
      <c r="M16" s="613">
        <f t="shared" si="3"/>
        <v>82922.307071163727</v>
      </c>
      <c r="N16" s="613"/>
      <c r="O16" s="613">
        <f t="shared" si="4"/>
        <v>85824.587818654443</v>
      </c>
      <c r="P16" s="613"/>
      <c r="Q16" s="613">
        <f t="shared" si="5"/>
        <v>88828.448392307342</v>
      </c>
      <c r="R16" s="613"/>
      <c r="S16" s="613">
        <f t="shared" si="6"/>
        <v>91937.444086038086</v>
      </c>
      <c r="T16" s="613"/>
      <c r="U16" s="613">
        <f t="shared" si="7"/>
        <v>95155.254629049407</v>
      </c>
      <c r="V16" s="613"/>
      <c r="W16" s="613">
        <f t="shared" si="8"/>
        <v>98485.688541066134</v>
      </c>
      <c r="X16" s="613"/>
      <c r="Y16" s="613">
        <f t="shared" si="9"/>
        <v>101932.68764000344</v>
      </c>
      <c r="Z16" s="613"/>
      <c r="AA16" s="613">
        <f t="shared" si="10"/>
        <v>105500.33170740354</v>
      </c>
      <c r="AB16" s="613"/>
      <c r="AC16" s="613">
        <f t="shared" si="11"/>
        <v>109192.84331716265</v>
      </c>
      <c r="AD16" s="613"/>
      <c r="AE16" s="613">
        <f t="shared" si="12"/>
        <v>113014.59283326333</v>
      </c>
      <c r="AF16" s="613"/>
      <c r="AG16" s="613">
        <f t="shared" si="13"/>
        <v>116970.10358242755</v>
      </c>
      <c r="AH16" s="600"/>
    </row>
    <row r="17" spans="1:1023 1025:2047 2049:3071 3073:4095 4097:5119 5121:6143 6145:7167 7169:8191 8193:9215 9217:10239 10241:11263 11265:12287 12289:13311 13313:14335 14337:15359 15361:16383" ht="14.25">
      <c r="A17" s="600" t="s">
        <v>1196</v>
      </c>
      <c r="B17" s="600"/>
      <c r="C17" s="624"/>
      <c r="D17" s="600"/>
      <c r="E17" s="613">
        <f>Application!W840</f>
        <v>210110</v>
      </c>
      <c r="F17" s="613"/>
      <c r="G17" s="613">
        <f t="shared" si="0"/>
        <v>217463.84999999998</v>
      </c>
      <c r="H17" s="613"/>
      <c r="I17" s="613">
        <f t="shared" si="1"/>
        <v>225075.08474999995</v>
      </c>
      <c r="J17" s="613"/>
      <c r="K17" s="613">
        <f t="shared" si="2"/>
        <v>232952.71271624992</v>
      </c>
      <c r="L17" s="613"/>
      <c r="M17" s="613">
        <f t="shared" si="3"/>
        <v>241106.05766131866</v>
      </c>
      <c r="N17" s="613"/>
      <c r="O17" s="613">
        <f t="shared" si="4"/>
        <v>249544.76967946478</v>
      </c>
      <c r="P17" s="613"/>
      <c r="Q17" s="613">
        <f t="shared" si="5"/>
        <v>258278.83661824602</v>
      </c>
      <c r="R17" s="613"/>
      <c r="S17" s="613">
        <f t="shared" si="6"/>
        <v>267318.59589988459</v>
      </c>
      <c r="T17" s="613"/>
      <c r="U17" s="613">
        <f t="shared" si="7"/>
        <v>276674.74675638054</v>
      </c>
      <c r="V17" s="613"/>
      <c r="W17" s="613">
        <f t="shared" si="8"/>
        <v>286358.36289285385</v>
      </c>
      <c r="X17" s="613"/>
      <c r="Y17" s="613">
        <f t="shared" si="9"/>
        <v>296380.90559410374</v>
      </c>
      <c r="Z17" s="613"/>
      <c r="AA17" s="613">
        <f t="shared" si="10"/>
        <v>306754.23728989734</v>
      </c>
      <c r="AB17" s="613"/>
      <c r="AC17" s="613">
        <f t="shared" si="11"/>
        <v>317490.63559504371</v>
      </c>
      <c r="AD17" s="613"/>
      <c r="AE17" s="613">
        <f t="shared" si="12"/>
        <v>328602.80784087023</v>
      </c>
      <c r="AF17" s="613"/>
      <c r="AG17" s="613">
        <f t="shared" si="13"/>
        <v>340103.90611530066</v>
      </c>
    </row>
    <row r="18" spans="1:1023 1025:2047 2049:3071 3073:4095 4097:5119 5121:6143 6145:7167 7169:8191 8193:9215 9217:10239 10241:11263 11265:12287 12289:13311 13313:14335 14337:15359 15361:16383" ht="14.25">
      <c r="A18" s="600" t="s">
        <v>1035</v>
      </c>
      <c r="B18" s="600"/>
      <c r="C18" s="624"/>
      <c r="D18" s="600"/>
      <c r="E18" s="613">
        <f>Application!W841</f>
        <v>38223</v>
      </c>
      <c r="F18" s="613"/>
      <c r="G18" s="613">
        <f t="shared" si="0"/>
        <v>39560.805</v>
      </c>
      <c r="H18" s="613"/>
      <c r="I18" s="613">
        <f t="shared" si="1"/>
        <v>40945.433174999998</v>
      </c>
      <c r="J18" s="613"/>
      <c r="K18" s="613">
        <f t="shared" si="2"/>
        <v>42378.523336124992</v>
      </c>
      <c r="L18" s="613"/>
      <c r="M18" s="613">
        <f t="shared" si="3"/>
        <v>43861.771652889365</v>
      </c>
      <c r="N18" s="613"/>
      <c r="O18" s="613">
        <f t="shared" si="4"/>
        <v>45396.933660740491</v>
      </c>
      <c r="P18" s="613"/>
      <c r="Q18" s="613">
        <f t="shared" si="5"/>
        <v>46985.826338866405</v>
      </c>
      <c r="R18" s="613"/>
      <c r="S18" s="613">
        <f t="shared" si="6"/>
        <v>48630.330260726725</v>
      </c>
      <c r="T18" s="613"/>
      <c r="U18" s="613">
        <f t="shared" si="7"/>
        <v>50332.391819852157</v>
      </c>
      <c r="V18" s="613"/>
      <c r="W18" s="613">
        <f t="shared" si="8"/>
        <v>52094.025533546977</v>
      </c>
      <c r="X18" s="613"/>
      <c r="Y18" s="613">
        <f t="shared" si="9"/>
        <v>53917.316427221114</v>
      </c>
      <c r="Z18" s="613"/>
      <c r="AA18" s="613">
        <f t="shared" si="10"/>
        <v>55804.422502173846</v>
      </c>
      <c r="AB18" s="613"/>
      <c r="AC18" s="613">
        <f t="shared" si="11"/>
        <v>57757.577289749926</v>
      </c>
      <c r="AD18" s="613"/>
      <c r="AE18" s="613">
        <f t="shared" si="12"/>
        <v>59779.092494891171</v>
      </c>
      <c r="AF18" s="613"/>
      <c r="AG18" s="613">
        <f t="shared" si="13"/>
        <v>61871.360732212357</v>
      </c>
    </row>
    <row r="19" spans="1:1023 1025:2047 2049:3071 3073:4095 4097:5119 5121:6143 6145:7167 7169:8191 8193:9215 9217:10239 10241:11263 11265:12287 12289:13311 13313:14335 14337:15359 15361:16383" ht="14.25">
      <c r="A19" s="600" t="s">
        <v>60</v>
      </c>
      <c r="B19" s="600"/>
      <c r="C19" s="624"/>
      <c r="D19" s="600"/>
      <c r="E19" s="613">
        <f>Application!W850</f>
        <v>92787</v>
      </c>
      <c r="F19" s="613"/>
      <c r="G19" s="613">
        <f t="shared" si="0"/>
        <v>96034.544999999998</v>
      </c>
      <c r="H19" s="613"/>
      <c r="I19" s="613">
        <f t="shared" si="1"/>
        <v>99395.75407499999</v>
      </c>
      <c r="J19" s="613"/>
      <c r="K19" s="613">
        <f t="shared" si="2"/>
        <v>102874.60546762498</v>
      </c>
      <c r="L19" s="613"/>
      <c r="M19" s="613">
        <f t="shared" si="3"/>
        <v>106475.21665899185</v>
      </c>
      <c r="N19" s="613"/>
      <c r="O19" s="613">
        <f t="shared" si="4"/>
        <v>110201.84924205656</v>
      </c>
      <c r="P19" s="613"/>
      <c r="Q19" s="613">
        <f t="shared" si="5"/>
        <v>114058.91396552853</v>
      </c>
      <c r="R19" s="613"/>
      <c r="S19" s="613">
        <f t="shared" si="6"/>
        <v>118050.97595432201</v>
      </c>
      <c r="T19" s="613"/>
      <c r="U19" s="613">
        <f t="shared" si="7"/>
        <v>122182.76011272328</v>
      </c>
      <c r="V19" s="613"/>
      <c r="W19" s="613">
        <f t="shared" si="8"/>
        <v>126459.15671666859</v>
      </c>
      <c r="X19" s="613"/>
      <c r="Y19" s="613">
        <f t="shared" si="9"/>
        <v>130885.22720175197</v>
      </c>
      <c r="Z19" s="613"/>
      <c r="AA19" s="613">
        <f t="shared" si="10"/>
        <v>135466.21015381327</v>
      </c>
      <c r="AB19" s="613"/>
      <c r="AC19" s="613">
        <f t="shared" si="11"/>
        <v>140207.52750919672</v>
      </c>
      <c r="AD19" s="613"/>
      <c r="AE19" s="613">
        <f t="shared" si="12"/>
        <v>145114.79097201859</v>
      </c>
      <c r="AF19" s="613"/>
      <c r="AG19" s="613">
        <f t="shared" si="13"/>
        <v>150193.80865603921</v>
      </c>
    </row>
    <row r="20" spans="1:1023 1025:2047 2049:3071 3073:4095 4097:5119 5121:6143 6145:7167 7169:8191 8193:9215 9217:10239 10241:11263 11265:12287 12289:13311 13313:14335 14337:15359 15361:16383" ht="14.25">
      <c r="A20" s="769" t="s">
        <v>1349</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1023 1025:2047 2049:3071 3073:4095 4097:5119 5121:6143 6145:7167 7169:8191 8193:9215 9217:10239 10241:11263 11265:12287 12289:13311 13313:14335 14337:15359 15361:16383" ht="15">
      <c r="A21" s="614" t="s">
        <v>1197</v>
      </c>
      <c r="B21" s="614"/>
      <c r="C21" s="624"/>
      <c r="D21" s="614"/>
      <c r="E21" s="614">
        <f>SUM(E14:E20)</f>
        <v>514810</v>
      </c>
      <c r="F21" s="614"/>
      <c r="G21" s="614">
        <f>SUM(G14:G20)</f>
        <v>532828.35</v>
      </c>
      <c r="H21" s="614"/>
      <c r="I21" s="614">
        <f>SUM(I14:I20)</f>
        <v>551477.34224999987</v>
      </c>
      <c r="J21" s="614"/>
      <c r="K21" s="614">
        <f>SUM(K14:K20)</f>
        <v>570779.04922874994</v>
      </c>
      <c r="L21" s="614"/>
      <c r="M21" s="614">
        <f>SUM(M14:M20)</f>
        <v>590756.31595175609</v>
      </c>
      <c r="N21" s="614"/>
      <c r="O21" s="614">
        <f>SUM(O14:O20)</f>
        <v>611432.78701006749</v>
      </c>
      <c r="P21" s="614"/>
      <c r="Q21" s="614">
        <f>SUM(Q14:Q20)</f>
        <v>632832.93455541972</v>
      </c>
      <c r="R21" s="614"/>
      <c r="S21" s="614">
        <f>SUM(S14:S20)</f>
        <v>654982.08726485935</v>
      </c>
      <c r="T21" s="614"/>
      <c r="U21" s="614">
        <f>SUM(U14:U20)</f>
        <v>677906.46031912928</v>
      </c>
      <c r="V21" s="614"/>
      <c r="W21" s="614">
        <f>SUM(W14:W20)</f>
        <v>701633.18643029896</v>
      </c>
      <c r="X21" s="614"/>
      <c r="Y21" s="614">
        <f>SUM(Y14:Y20)</f>
        <v>726190.34795535926</v>
      </c>
      <c r="Z21" s="614"/>
      <c r="AA21" s="614">
        <f>SUM(AA14:AA20)</f>
        <v>751607.01013379684</v>
      </c>
      <c r="AB21" s="614"/>
      <c r="AC21" s="614">
        <f>SUM(AC14:AC20)</f>
        <v>777913.25548847951</v>
      </c>
      <c r="AD21" s="614"/>
      <c r="AE21" s="614">
        <f>SUM(AE14:AE20)</f>
        <v>805140.21943057643</v>
      </c>
      <c r="AF21" s="614"/>
      <c r="AG21" s="614">
        <f>SUM(AG14:AG20)</f>
        <v>833320.12711064646</v>
      </c>
    </row>
    <row r="22" spans="1:1023 1025:2047 2049:3071 3073:4095 4097:5119 5121:6143 6145:7167 7169:8191 8193:9215 9217:10239 10241:11263 11265:12287 12289:13311 13313:14335 14337:15359 15361:16383" s="1371"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1023 1025:2047 2049:3071 3073:4095 4097:5119 5121:6143 6145:7167 7169:8191 8193:9215 9217:10239 10241:11263 11265:12287 12289:13311 13313:14335 14337:15359 15361:16383" s="1371" customFormat="1" ht="15">
      <c r="A23" s="1390" t="s">
        <v>2217</v>
      </c>
      <c r="B23" s="1390"/>
      <c r="C23" s="1391"/>
      <c r="D23" s="1390"/>
      <c r="E23" s="1392"/>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1023 1025:2047 2049:3071 3073:4095 4097:5119 5121:6143 6145:7167 7169:8191 8193:9215 9217:10239 10241:11263 11265:12287 12289:13311 13313:14335 14337:15359 15361:1638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1023 1025:2047 2049:3071 3073:4095 4097:5119 5121:6143 6145:7167 7169:8191 8193:9215 9217:10239 10241:11263 11265:12287 12289:13311 13313:14335 14337:15359 15361:1638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1023 1025:2047 2049:3071 3073:4095 4097:5119 5121:6143 6145:7167 7169:8191 8193:9215 9217:10239 10241:11263 11265:12287 12289:13311 13313:14335 14337:15359 15361:16383" ht="14.25">
      <c r="A26" s="600" t="s">
        <v>1198</v>
      </c>
      <c r="B26" s="600"/>
      <c r="C26" s="636">
        <v>1.0349999999999999</v>
      </c>
      <c r="D26" s="600"/>
      <c r="E26" s="613">
        <f>Application!AC866</f>
        <v>130025</v>
      </c>
      <c r="F26" s="613"/>
      <c r="G26" s="613">
        <f>E26*$C$26</f>
        <v>134575.875</v>
      </c>
      <c r="H26" s="613"/>
      <c r="I26" s="613">
        <f>G26*$C$26</f>
        <v>139286.03062499998</v>
      </c>
      <c r="J26" s="613"/>
      <c r="K26" s="613">
        <f>I26*$C$26</f>
        <v>144161.04169687498</v>
      </c>
      <c r="L26" s="613"/>
      <c r="M26" s="613">
        <f>K26*$C$26</f>
        <v>149206.67815626558</v>
      </c>
      <c r="N26" s="613"/>
      <c r="O26" s="613">
        <f>M26*$C$26</f>
        <v>154428.91189173487</v>
      </c>
      <c r="P26" s="613"/>
      <c r="Q26" s="613">
        <f>O26*$C$26</f>
        <v>159833.92380794557</v>
      </c>
      <c r="R26" s="613"/>
      <c r="S26" s="613">
        <f>Q26*$C$26</f>
        <v>165428.11114122366</v>
      </c>
      <c r="T26" s="613"/>
      <c r="U26" s="613">
        <f>S26*$C$26</f>
        <v>171218.09503116648</v>
      </c>
      <c r="V26" s="613"/>
      <c r="W26" s="613">
        <f>U26*$C$26</f>
        <v>177210.72835725729</v>
      </c>
      <c r="X26" s="613"/>
      <c r="Y26" s="613">
        <f>W26*$C$26</f>
        <v>183413.10384976128</v>
      </c>
      <c r="Z26" s="613"/>
      <c r="AA26" s="613">
        <f>Y26*$C$26</f>
        <v>189832.56248450291</v>
      </c>
      <c r="AB26" s="613"/>
      <c r="AC26" s="613">
        <f>AA26*$C$26</f>
        <v>196476.70217146049</v>
      </c>
      <c r="AD26" s="613"/>
      <c r="AE26" s="613">
        <f>AC26*$C$26</f>
        <v>203353.3867474616</v>
      </c>
      <c r="AF26" s="613"/>
      <c r="AG26" s="613">
        <f>AE26*$C$26</f>
        <v>210470.75528362274</v>
      </c>
    </row>
    <row r="27" spans="1:1023 1025:2047 2049:3071 3073:4095 4097:5119 5121:6143 6145:7167 7169:8191 8193:9215 9217:10239 10241:11263 11265:12287 12289:13311 13313:14335 14337:15359 15361:16383" s="613" customFormat="1" ht="14.25">
      <c r="A27" s="1390" t="s">
        <v>1199</v>
      </c>
      <c r="B27" s="600"/>
      <c r="C27" s="636">
        <v>1.01</v>
      </c>
      <c r="D27" s="600"/>
      <c r="E27" s="613">
        <f>Application!AC867</f>
        <v>50500</v>
      </c>
      <c r="G27" s="613">
        <f>E27*$C$27</f>
        <v>51005</v>
      </c>
      <c r="I27" s="613">
        <f t="shared" ref="I27" si="14">G27*$C$27</f>
        <v>51515.05</v>
      </c>
      <c r="K27" s="613">
        <f t="shared" ref="K27" si="15">I27*$C$27</f>
        <v>52030.200500000006</v>
      </c>
      <c r="M27" s="613">
        <f t="shared" ref="M27" si="16">K27*$C$27</f>
        <v>52550.502505000004</v>
      </c>
      <c r="O27" s="613">
        <f t="shared" ref="O27" si="17">M27*$C$27</f>
        <v>53076.007530050003</v>
      </c>
      <c r="Q27" s="613">
        <f t="shared" ref="Q27" si="18">O27*$C$27</f>
        <v>53606.767605350506</v>
      </c>
      <c r="S27" s="613">
        <f t="shared" ref="S27" si="19">Q27*$C$27</f>
        <v>54142.835281404012</v>
      </c>
      <c r="U27" s="613">
        <f t="shared" ref="U27" si="20">S27*$C$27</f>
        <v>54684.263634218056</v>
      </c>
      <c r="W27" s="613">
        <f t="shared" ref="W27" si="21">U27*$C$27</f>
        <v>55231.106270560238</v>
      </c>
      <c r="Y27" s="613">
        <f t="shared" ref="Y27" si="22">W27*$C$27</f>
        <v>55783.417333265839</v>
      </c>
      <c r="AA27" s="613">
        <f t="shared" ref="AA27" si="23">Y27*$C$27</f>
        <v>56341.251506598499</v>
      </c>
      <c r="AC27" s="613">
        <f t="shared" ref="AC27" si="24">AA27*$C$27</f>
        <v>56904.664021664481</v>
      </c>
      <c r="AE27" s="613">
        <f t="shared" ref="AE27" si="25">AC27*$C$27</f>
        <v>57473.710661881123</v>
      </c>
      <c r="AG27" s="613">
        <f t="shared" ref="AG27" si="26">AE27*$C$27</f>
        <v>58048.447768499937</v>
      </c>
      <c r="AI27" s="613">
        <f t="shared" ref="AI27" si="27">AG27*$C$27</f>
        <v>58628.932246184937</v>
      </c>
      <c r="AK27" s="613">
        <f t="shared" ref="AK27" si="28">AI27*$C$27</f>
        <v>59215.22156864679</v>
      </c>
      <c r="AM27" s="613">
        <f t="shared" ref="AM27" si="29">AK27*$C$27</f>
        <v>59807.373784333256</v>
      </c>
      <c r="AO27" s="613">
        <f t="shared" ref="AO27" si="30">AM27*$C$27</f>
        <v>60405.44752217659</v>
      </c>
      <c r="AQ27" s="613">
        <f t="shared" ref="AQ27" si="31">AO27*$C$27</f>
        <v>61009.501997398358</v>
      </c>
      <c r="AS27" s="613">
        <f t="shared" ref="AS27" si="32">AQ27*$C$27</f>
        <v>61619.59701737234</v>
      </c>
      <c r="AU27" s="613">
        <f t="shared" ref="AU27" si="33">AS27*$C$27</f>
        <v>62235.792987546061</v>
      </c>
      <c r="AW27" s="613">
        <f t="shared" ref="AW27" si="34">AU27*$C$27</f>
        <v>62858.150917421524</v>
      </c>
      <c r="AY27" s="613">
        <f t="shared" ref="AY27" si="35">AW27*$C$27</f>
        <v>63486.732426595743</v>
      </c>
      <c r="BA27" s="613">
        <f t="shared" ref="BA27" si="36">AY27*$C$27</f>
        <v>64121.5997508617</v>
      </c>
      <c r="BC27" s="613">
        <f t="shared" ref="BC27" si="37">BA27*$C$27</f>
        <v>64762.815748370318</v>
      </c>
      <c r="BE27" s="613">
        <f t="shared" ref="BE27" si="38">BC27*$C$27</f>
        <v>65410.443905854023</v>
      </c>
      <c r="BG27" s="613">
        <f t="shared" ref="BG27" si="39">BE27*$C$27</f>
        <v>66064.54834491256</v>
      </c>
      <c r="BI27" s="613">
        <f t="shared" ref="BI27" si="40">BG27*$C$27</f>
        <v>66725.193828361691</v>
      </c>
      <c r="BK27" s="613">
        <f t="shared" ref="BK27" si="41">BI27*$C$27</f>
        <v>67392.445766645309</v>
      </c>
      <c r="BM27" s="613">
        <f t="shared" ref="BM27" si="42">BK27*$C$27</f>
        <v>68066.370224311759</v>
      </c>
      <c r="BO27" s="613">
        <f t="shared" ref="BO27" si="43">BM27*$C$27</f>
        <v>68747.033926554883</v>
      </c>
      <c r="BQ27" s="613">
        <f t="shared" ref="BQ27" si="44">BO27*$C$27</f>
        <v>69434.504265820433</v>
      </c>
      <c r="BS27" s="613">
        <f t="shared" ref="BS27" si="45">BQ27*$C$27</f>
        <v>70128.849308478631</v>
      </c>
      <c r="BU27" s="613">
        <f t="shared" ref="BU27" si="46">BS27*$C$27</f>
        <v>70830.137801563425</v>
      </c>
      <c r="BW27" s="613">
        <f t="shared" ref="BW27" si="47">BU27*$C$27</f>
        <v>71538.439179579058</v>
      </c>
      <c r="BY27" s="613">
        <f t="shared" ref="BY27" si="48">BW27*$C$27</f>
        <v>72253.823571374844</v>
      </c>
      <c r="CA27" s="613">
        <f t="shared" ref="CA27" si="49">BY27*$C$27</f>
        <v>72976.361807088586</v>
      </c>
      <c r="CC27" s="613">
        <f t="shared" ref="CC27" si="50">CA27*$C$27</f>
        <v>73706.125425159466</v>
      </c>
      <c r="CE27" s="613">
        <f t="shared" ref="CE27" si="51">CC27*$C$27</f>
        <v>74443.186679411054</v>
      </c>
      <c r="CG27" s="613">
        <f t="shared" ref="CG27" si="52">CE27*$C$27</f>
        <v>75187.618546205165</v>
      </c>
      <c r="CI27" s="613">
        <f t="shared" ref="CI27" si="53">CG27*$C$27</f>
        <v>75939.494731667219</v>
      </c>
      <c r="CK27" s="613">
        <f t="shared" ref="CK27" si="54">CI27*$C$27</f>
        <v>76698.889678983891</v>
      </c>
      <c r="CM27" s="613">
        <f t="shared" ref="CM27" si="55">CK27*$C$27</f>
        <v>77465.878575773735</v>
      </c>
      <c r="CO27" s="613">
        <f t="shared" ref="CO27" si="56">CM27*$C$27</f>
        <v>78240.537361531475</v>
      </c>
      <c r="CQ27" s="613">
        <f t="shared" ref="CQ27" si="57">CO27*$C$27</f>
        <v>79022.942735146789</v>
      </c>
      <c r="CS27" s="613">
        <f t="shared" ref="CS27" si="58">CQ27*$C$27</f>
        <v>79813.17216249826</v>
      </c>
      <c r="CU27" s="613">
        <f t="shared" ref="CU27" si="59">CS27*$C$27</f>
        <v>80611.303884123248</v>
      </c>
      <c r="CW27" s="613">
        <f t="shared" ref="CW27" si="60">CU27*$C$27</f>
        <v>81417.416922964476</v>
      </c>
      <c r="CY27" s="613">
        <f t="shared" ref="CY27" si="61">CW27*$C$27</f>
        <v>82231.591092194125</v>
      </c>
      <c r="DA27" s="613">
        <f t="shared" ref="DA27" si="62">CY27*$C$27</f>
        <v>83053.907003116066</v>
      </c>
      <c r="DC27" s="613">
        <f t="shared" ref="DC27" si="63">DA27*$C$27</f>
        <v>83884.446073147221</v>
      </c>
      <c r="DE27" s="613">
        <f t="shared" ref="DE27" si="64">DC27*$C$27</f>
        <v>84723.290533878695</v>
      </c>
      <c r="DG27" s="613">
        <f t="shared" ref="DG27" si="65">DE27*$C$27</f>
        <v>85570.52343921749</v>
      </c>
      <c r="DI27" s="613">
        <f t="shared" ref="DI27" si="66">DG27*$C$27</f>
        <v>86426.228673609672</v>
      </c>
      <c r="DK27" s="613">
        <f t="shared" ref="DK27" si="67">DI27*$C$27</f>
        <v>87290.490960345764</v>
      </c>
      <c r="DM27" s="613">
        <f t="shared" ref="DM27" si="68">DK27*$C$27</f>
        <v>88163.395869949221</v>
      </c>
      <c r="DO27" s="613">
        <f t="shared" ref="DO27" si="69">DM27*$C$27</f>
        <v>89045.029828648709</v>
      </c>
      <c r="DQ27" s="613">
        <f t="shared" ref="DQ27" si="70">DO27*$C$27</f>
        <v>89935.480126935203</v>
      </c>
      <c r="DS27" s="613">
        <f t="shared" ref="DS27" si="71">DQ27*$C$27</f>
        <v>90834.834928204553</v>
      </c>
      <c r="DU27" s="613">
        <f t="shared" ref="DU27" si="72">DS27*$C$27</f>
        <v>91743.183277486605</v>
      </c>
      <c r="DW27" s="613">
        <f t="shared" ref="DW27" si="73">DU27*$C$27</f>
        <v>92660.615110261468</v>
      </c>
      <c r="DY27" s="613">
        <f t="shared" ref="DY27" si="74">DW27*$C$27</f>
        <v>93587.221261364088</v>
      </c>
      <c r="EA27" s="613">
        <f t="shared" ref="EA27" si="75">DY27*$C$27</f>
        <v>94523.093473977729</v>
      </c>
      <c r="EC27" s="613">
        <f t="shared" ref="EC27" si="76">EA27*$C$27</f>
        <v>95468.324408717512</v>
      </c>
      <c r="EE27" s="613">
        <f t="shared" ref="EE27" si="77">EC27*$C$27</f>
        <v>96423.007652804692</v>
      </c>
      <c r="EG27" s="613">
        <f t="shared" ref="EG27" si="78">EE27*$C$27</f>
        <v>97387.237729332744</v>
      </c>
      <c r="EI27" s="613">
        <f t="shared" ref="EI27" si="79">EG27*$C$27</f>
        <v>98361.110106626074</v>
      </c>
      <c r="EK27" s="613">
        <f t="shared" ref="EK27" si="80">EI27*$C$27</f>
        <v>99344.721207692332</v>
      </c>
      <c r="EM27" s="613">
        <f t="shared" ref="EM27" si="81">EK27*$C$27</f>
        <v>100338.16841976925</v>
      </c>
      <c r="EO27" s="613">
        <f t="shared" ref="EO27" si="82">EM27*$C$27</f>
        <v>101341.55010396695</v>
      </c>
      <c r="EQ27" s="613">
        <f t="shared" ref="EQ27" si="83">EO27*$C$27</f>
        <v>102354.96560500661</v>
      </c>
      <c r="ES27" s="613">
        <f t="shared" ref="ES27" si="84">EQ27*$C$27</f>
        <v>103378.51526105667</v>
      </c>
      <c r="EU27" s="613">
        <f t="shared" ref="EU27" si="85">ES27*$C$27</f>
        <v>104412.30041366724</v>
      </c>
      <c r="EW27" s="613">
        <f t="shared" ref="EW27" si="86">EU27*$C$27</f>
        <v>105456.42341780392</v>
      </c>
      <c r="EY27" s="613">
        <f t="shared" ref="EY27" si="87">EW27*$C$27</f>
        <v>106510.98765198195</v>
      </c>
      <c r="FA27" s="613">
        <f t="shared" ref="FA27" si="88">EY27*$C$27</f>
        <v>107576.09752850178</v>
      </c>
      <c r="FC27" s="613">
        <f t="shared" ref="FC27" si="89">FA27*$C$27</f>
        <v>108651.8585037868</v>
      </c>
      <c r="FE27" s="613">
        <f t="shared" ref="FE27" si="90">FC27*$C$27</f>
        <v>109738.37708882467</v>
      </c>
      <c r="FG27" s="613">
        <f t="shared" ref="FG27" si="91">FE27*$C$27</f>
        <v>110835.76085971291</v>
      </c>
      <c r="FI27" s="613">
        <f t="shared" ref="FI27" si="92">FG27*$C$27</f>
        <v>111944.11846831004</v>
      </c>
      <c r="FK27" s="613">
        <f t="shared" ref="FK27" si="93">FI27*$C$27</f>
        <v>113063.55965299315</v>
      </c>
      <c r="FM27" s="613">
        <f t="shared" ref="FM27" si="94">FK27*$C$27</f>
        <v>114194.19524952308</v>
      </c>
      <c r="FO27" s="613">
        <f t="shared" ref="FO27" si="95">FM27*$C$27</f>
        <v>115336.1372020183</v>
      </c>
      <c r="FQ27" s="613">
        <f t="shared" ref="FQ27" si="96">FO27*$C$27</f>
        <v>116489.49857403849</v>
      </c>
      <c r="FS27" s="613">
        <f t="shared" ref="FS27" si="97">FQ27*$C$27</f>
        <v>117654.39355977888</v>
      </c>
      <c r="FU27" s="613">
        <f t="shared" ref="FU27" si="98">FS27*$C$27</f>
        <v>118830.93749537667</v>
      </c>
      <c r="FW27" s="613">
        <f t="shared" ref="FW27" si="99">FU27*$C$27</f>
        <v>120019.24687033043</v>
      </c>
      <c r="FY27" s="613">
        <f t="shared" ref="FY27" si="100">FW27*$C$27</f>
        <v>121219.43933903374</v>
      </c>
      <c r="GA27" s="613">
        <f t="shared" ref="GA27" si="101">FY27*$C$27</f>
        <v>122431.63373242407</v>
      </c>
      <c r="GC27" s="613">
        <f t="shared" ref="GC27" si="102">GA27*$C$27</f>
        <v>123655.95006974832</v>
      </c>
      <c r="GE27" s="613">
        <f t="shared" ref="GE27" si="103">GC27*$C$27</f>
        <v>124892.50957044581</v>
      </c>
      <c r="GG27" s="613">
        <f t="shared" ref="GG27" si="104">GE27*$C$27</f>
        <v>126141.43466615026</v>
      </c>
      <c r="GI27" s="613">
        <f t="shared" ref="GI27" si="105">GG27*$C$27</f>
        <v>127402.84901281177</v>
      </c>
      <c r="GK27" s="613">
        <f t="shared" ref="GK27" si="106">GI27*$C$27</f>
        <v>128676.87750293988</v>
      </c>
      <c r="GM27" s="613">
        <f t="shared" ref="GM27" si="107">GK27*$C$27</f>
        <v>129963.64627796928</v>
      </c>
      <c r="GO27" s="613">
        <f t="shared" ref="GO27" si="108">GM27*$C$27</f>
        <v>131263.28274074898</v>
      </c>
      <c r="GQ27" s="613">
        <f t="shared" ref="GQ27" si="109">GO27*$C$27</f>
        <v>132575.91556815646</v>
      </c>
      <c r="GS27" s="613">
        <f t="shared" ref="GS27" si="110">GQ27*$C$27</f>
        <v>133901.67472383802</v>
      </c>
      <c r="GU27" s="613">
        <f t="shared" ref="GU27" si="111">GS27*$C$27</f>
        <v>135240.6914710764</v>
      </c>
      <c r="GW27" s="613">
        <f t="shared" ref="GW27" si="112">GU27*$C$27</f>
        <v>136593.09838578716</v>
      </c>
      <c r="GY27" s="613">
        <f t="shared" ref="GY27" si="113">GW27*$C$27</f>
        <v>137959.02936964502</v>
      </c>
      <c r="HA27" s="613">
        <f t="shared" ref="HA27" si="114">GY27*$C$27</f>
        <v>139338.61966334147</v>
      </c>
      <c r="HC27" s="613">
        <f t="shared" ref="HC27" si="115">HA27*$C$27</f>
        <v>140732.00585997489</v>
      </c>
      <c r="HE27" s="613">
        <f t="shared" ref="HE27" si="116">HC27*$C$27</f>
        <v>142139.32591857464</v>
      </c>
      <c r="HG27" s="613">
        <f t="shared" ref="HG27" si="117">HE27*$C$27</f>
        <v>143560.71917776039</v>
      </c>
      <c r="HI27" s="613">
        <f t="shared" ref="HI27" si="118">HG27*$C$27</f>
        <v>144996.326369538</v>
      </c>
      <c r="HK27" s="613">
        <f t="shared" ref="HK27" si="119">HI27*$C$27</f>
        <v>146446.28963323339</v>
      </c>
      <c r="HM27" s="613">
        <f t="shared" ref="HM27" si="120">HK27*$C$27</f>
        <v>147910.75252956574</v>
      </c>
      <c r="HO27" s="613">
        <f t="shared" ref="HO27" si="121">HM27*$C$27</f>
        <v>149389.8600548614</v>
      </c>
      <c r="HQ27" s="613">
        <f t="shared" ref="HQ27" si="122">HO27*$C$27</f>
        <v>150883.75865541003</v>
      </c>
      <c r="HS27" s="613">
        <f t="shared" ref="HS27" si="123">HQ27*$C$27</f>
        <v>152392.59624196411</v>
      </c>
      <c r="HU27" s="613">
        <f t="shared" ref="HU27" si="124">HS27*$C$27</f>
        <v>153916.52220438377</v>
      </c>
      <c r="HW27" s="613">
        <f t="shared" ref="HW27" si="125">HU27*$C$27</f>
        <v>155455.68742642761</v>
      </c>
      <c r="HY27" s="613">
        <f t="shared" ref="HY27" si="126">HW27*$C$27</f>
        <v>157010.24430069188</v>
      </c>
      <c r="IA27" s="613">
        <f t="shared" ref="IA27" si="127">HY27*$C$27</f>
        <v>158580.34674369878</v>
      </c>
      <c r="IC27" s="613">
        <f t="shared" ref="IC27" si="128">IA27*$C$27</f>
        <v>160166.15021113577</v>
      </c>
      <c r="IE27" s="613">
        <f t="shared" ref="IE27" si="129">IC27*$C$27</f>
        <v>161767.81171324712</v>
      </c>
      <c r="IG27" s="613">
        <f t="shared" ref="IG27" si="130">IE27*$C$27</f>
        <v>163385.48983037961</v>
      </c>
      <c r="II27" s="613">
        <f t="shared" ref="II27" si="131">IG27*$C$27</f>
        <v>165019.34472868341</v>
      </c>
      <c r="IK27" s="613">
        <f t="shared" ref="IK27" si="132">II27*$C$27</f>
        <v>166669.53817597026</v>
      </c>
      <c r="IM27" s="613">
        <f t="shared" ref="IM27" si="133">IK27*$C$27</f>
        <v>168336.23355772995</v>
      </c>
      <c r="IO27" s="613">
        <f t="shared" ref="IO27" si="134">IM27*$C$27</f>
        <v>170019.59589330724</v>
      </c>
      <c r="IQ27" s="613">
        <f t="shared" ref="IQ27" si="135">IO27*$C$27</f>
        <v>171719.79185224031</v>
      </c>
      <c r="IS27" s="613">
        <f t="shared" ref="IS27" si="136">IQ27*$C$27</f>
        <v>173436.98977076271</v>
      </c>
      <c r="IU27" s="613">
        <f t="shared" ref="IU27" si="137">IS27*$C$27</f>
        <v>175171.35966847034</v>
      </c>
      <c r="IW27" s="613">
        <f t="shared" ref="IW27" si="138">IU27*$C$27</f>
        <v>176923.07326515505</v>
      </c>
      <c r="IY27" s="613">
        <f t="shared" ref="IY27" si="139">IW27*$C$27</f>
        <v>178692.30399780659</v>
      </c>
      <c r="JA27" s="613">
        <f t="shared" ref="JA27" si="140">IY27*$C$27</f>
        <v>180479.22703778467</v>
      </c>
      <c r="JC27" s="613">
        <f t="shared" ref="JC27" si="141">JA27*$C$27</f>
        <v>182284.01930816253</v>
      </c>
      <c r="JE27" s="613">
        <f t="shared" ref="JE27" si="142">JC27*$C$27</f>
        <v>184106.85950124415</v>
      </c>
      <c r="JG27" s="613">
        <f t="shared" ref="JG27" si="143">JE27*$C$27</f>
        <v>185947.9280962566</v>
      </c>
      <c r="JI27" s="613">
        <f t="shared" ref="JI27" si="144">JG27*$C$27</f>
        <v>187807.40737721918</v>
      </c>
      <c r="JK27" s="613">
        <f t="shared" ref="JK27" si="145">JI27*$C$27</f>
        <v>189685.48145099136</v>
      </c>
      <c r="JM27" s="613">
        <f t="shared" ref="JM27" si="146">JK27*$C$27</f>
        <v>191582.33626550128</v>
      </c>
      <c r="JO27" s="613">
        <f t="shared" ref="JO27" si="147">JM27*$C$27</f>
        <v>193498.15962815628</v>
      </c>
      <c r="JQ27" s="613">
        <f t="shared" ref="JQ27" si="148">JO27*$C$27</f>
        <v>195433.14122443786</v>
      </c>
      <c r="JS27" s="613">
        <f t="shared" ref="JS27" si="149">JQ27*$C$27</f>
        <v>197387.47263668224</v>
      </c>
      <c r="JU27" s="613">
        <f t="shared" ref="JU27" si="150">JS27*$C$27</f>
        <v>199361.34736304908</v>
      </c>
      <c r="JW27" s="613">
        <f t="shared" ref="JW27" si="151">JU27*$C$27</f>
        <v>201354.96083667956</v>
      </c>
      <c r="JY27" s="613">
        <f t="shared" ref="JY27" si="152">JW27*$C$27</f>
        <v>203368.51044504636</v>
      </c>
      <c r="KA27" s="613">
        <f t="shared" ref="KA27" si="153">JY27*$C$27</f>
        <v>205402.19554949683</v>
      </c>
      <c r="KC27" s="613">
        <f t="shared" ref="KC27" si="154">KA27*$C$27</f>
        <v>207456.2175049918</v>
      </c>
      <c r="KE27" s="613">
        <f t="shared" ref="KE27" si="155">KC27*$C$27</f>
        <v>209530.77968004171</v>
      </c>
      <c r="KG27" s="613">
        <f t="shared" ref="KG27" si="156">KE27*$C$27</f>
        <v>211626.08747684213</v>
      </c>
      <c r="KI27" s="613">
        <f t="shared" ref="KI27" si="157">KG27*$C$27</f>
        <v>213742.34835161056</v>
      </c>
      <c r="KK27" s="613">
        <f t="shared" ref="KK27" si="158">KI27*$C$27</f>
        <v>215879.77183512668</v>
      </c>
      <c r="KM27" s="613">
        <f t="shared" ref="KM27" si="159">KK27*$C$27</f>
        <v>218038.56955347795</v>
      </c>
      <c r="KO27" s="613">
        <f t="shared" ref="KO27" si="160">KM27*$C$27</f>
        <v>220218.95524901274</v>
      </c>
      <c r="KQ27" s="613">
        <f t="shared" ref="KQ27" si="161">KO27*$C$27</f>
        <v>222421.14480150287</v>
      </c>
      <c r="KS27" s="613">
        <f t="shared" ref="KS27" si="162">KQ27*$C$27</f>
        <v>224645.35624951791</v>
      </c>
      <c r="KU27" s="613">
        <f t="shared" ref="KU27" si="163">KS27*$C$27</f>
        <v>226891.80981201309</v>
      </c>
      <c r="KW27" s="613">
        <f t="shared" ref="KW27" si="164">KU27*$C$27</f>
        <v>229160.72791013322</v>
      </c>
      <c r="KY27" s="613">
        <f t="shared" ref="KY27" si="165">KW27*$C$27</f>
        <v>231452.33518923455</v>
      </c>
      <c r="LA27" s="613">
        <f t="shared" ref="LA27" si="166">KY27*$C$27</f>
        <v>233766.85854112689</v>
      </c>
      <c r="LC27" s="613">
        <f t="shared" ref="LC27" si="167">LA27*$C$27</f>
        <v>236104.52712653816</v>
      </c>
      <c r="LE27" s="613">
        <f t="shared" ref="LE27" si="168">LC27*$C$27</f>
        <v>238465.57239780354</v>
      </c>
      <c r="LG27" s="613">
        <f t="shared" ref="LG27" si="169">LE27*$C$27</f>
        <v>240850.22812178158</v>
      </c>
      <c r="LI27" s="613">
        <f t="shared" ref="LI27" si="170">LG27*$C$27</f>
        <v>243258.73040299938</v>
      </c>
      <c r="LK27" s="613">
        <f t="shared" ref="LK27" si="171">LI27*$C$27</f>
        <v>245691.31770702938</v>
      </c>
      <c r="LM27" s="613">
        <f t="shared" ref="LM27" si="172">LK27*$C$27</f>
        <v>248148.23088409967</v>
      </c>
      <c r="LO27" s="613">
        <f t="shared" ref="LO27" si="173">LM27*$C$27</f>
        <v>250629.71319294066</v>
      </c>
      <c r="LQ27" s="613">
        <f t="shared" ref="LQ27" si="174">LO27*$C$27</f>
        <v>253136.01032487006</v>
      </c>
      <c r="LS27" s="613">
        <f t="shared" ref="LS27" si="175">LQ27*$C$27</f>
        <v>255667.37042811877</v>
      </c>
      <c r="LU27" s="613">
        <f t="shared" ref="LU27" si="176">LS27*$C$27</f>
        <v>258224.04413239995</v>
      </c>
      <c r="LW27" s="613">
        <f t="shared" ref="LW27" si="177">LU27*$C$27</f>
        <v>260806.28457372397</v>
      </c>
      <c r="LY27" s="613">
        <f t="shared" ref="LY27" si="178">LW27*$C$27</f>
        <v>263414.34741946124</v>
      </c>
      <c r="MA27" s="613">
        <f t="shared" ref="MA27" si="179">LY27*$C$27</f>
        <v>266048.49089365586</v>
      </c>
      <c r="MC27" s="613">
        <f t="shared" ref="MC27" si="180">MA27*$C$27</f>
        <v>268708.97580259241</v>
      </c>
      <c r="ME27" s="613">
        <f t="shared" ref="ME27" si="181">MC27*$C$27</f>
        <v>271396.06556061836</v>
      </c>
      <c r="MG27" s="613">
        <f t="shared" ref="MG27" si="182">ME27*$C$27</f>
        <v>274110.02621622453</v>
      </c>
      <c r="MI27" s="613">
        <f t="shared" ref="MI27" si="183">MG27*$C$27</f>
        <v>276851.12647838681</v>
      </c>
      <c r="MK27" s="613">
        <f t="shared" ref="MK27" si="184">MI27*$C$27</f>
        <v>279619.63774317066</v>
      </c>
      <c r="MM27" s="613">
        <f t="shared" ref="MM27" si="185">MK27*$C$27</f>
        <v>282415.83412060235</v>
      </c>
      <c r="MO27" s="613">
        <f t="shared" ref="MO27" si="186">MM27*$C$27</f>
        <v>285239.99246180838</v>
      </c>
      <c r="MQ27" s="613">
        <f t="shared" ref="MQ27" si="187">MO27*$C$27</f>
        <v>288092.39238642645</v>
      </c>
      <c r="MS27" s="613">
        <f t="shared" ref="MS27" si="188">MQ27*$C$27</f>
        <v>290973.31631029071</v>
      </c>
      <c r="MU27" s="613">
        <f t="shared" ref="MU27" si="189">MS27*$C$27</f>
        <v>293883.04947339365</v>
      </c>
      <c r="MW27" s="613">
        <f t="shared" ref="MW27" si="190">MU27*$C$27</f>
        <v>296821.87996812759</v>
      </c>
      <c r="MY27" s="613">
        <f t="shared" ref="MY27" si="191">MW27*$C$27</f>
        <v>299790.09876780887</v>
      </c>
      <c r="NA27" s="613">
        <f t="shared" ref="NA27" si="192">MY27*$C$27</f>
        <v>302787.99975548696</v>
      </c>
      <c r="NC27" s="613">
        <f t="shared" ref="NC27" si="193">NA27*$C$27</f>
        <v>305815.87975304184</v>
      </c>
      <c r="NE27" s="613">
        <f t="shared" ref="NE27" si="194">NC27*$C$27</f>
        <v>308874.03855057224</v>
      </c>
      <c r="NG27" s="613">
        <f t="shared" ref="NG27" si="195">NE27*$C$27</f>
        <v>311962.77893607796</v>
      </c>
      <c r="NI27" s="613">
        <f t="shared" ref="NI27" si="196">NG27*$C$27</f>
        <v>315082.40672543872</v>
      </c>
      <c r="NK27" s="613">
        <f t="shared" ref="NK27" si="197">NI27*$C$27</f>
        <v>318233.2307926931</v>
      </c>
      <c r="NM27" s="613">
        <f t="shared" ref="NM27" si="198">NK27*$C$27</f>
        <v>321415.56310062006</v>
      </c>
      <c r="NO27" s="613">
        <f t="shared" ref="NO27" si="199">NM27*$C$27</f>
        <v>324629.71873162629</v>
      </c>
      <c r="NQ27" s="613">
        <f t="shared" ref="NQ27" si="200">NO27*$C$27</f>
        <v>327876.01591894258</v>
      </c>
      <c r="NS27" s="613">
        <f t="shared" ref="NS27" si="201">NQ27*$C$27</f>
        <v>331154.77607813198</v>
      </c>
      <c r="NU27" s="613">
        <f t="shared" ref="NU27" si="202">NS27*$C$27</f>
        <v>334466.32383891329</v>
      </c>
      <c r="NW27" s="613">
        <f t="shared" ref="NW27" si="203">NU27*$C$27</f>
        <v>337810.98707730242</v>
      </c>
      <c r="NY27" s="613">
        <f t="shared" ref="NY27" si="204">NW27*$C$27</f>
        <v>341189.09694807546</v>
      </c>
      <c r="OA27" s="613">
        <f t="shared" ref="OA27" si="205">NY27*$C$27</f>
        <v>344600.98791755619</v>
      </c>
      <c r="OC27" s="613">
        <f t="shared" ref="OC27" si="206">OA27*$C$27</f>
        <v>348046.99779673177</v>
      </c>
      <c r="OE27" s="613">
        <f t="shared" ref="OE27" si="207">OC27*$C$27</f>
        <v>351527.46777469909</v>
      </c>
      <c r="OG27" s="613">
        <f t="shared" ref="OG27" si="208">OE27*$C$27</f>
        <v>355042.74245244608</v>
      </c>
      <c r="OI27" s="613">
        <f t="shared" ref="OI27" si="209">OG27*$C$27</f>
        <v>358593.16987697053</v>
      </c>
      <c r="OK27" s="613">
        <f t="shared" ref="OK27" si="210">OI27*$C$27</f>
        <v>362179.10157574021</v>
      </c>
      <c r="OM27" s="613">
        <f t="shared" ref="OM27" si="211">OK27*$C$27</f>
        <v>365800.89259149763</v>
      </c>
      <c r="OO27" s="613">
        <f t="shared" ref="OO27" si="212">OM27*$C$27</f>
        <v>369458.90151741263</v>
      </c>
      <c r="OQ27" s="613">
        <f t="shared" ref="OQ27" si="213">OO27*$C$27</f>
        <v>373153.49053258676</v>
      </c>
      <c r="OS27" s="613">
        <f t="shared" ref="OS27" si="214">OQ27*$C$27</f>
        <v>376885.02543791261</v>
      </c>
      <c r="OU27" s="613">
        <f t="shared" ref="OU27" si="215">OS27*$C$27</f>
        <v>380653.87569229177</v>
      </c>
      <c r="OW27" s="613">
        <f t="shared" ref="OW27" si="216">OU27*$C$27</f>
        <v>384460.4144492147</v>
      </c>
      <c r="OY27" s="613">
        <f t="shared" ref="OY27" si="217">OW27*$C$27</f>
        <v>388305.01859370683</v>
      </c>
      <c r="PA27" s="613">
        <f t="shared" ref="PA27" si="218">OY27*$C$27</f>
        <v>392188.06877964392</v>
      </c>
      <c r="PC27" s="613">
        <f t="shared" ref="PC27" si="219">PA27*$C$27</f>
        <v>396109.94946744037</v>
      </c>
      <c r="PE27" s="613">
        <f t="shared" ref="PE27" si="220">PC27*$C$27</f>
        <v>400071.04896211479</v>
      </c>
      <c r="PG27" s="613">
        <f t="shared" ref="PG27" si="221">PE27*$C$27</f>
        <v>404071.75945173594</v>
      </c>
      <c r="PI27" s="613">
        <f t="shared" ref="PI27" si="222">PG27*$C$27</f>
        <v>408112.47704625328</v>
      </c>
      <c r="PK27" s="613">
        <f t="shared" ref="PK27" si="223">PI27*$C$27</f>
        <v>412193.60181671579</v>
      </c>
      <c r="PM27" s="613">
        <f t="shared" ref="PM27" si="224">PK27*$C$27</f>
        <v>416315.53783488297</v>
      </c>
      <c r="PO27" s="613">
        <f t="shared" ref="PO27" si="225">PM27*$C$27</f>
        <v>420478.6932132318</v>
      </c>
      <c r="PQ27" s="613">
        <f t="shared" ref="PQ27" si="226">PO27*$C$27</f>
        <v>424683.48014536413</v>
      </c>
      <c r="PS27" s="613">
        <f t="shared" ref="PS27" si="227">PQ27*$C$27</f>
        <v>428930.31494681776</v>
      </c>
      <c r="PU27" s="613">
        <f t="shared" ref="PU27" si="228">PS27*$C$27</f>
        <v>433219.61809628597</v>
      </c>
      <c r="PW27" s="613">
        <f t="shared" ref="PW27" si="229">PU27*$C$27</f>
        <v>437551.81427724881</v>
      </c>
      <c r="PY27" s="613">
        <f t="shared" ref="PY27" si="230">PW27*$C$27</f>
        <v>441927.3324200213</v>
      </c>
      <c r="QA27" s="613">
        <f t="shared" ref="QA27" si="231">PY27*$C$27</f>
        <v>446346.60574422154</v>
      </c>
      <c r="QC27" s="613">
        <f t="shared" ref="QC27" si="232">QA27*$C$27</f>
        <v>450810.07180166378</v>
      </c>
      <c r="QE27" s="613">
        <f t="shared" ref="QE27" si="233">QC27*$C$27</f>
        <v>455318.1725196804</v>
      </c>
      <c r="QG27" s="613">
        <f t="shared" ref="QG27" si="234">QE27*$C$27</f>
        <v>459871.35424487724</v>
      </c>
      <c r="QI27" s="613">
        <f t="shared" ref="QI27" si="235">QG27*$C$27</f>
        <v>464470.067787326</v>
      </c>
      <c r="QK27" s="613">
        <f t="shared" ref="QK27" si="236">QI27*$C$27</f>
        <v>469114.76846519927</v>
      </c>
      <c r="QM27" s="613">
        <f t="shared" ref="QM27" si="237">QK27*$C$27</f>
        <v>473805.91614985128</v>
      </c>
      <c r="QO27" s="613">
        <f t="shared" ref="QO27" si="238">QM27*$C$27</f>
        <v>478543.97531134979</v>
      </c>
      <c r="QQ27" s="613">
        <f t="shared" ref="QQ27" si="239">QO27*$C$27</f>
        <v>483329.41506446328</v>
      </c>
      <c r="QS27" s="613">
        <f t="shared" ref="QS27" si="240">QQ27*$C$27</f>
        <v>488162.7092151079</v>
      </c>
      <c r="QU27" s="613">
        <f t="shared" ref="QU27" si="241">QS27*$C$27</f>
        <v>493044.33630725899</v>
      </c>
      <c r="QW27" s="613">
        <f t="shared" ref="QW27" si="242">QU27*$C$27</f>
        <v>497974.77967033157</v>
      </c>
      <c r="QY27" s="613">
        <f t="shared" ref="QY27" si="243">QW27*$C$27</f>
        <v>502954.52746703487</v>
      </c>
      <c r="RA27" s="613">
        <f t="shared" ref="RA27" si="244">QY27*$C$27</f>
        <v>507984.07274170523</v>
      </c>
      <c r="RC27" s="613">
        <f t="shared" ref="RC27" si="245">RA27*$C$27</f>
        <v>513063.91346912226</v>
      </c>
      <c r="RE27" s="613">
        <f t="shared" ref="RE27" si="246">RC27*$C$27</f>
        <v>518194.55260381347</v>
      </c>
      <c r="RG27" s="613">
        <f t="shared" ref="RG27" si="247">RE27*$C$27</f>
        <v>523376.49812985159</v>
      </c>
      <c r="RI27" s="613">
        <f t="shared" ref="RI27" si="248">RG27*$C$27</f>
        <v>528610.26311115013</v>
      </c>
      <c r="RK27" s="613">
        <f t="shared" ref="RK27" si="249">RI27*$C$27</f>
        <v>533896.36574226164</v>
      </c>
      <c r="RM27" s="613">
        <f t="shared" ref="RM27" si="250">RK27*$C$27</f>
        <v>539235.32939968421</v>
      </c>
      <c r="RO27" s="613">
        <f t="shared" ref="RO27" si="251">RM27*$C$27</f>
        <v>544627.6826936811</v>
      </c>
      <c r="RQ27" s="613">
        <f t="shared" ref="RQ27" si="252">RO27*$C$27</f>
        <v>550073.95952061797</v>
      </c>
      <c r="RS27" s="613">
        <f t="shared" ref="RS27" si="253">RQ27*$C$27</f>
        <v>555574.69911582419</v>
      </c>
      <c r="RU27" s="613">
        <f t="shared" ref="RU27" si="254">RS27*$C$27</f>
        <v>561130.44610698242</v>
      </c>
      <c r="RW27" s="613">
        <f t="shared" ref="RW27" si="255">RU27*$C$27</f>
        <v>566741.75056805229</v>
      </c>
      <c r="RY27" s="613">
        <f t="shared" ref="RY27" si="256">RW27*$C$27</f>
        <v>572409.16807373287</v>
      </c>
      <c r="SA27" s="613">
        <f t="shared" ref="SA27" si="257">RY27*$C$27</f>
        <v>578133.2597544702</v>
      </c>
      <c r="SC27" s="613">
        <f t="shared" ref="SC27" si="258">SA27*$C$27</f>
        <v>583914.59235201485</v>
      </c>
      <c r="SE27" s="613">
        <f t="shared" ref="SE27" si="259">SC27*$C$27</f>
        <v>589753.73827553506</v>
      </c>
      <c r="SG27" s="613">
        <f t="shared" ref="SG27" si="260">SE27*$C$27</f>
        <v>595651.27565829037</v>
      </c>
      <c r="SI27" s="613">
        <f t="shared" ref="SI27" si="261">SG27*$C$27</f>
        <v>601607.7884148733</v>
      </c>
      <c r="SK27" s="613">
        <f t="shared" ref="SK27" si="262">SI27*$C$27</f>
        <v>607623.86629902199</v>
      </c>
      <c r="SM27" s="613">
        <f t="shared" ref="SM27" si="263">SK27*$C$27</f>
        <v>613700.10496201226</v>
      </c>
      <c r="SO27" s="613">
        <f t="shared" ref="SO27" si="264">SM27*$C$27</f>
        <v>619837.10601163236</v>
      </c>
      <c r="SQ27" s="613">
        <f t="shared" ref="SQ27" si="265">SO27*$C$27</f>
        <v>626035.4770717487</v>
      </c>
      <c r="SS27" s="613">
        <f t="shared" ref="SS27" si="266">SQ27*$C$27</f>
        <v>632295.83184246614</v>
      </c>
      <c r="SU27" s="613">
        <f t="shared" ref="SU27" si="267">SS27*$C$27</f>
        <v>638618.79016089079</v>
      </c>
      <c r="SW27" s="613">
        <f t="shared" ref="SW27" si="268">SU27*$C$27</f>
        <v>645004.97806249966</v>
      </c>
      <c r="SY27" s="613">
        <f t="shared" ref="SY27" si="269">SW27*$C$27</f>
        <v>651455.0278431247</v>
      </c>
      <c r="TA27" s="613">
        <f t="shared" ref="TA27" si="270">SY27*$C$27</f>
        <v>657969.57812155597</v>
      </c>
      <c r="TC27" s="613">
        <f t="shared" ref="TC27" si="271">TA27*$C$27</f>
        <v>664549.27390277153</v>
      </c>
      <c r="TE27" s="613">
        <f t="shared" ref="TE27" si="272">TC27*$C$27</f>
        <v>671194.76664179924</v>
      </c>
      <c r="TG27" s="613">
        <f t="shared" ref="TG27" si="273">TE27*$C$27</f>
        <v>677906.71430821728</v>
      </c>
      <c r="TI27" s="613">
        <f t="shared" ref="TI27" si="274">TG27*$C$27</f>
        <v>684685.78145129944</v>
      </c>
      <c r="TK27" s="613">
        <f t="shared" ref="TK27" si="275">TI27*$C$27</f>
        <v>691532.63926581247</v>
      </c>
      <c r="TM27" s="613">
        <f t="shared" ref="TM27" si="276">TK27*$C$27</f>
        <v>698447.96565847064</v>
      </c>
      <c r="TO27" s="613">
        <f t="shared" ref="TO27" si="277">TM27*$C$27</f>
        <v>705432.44531505532</v>
      </c>
      <c r="TQ27" s="613">
        <f t="shared" ref="TQ27" si="278">TO27*$C$27</f>
        <v>712486.76976820582</v>
      </c>
      <c r="TS27" s="613">
        <f t="shared" ref="TS27" si="279">TQ27*$C$27</f>
        <v>719611.63746588794</v>
      </c>
      <c r="TU27" s="613">
        <f t="shared" ref="TU27" si="280">TS27*$C$27</f>
        <v>726807.75384054682</v>
      </c>
      <c r="TW27" s="613">
        <f t="shared" ref="TW27" si="281">TU27*$C$27</f>
        <v>734075.83137895225</v>
      </c>
      <c r="TY27" s="613">
        <f t="shared" ref="TY27" si="282">TW27*$C$27</f>
        <v>741416.58969274175</v>
      </c>
      <c r="UA27" s="613">
        <f t="shared" ref="UA27" si="283">TY27*$C$27</f>
        <v>748830.75558966922</v>
      </c>
      <c r="UC27" s="613">
        <f t="shared" ref="UC27" si="284">UA27*$C$27</f>
        <v>756319.06314556592</v>
      </c>
      <c r="UE27" s="613">
        <f t="shared" ref="UE27" si="285">UC27*$C$27</f>
        <v>763882.25377702154</v>
      </c>
      <c r="UG27" s="613">
        <f t="shared" ref="UG27" si="286">UE27*$C$27</f>
        <v>771521.0763147918</v>
      </c>
      <c r="UI27" s="613">
        <f t="shared" ref="UI27" si="287">UG27*$C$27</f>
        <v>779236.28707793972</v>
      </c>
      <c r="UK27" s="613">
        <f t="shared" ref="UK27" si="288">UI27*$C$27</f>
        <v>787028.64994871907</v>
      </c>
      <c r="UM27" s="613">
        <f t="shared" ref="UM27" si="289">UK27*$C$27</f>
        <v>794898.93644820631</v>
      </c>
      <c r="UO27" s="613">
        <f t="shared" ref="UO27" si="290">UM27*$C$27</f>
        <v>802847.92581268842</v>
      </c>
      <c r="UQ27" s="613">
        <f t="shared" ref="UQ27" si="291">UO27*$C$27</f>
        <v>810876.40507081535</v>
      </c>
      <c r="US27" s="613">
        <f t="shared" ref="US27" si="292">UQ27*$C$27</f>
        <v>818985.1691215235</v>
      </c>
      <c r="UU27" s="613">
        <f t="shared" ref="UU27" si="293">US27*$C$27</f>
        <v>827175.0208127388</v>
      </c>
      <c r="UW27" s="613">
        <f t="shared" ref="UW27" si="294">UU27*$C$27</f>
        <v>835446.77102086623</v>
      </c>
      <c r="UY27" s="613">
        <f t="shared" ref="UY27" si="295">UW27*$C$27</f>
        <v>843801.23873107485</v>
      </c>
      <c r="VA27" s="613">
        <f t="shared" ref="VA27" si="296">UY27*$C$27</f>
        <v>852239.25111838558</v>
      </c>
      <c r="VC27" s="613">
        <f t="shared" ref="VC27" si="297">VA27*$C$27</f>
        <v>860761.64362956944</v>
      </c>
      <c r="VE27" s="613">
        <f t="shared" ref="VE27" si="298">VC27*$C$27</f>
        <v>869369.26006586512</v>
      </c>
      <c r="VG27" s="613">
        <f t="shared" ref="VG27" si="299">VE27*$C$27</f>
        <v>878062.95266652375</v>
      </c>
      <c r="VI27" s="613">
        <f t="shared" ref="VI27" si="300">VG27*$C$27</f>
        <v>886843.58219318895</v>
      </c>
      <c r="VK27" s="613">
        <f t="shared" ref="VK27" si="301">VI27*$C$27</f>
        <v>895712.01801512088</v>
      </c>
      <c r="VM27" s="613">
        <f t="shared" ref="VM27" si="302">VK27*$C$27</f>
        <v>904669.13819527207</v>
      </c>
      <c r="VO27" s="613">
        <f t="shared" ref="VO27" si="303">VM27*$C$27</f>
        <v>913715.82957722479</v>
      </c>
      <c r="VQ27" s="613">
        <f t="shared" ref="VQ27" si="304">VO27*$C$27</f>
        <v>922852.98787299707</v>
      </c>
      <c r="VS27" s="613">
        <f t="shared" ref="VS27" si="305">VQ27*$C$27</f>
        <v>932081.51775172702</v>
      </c>
      <c r="VU27" s="613">
        <f t="shared" ref="VU27" si="306">VS27*$C$27</f>
        <v>941402.33292924426</v>
      </c>
      <c r="VW27" s="613">
        <f t="shared" ref="VW27" si="307">VU27*$C$27</f>
        <v>950816.35625853669</v>
      </c>
      <c r="VY27" s="613">
        <f t="shared" ref="VY27" si="308">VW27*$C$27</f>
        <v>960324.51982112206</v>
      </c>
      <c r="WA27" s="613">
        <f t="shared" ref="WA27" si="309">VY27*$C$27</f>
        <v>969927.76501933334</v>
      </c>
      <c r="WC27" s="613">
        <f t="shared" ref="WC27" si="310">WA27*$C$27</f>
        <v>979627.04266952665</v>
      </c>
      <c r="WE27" s="613">
        <f t="shared" ref="WE27" si="311">WC27*$C$27</f>
        <v>989423.31309622189</v>
      </c>
      <c r="WG27" s="613">
        <f t="shared" ref="WG27" si="312">WE27*$C$27</f>
        <v>999317.54622718412</v>
      </c>
      <c r="WI27" s="613">
        <f t="shared" ref="WI27" si="313">WG27*$C$27</f>
        <v>1009310.721689456</v>
      </c>
      <c r="WK27" s="613">
        <f t="shared" ref="WK27" si="314">WI27*$C$27</f>
        <v>1019403.8289063507</v>
      </c>
      <c r="WM27" s="613">
        <f t="shared" ref="WM27" si="315">WK27*$C$27</f>
        <v>1029597.8671954141</v>
      </c>
      <c r="WO27" s="613">
        <f t="shared" ref="WO27" si="316">WM27*$C$27</f>
        <v>1039893.8458673683</v>
      </c>
      <c r="WQ27" s="613">
        <f t="shared" ref="WQ27" si="317">WO27*$C$27</f>
        <v>1050292.784326042</v>
      </c>
      <c r="WS27" s="613">
        <f t="shared" ref="WS27" si="318">WQ27*$C$27</f>
        <v>1060795.7121693024</v>
      </c>
      <c r="WU27" s="613">
        <f t="shared" ref="WU27" si="319">WS27*$C$27</f>
        <v>1071403.6692909955</v>
      </c>
      <c r="WW27" s="613">
        <f t="shared" ref="WW27" si="320">WU27*$C$27</f>
        <v>1082117.7059839054</v>
      </c>
      <c r="WY27" s="613">
        <f t="shared" ref="WY27" si="321">WW27*$C$27</f>
        <v>1092938.8830437444</v>
      </c>
      <c r="XA27" s="613">
        <f t="shared" ref="XA27" si="322">WY27*$C$27</f>
        <v>1103868.2718741819</v>
      </c>
      <c r="XC27" s="613">
        <f t="shared" ref="XC27" si="323">XA27*$C$27</f>
        <v>1114906.9545929239</v>
      </c>
      <c r="XE27" s="613">
        <f t="shared" ref="XE27" si="324">XC27*$C$27</f>
        <v>1126056.0241388532</v>
      </c>
      <c r="XG27" s="613">
        <f t="shared" ref="XG27" si="325">XE27*$C$27</f>
        <v>1137316.5843802418</v>
      </c>
      <c r="XI27" s="613">
        <f t="shared" ref="XI27" si="326">XG27*$C$27</f>
        <v>1148689.7502240443</v>
      </c>
      <c r="XK27" s="613">
        <f t="shared" ref="XK27" si="327">XI27*$C$27</f>
        <v>1160176.6477262848</v>
      </c>
      <c r="XM27" s="613">
        <f t="shared" ref="XM27" si="328">XK27*$C$27</f>
        <v>1171778.4142035476</v>
      </c>
      <c r="XO27" s="613">
        <f t="shared" ref="XO27" si="329">XM27*$C$27</f>
        <v>1183496.1983455832</v>
      </c>
      <c r="XQ27" s="613">
        <f t="shared" ref="XQ27" si="330">XO27*$C$27</f>
        <v>1195331.160329039</v>
      </c>
      <c r="XS27" s="613">
        <f t="shared" ref="XS27" si="331">XQ27*$C$27</f>
        <v>1207284.4719323295</v>
      </c>
      <c r="XU27" s="613">
        <f t="shared" ref="XU27" si="332">XS27*$C$27</f>
        <v>1219357.3166516528</v>
      </c>
      <c r="XW27" s="613">
        <f t="shared" ref="XW27" si="333">XU27*$C$27</f>
        <v>1231550.8898181694</v>
      </c>
      <c r="XY27" s="613">
        <f t="shared" ref="XY27" si="334">XW27*$C$27</f>
        <v>1243866.398716351</v>
      </c>
      <c r="YA27" s="613">
        <f t="shared" ref="YA27" si="335">XY27*$C$27</f>
        <v>1256305.0627035145</v>
      </c>
      <c r="YC27" s="613">
        <f t="shared" ref="YC27" si="336">YA27*$C$27</f>
        <v>1268868.1133305496</v>
      </c>
      <c r="YE27" s="613">
        <f t="shared" ref="YE27" si="337">YC27*$C$27</f>
        <v>1281556.794463855</v>
      </c>
      <c r="YG27" s="613">
        <f t="shared" ref="YG27" si="338">YE27*$C$27</f>
        <v>1294372.3624084936</v>
      </c>
      <c r="YI27" s="613">
        <f t="shared" ref="YI27" si="339">YG27*$C$27</f>
        <v>1307316.0860325785</v>
      </c>
      <c r="YK27" s="613">
        <f t="shared" ref="YK27" si="340">YI27*$C$27</f>
        <v>1320389.2468929044</v>
      </c>
      <c r="YM27" s="613">
        <f t="shared" ref="YM27" si="341">YK27*$C$27</f>
        <v>1333593.1393618335</v>
      </c>
      <c r="YO27" s="613">
        <f t="shared" ref="YO27" si="342">YM27*$C$27</f>
        <v>1346929.0707554519</v>
      </c>
      <c r="YQ27" s="613">
        <f t="shared" ref="YQ27" si="343">YO27*$C$27</f>
        <v>1360398.3614630064</v>
      </c>
      <c r="YS27" s="613">
        <f t="shared" ref="YS27" si="344">YQ27*$C$27</f>
        <v>1374002.3450776364</v>
      </c>
      <c r="YU27" s="613">
        <f t="shared" ref="YU27" si="345">YS27*$C$27</f>
        <v>1387742.3685284129</v>
      </c>
      <c r="YW27" s="613">
        <f t="shared" ref="YW27" si="346">YU27*$C$27</f>
        <v>1401619.792213697</v>
      </c>
      <c r="YY27" s="613">
        <f t="shared" ref="YY27" si="347">YW27*$C$27</f>
        <v>1415635.9901358339</v>
      </c>
      <c r="ZA27" s="613">
        <f t="shared" ref="ZA27" si="348">YY27*$C$27</f>
        <v>1429792.3500371922</v>
      </c>
      <c r="ZC27" s="613">
        <f t="shared" ref="ZC27" si="349">ZA27*$C$27</f>
        <v>1444090.2735375641</v>
      </c>
      <c r="ZE27" s="613">
        <f t="shared" ref="ZE27" si="350">ZC27*$C$27</f>
        <v>1458531.1762729397</v>
      </c>
      <c r="ZG27" s="613">
        <f t="shared" ref="ZG27" si="351">ZE27*$C$27</f>
        <v>1473116.4880356691</v>
      </c>
      <c r="ZI27" s="613">
        <f t="shared" ref="ZI27" si="352">ZG27*$C$27</f>
        <v>1487847.6529160258</v>
      </c>
      <c r="ZK27" s="613">
        <f t="shared" ref="ZK27" si="353">ZI27*$C$27</f>
        <v>1502726.1294451861</v>
      </c>
      <c r="ZM27" s="613">
        <f t="shared" ref="ZM27" si="354">ZK27*$C$27</f>
        <v>1517753.3907396379</v>
      </c>
      <c r="ZO27" s="613">
        <f t="shared" ref="ZO27" si="355">ZM27*$C$27</f>
        <v>1532930.9246470344</v>
      </c>
      <c r="ZQ27" s="613">
        <f t="shared" ref="ZQ27" si="356">ZO27*$C$27</f>
        <v>1548260.2338935048</v>
      </c>
      <c r="ZS27" s="613">
        <f t="shared" ref="ZS27" si="357">ZQ27*$C$27</f>
        <v>1563742.8362324398</v>
      </c>
      <c r="ZU27" s="613">
        <f t="shared" ref="ZU27" si="358">ZS27*$C$27</f>
        <v>1579380.2645947642</v>
      </c>
      <c r="ZW27" s="613">
        <f t="shared" ref="ZW27" si="359">ZU27*$C$27</f>
        <v>1595174.0672407118</v>
      </c>
      <c r="ZY27" s="613">
        <f t="shared" ref="ZY27" si="360">ZW27*$C$27</f>
        <v>1611125.807913119</v>
      </c>
      <c r="AAA27" s="613">
        <f t="shared" ref="AAA27" si="361">ZY27*$C$27</f>
        <v>1627237.0659922501</v>
      </c>
      <c r="AAC27" s="613">
        <f t="shared" ref="AAC27" si="362">AAA27*$C$27</f>
        <v>1643509.4366521726</v>
      </c>
      <c r="AAE27" s="613">
        <f t="shared" ref="AAE27" si="363">AAC27*$C$27</f>
        <v>1659944.5310186944</v>
      </c>
      <c r="AAG27" s="613">
        <f t="shared" ref="AAG27" si="364">AAE27*$C$27</f>
        <v>1676543.9763288815</v>
      </c>
      <c r="AAI27" s="613">
        <f t="shared" ref="AAI27" si="365">AAG27*$C$27</f>
        <v>1693309.4160921704</v>
      </c>
      <c r="AAK27" s="613">
        <f t="shared" ref="AAK27" si="366">AAI27*$C$27</f>
        <v>1710242.510253092</v>
      </c>
      <c r="AAM27" s="613">
        <f t="shared" ref="AAM27" si="367">AAK27*$C$27</f>
        <v>1727344.935355623</v>
      </c>
      <c r="AAO27" s="613">
        <f t="shared" ref="AAO27" si="368">AAM27*$C$27</f>
        <v>1744618.3847091792</v>
      </c>
      <c r="AAQ27" s="613">
        <f t="shared" ref="AAQ27" si="369">AAO27*$C$27</f>
        <v>1762064.568556271</v>
      </c>
      <c r="AAS27" s="613">
        <f t="shared" ref="AAS27" si="370">AAQ27*$C$27</f>
        <v>1779685.2142418337</v>
      </c>
      <c r="AAU27" s="613">
        <f t="shared" ref="AAU27" si="371">AAS27*$C$27</f>
        <v>1797482.0663842519</v>
      </c>
      <c r="AAW27" s="613">
        <f t="shared" ref="AAW27" si="372">AAU27*$C$27</f>
        <v>1815456.8870480945</v>
      </c>
      <c r="AAY27" s="613">
        <f t="shared" ref="AAY27" si="373">AAW27*$C$27</f>
        <v>1833611.4559185754</v>
      </c>
      <c r="ABA27" s="613">
        <f t="shared" ref="ABA27" si="374">AAY27*$C$27</f>
        <v>1851947.5704777611</v>
      </c>
      <c r="ABC27" s="613">
        <f t="shared" ref="ABC27" si="375">ABA27*$C$27</f>
        <v>1870467.0461825386</v>
      </c>
      <c r="ABE27" s="613">
        <f t="shared" ref="ABE27" si="376">ABC27*$C$27</f>
        <v>1889171.7166443639</v>
      </c>
      <c r="ABG27" s="613">
        <f t="shared" ref="ABG27" si="377">ABE27*$C$27</f>
        <v>1908063.4338108075</v>
      </c>
      <c r="ABI27" s="613">
        <f t="shared" ref="ABI27" si="378">ABG27*$C$27</f>
        <v>1927144.0681489157</v>
      </c>
      <c r="ABK27" s="613">
        <f t="shared" ref="ABK27" si="379">ABI27*$C$27</f>
        <v>1946415.5088304048</v>
      </c>
      <c r="ABM27" s="613">
        <f t="shared" ref="ABM27" si="380">ABK27*$C$27</f>
        <v>1965879.6639187089</v>
      </c>
      <c r="ABO27" s="613">
        <f t="shared" ref="ABO27" si="381">ABM27*$C$27</f>
        <v>1985538.4605578959</v>
      </c>
      <c r="ABQ27" s="613">
        <f t="shared" ref="ABQ27" si="382">ABO27*$C$27</f>
        <v>2005393.845163475</v>
      </c>
      <c r="ABS27" s="613">
        <f t="shared" ref="ABS27" si="383">ABQ27*$C$27</f>
        <v>2025447.7836151097</v>
      </c>
      <c r="ABU27" s="613">
        <f t="shared" ref="ABU27" si="384">ABS27*$C$27</f>
        <v>2045702.2614512609</v>
      </c>
      <c r="ABW27" s="613">
        <f t="shared" ref="ABW27" si="385">ABU27*$C$27</f>
        <v>2066159.2840657735</v>
      </c>
      <c r="ABY27" s="613">
        <f t="shared" ref="ABY27" si="386">ABW27*$C$27</f>
        <v>2086820.8769064313</v>
      </c>
      <c r="ACA27" s="613">
        <f t="shared" ref="ACA27" si="387">ABY27*$C$27</f>
        <v>2107689.0856754957</v>
      </c>
      <c r="ACC27" s="613">
        <f t="shared" ref="ACC27" si="388">ACA27*$C$27</f>
        <v>2128765.9765322506</v>
      </c>
      <c r="ACE27" s="613">
        <f t="shared" ref="ACE27" si="389">ACC27*$C$27</f>
        <v>2150053.6362975733</v>
      </c>
      <c r="ACG27" s="613">
        <f t="shared" ref="ACG27" si="390">ACE27*$C$27</f>
        <v>2171554.1726605492</v>
      </c>
      <c r="ACI27" s="613">
        <f t="shared" ref="ACI27" si="391">ACG27*$C$27</f>
        <v>2193269.7143871547</v>
      </c>
      <c r="ACK27" s="613">
        <f t="shared" ref="ACK27" si="392">ACI27*$C$27</f>
        <v>2215202.411531026</v>
      </c>
      <c r="ACM27" s="613">
        <f t="shared" ref="ACM27" si="393">ACK27*$C$27</f>
        <v>2237354.4356463361</v>
      </c>
      <c r="ACO27" s="613">
        <f t="shared" ref="ACO27" si="394">ACM27*$C$27</f>
        <v>2259727.9800027995</v>
      </c>
      <c r="ACQ27" s="613">
        <f t="shared" ref="ACQ27" si="395">ACO27*$C$27</f>
        <v>2282325.2598028276</v>
      </c>
      <c r="ACS27" s="613">
        <f t="shared" ref="ACS27" si="396">ACQ27*$C$27</f>
        <v>2305148.5124008558</v>
      </c>
      <c r="ACU27" s="613">
        <f t="shared" ref="ACU27" si="397">ACS27*$C$27</f>
        <v>2328199.9975248645</v>
      </c>
      <c r="ACW27" s="613">
        <f t="shared" ref="ACW27" si="398">ACU27*$C$27</f>
        <v>2351481.9975001132</v>
      </c>
      <c r="ACY27" s="613">
        <f t="shared" ref="ACY27" si="399">ACW27*$C$27</f>
        <v>2374996.8174751145</v>
      </c>
      <c r="ADA27" s="613">
        <f t="shared" ref="ADA27" si="400">ACY27*$C$27</f>
        <v>2398746.7856498659</v>
      </c>
      <c r="ADC27" s="613">
        <f t="shared" ref="ADC27" si="401">ADA27*$C$27</f>
        <v>2422734.2535063648</v>
      </c>
      <c r="ADE27" s="613">
        <f t="shared" ref="ADE27" si="402">ADC27*$C$27</f>
        <v>2446961.5960414284</v>
      </c>
      <c r="ADG27" s="613">
        <f t="shared" ref="ADG27" si="403">ADE27*$C$27</f>
        <v>2471431.2120018429</v>
      </c>
      <c r="ADI27" s="613">
        <f t="shared" ref="ADI27" si="404">ADG27*$C$27</f>
        <v>2496145.5241218614</v>
      </c>
      <c r="ADK27" s="613">
        <f t="shared" ref="ADK27" si="405">ADI27*$C$27</f>
        <v>2521106.9793630801</v>
      </c>
      <c r="ADM27" s="613">
        <f t="shared" ref="ADM27" si="406">ADK27*$C$27</f>
        <v>2546318.049156711</v>
      </c>
      <c r="ADO27" s="613">
        <f t="shared" ref="ADO27" si="407">ADM27*$C$27</f>
        <v>2571781.2296482781</v>
      </c>
      <c r="ADQ27" s="613">
        <f t="shared" ref="ADQ27" si="408">ADO27*$C$27</f>
        <v>2597499.0419447608</v>
      </c>
      <c r="ADS27" s="613">
        <f t="shared" ref="ADS27" si="409">ADQ27*$C$27</f>
        <v>2623474.0323642083</v>
      </c>
      <c r="ADU27" s="613">
        <f t="shared" ref="ADU27" si="410">ADS27*$C$27</f>
        <v>2649708.7726878505</v>
      </c>
      <c r="ADW27" s="613">
        <f t="shared" ref="ADW27" si="411">ADU27*$C$27</f>
        <v>2676205.860414729</v>
      </c>
      <c r="ADY27" s="613">
        <f t="shared" ref="ADY27" si="412">ADW27*$C$27</f>
        <v>2702967.9190188763</v>
      </c>
      <c r="AEA27" s="613">
        <f t="shared" ref="AEA27" si="413">ADY27*$C$27</f>
        <v>2729997.5982090649</v>
      </c>
      <c r="AEC27" s="613">
        <f t="shared" ref="AEC27" si="414">AEA27*$C$27</f>
        <v>2757297.5741911554</v>
      </c>
      <c r="AEE27" s="613">
        <f t="shared" ref="AEE27" si="415">AEC27*$C$27</f>
        <v>2784870.5499330671</v>
      </c>
      <c r="AEG27" s="613">
        <f t="shared" ref="AEG27" si="416">AEE27*$C$27</f>
        <v>2812719.2554323976</v>
      </c>
      <c r="AEI27" s="613">
        <f t="shared" ref="AEI27" si="417">AEG27*$C$27</f>
        <v>2840846.4479867215</v>
      </c>
      <c r="AEK27" s="613">
        <f t="shared" ref="AEK27" si="418">AEI27*$C$27</f>
        <v>2869254.9124665889</v>
      </c>
      <c r="AEM27" s="613">
        <f t="shared" ref="AEM27" si="419">AEK27*$C$27</f>
        <v>2897947.4615912549</v>
      </c>
      <c r="AEO27" s="613">
        <f t="shared" ref="AEO27" si="420">AEM27*$C$27</f>
        <v>2926926.9362071673</v>
      </c>
      <c r="AEQ27" s="613">
        <f t="shared" ref="AEQ27" si="421">AEO27*$C$27</f>
        <v>2956196.2055692389</v>
      </c>
      <c r="AES27" s="613">
        <f t="shared" ref="AES27" si="422">AEQ27*$C$27</f>
        <v>2985758.1676249313</v>
      </c>
      <c r="AEU27" s="613">
        <f t="shared" ref="AEU27" si="423">AES27*$C$27</f>
        <v>3015615.7493011807</v>
      </c>
      <c r="AEW27" s="613">
        <f t="shared" ref="AEW27" si="424">AEU27*$C$27</f>
        <v>3045771.9067941927</v>
      </c>
      <c r="AEY27" s="613">
        <f t="shared" ref="AEY27" si="425">AEW27*$C$27</f>
        <v>3076229.6258621346</v>
      </c>
      <c r="AFA27" s="613">
        <f t="shared" ref="AFA27" si="426">AEY27*$C$27</f>
        <v>3106991.922120756</v>
      </c>
      <c r="AFC27" s="613">
        <f t="shared" ref="AFC27" si="427">AFA27*$C$27</f>
        <v>3138061.8413419635</v>
      </c>
      <c r="AFE27" s="613">
        <f t="shared" ref="AFE27" si="428">AFC27*$C$27</f>
        <v>3169442.459755383</v>
      </c>
      <c r="AFG27" s="613">
        <f t="shared" ref="AFG27" si="429">AFE27*$C$27</f>
        <v>3201136.8843529369</v>
      </c>
      <c r="AFI27" s="613">
        <f t="shared" ref="AFI27" si="430">AFG27*$C$27</f>
        <v>3233148.2531964662</v>
      </c>
      <c r="AFK27" s="613">
        <f t="shared" ref="AFK27" si="431">AFI27*$C$27</f>
        <v>3265479.735728431</v>
      </c>
      <c r="AFM27" s="613">
        <f t="shared" ref="AFM27" si="432">AFK27*$C$27</f>
        <v>3298134.5330857155</v>
      </c>
      <c r="AFO27" s="613">
        <f t="shared" ref="AFO27" si="433">AFM27*$C$27</f>
        <v>3331115.8784165727</v>
      </c>
      <c r="AFQ27" s="613">
        <f t="shared" ref="AFQ27" si="434">AFO27*$C$27</f>
        <v>3364427.0372007387</v>
      </c>
      <c r="AFS27" s="613">
        <f t="shared" ref="AFS27" si="435">AFQ27*$C$27</f>
        <v>3398071.3075727462</v>
      </c>
      <c r="AFU27" s="613">
        <f t="shared" ref="AFU27" si="436">AFS27*$C$27</f>
        <v>3432052.0206484739</v>
      </c>
      <c r="AFW27" s="613">
        <f t="shared" ref="AFW27" si="437">AFU27*$C$27</f>
        <v>3466372.5408549588</v>
      </c>
      <c r="AFY27" s="613">
        <f t="shared" ref="AFY27" si="438">AFW27*$C$27</f>
        <v>3501036.2662635082</v>
      </c>
      <c r="AGA27" s="613">
        <f t="shared" ref="AGA27" si="439">AFY27*$C$27</f>
        <v>3536046.6289261435</v>
      </c>
      <c r="AGC27" s="613">
        <f t="shared" ref="AGC27" si="440">AGA27*$C$27</f>
        <v>3571407.0952154049</v>
      </c>
      <c r="AGE27" s="613">
        <f t="shared" ref="AGE27" si="441">AGC27*$C$27</f>
        <v>3607121.1661675591</v>
      </c>
      <c r="AGG27" s="613">
        <f t="shared" ref="AGG27" si="442">AGE27*$C$27</f>
        <v>3643192.3778292346</v>
      </c>
      <c r="AGI27" s="613">
        <f t="shared" ref="AGI27" si="443">AGG27*$C$27</f>
        <v>3679624.3016075268</v>
      </c>
      <c r="AGK27" s="613">
        <f t="shared" ref="AGK27" si="444">AGI27*$C$27</f>
        <v>3716420.5446236022</v>
      </c>
      <c r="AGM27" s="613">
        <f t="shared" ref="AGM27" si="445">AGK27*$C$27</f>
        <v>3753584.750069838</v>
      </c>
      <c r="AGO27" s="613">
        <f t="shared" ref="AGO27" si="446">AGM27*$C$27</f>
        <v>3791120.5975705367</v>
      </c>
      <c r="AGQ27" s="613">
        <f t="shared" ref="AGQ27" si="447">AGO27*$C$27</f>
        <v>3829031.803546242</v>
      </c>
      <c r="AGS27" s="613">
        <f t="shared" ref="AGS27" si="448">AGQ27*$C$27</f>
        <v>3867322.1215817044</v>
      </c>
      <c r="AGU27" s="613">
        <f t="shared" ref="AGU27" si="449">AGS27*$C$27</f>
        <v>3905995.3427975215</v>
      </c>
      <c r="AGW27" s="613">
        <f t="shared" ref="AGW27" si="450">AGU27*$C$27</f>
        <v>3945055.2962254966</v>
      </c>
      <c r="AGY27" s="613">
        <f t="shared" ref="AGY27" si="451">AGW27*$C$27</f>
        <v>3984505.8491877518</v>
      </c>
      <c r="AHA27" s="613">
        <f t="shared" ref="AHA27" si="452">AGY27*$C$27</f>
        <v>4024350.9076796295</v>
      </c>
      <c r="AHC27" s="613">
        <f t="shared" ref="AHC27" si="453">AHA27*$C$27</f>
        <v>4064594.416756426</v>
      </c>
      <c r="AHE27" s="613">
        <f t="shared" ref="AHE27" si="454">AHC27*$C$27</f>
        <v>4105240.3609239901</v>
      </c>
      <c r="AHG27" s="613">
        <f t="shared" ref="AHG27" si="455">AHE27*$C$27</f>
        <v>4146292.7645332301</v>
      </c>
      <c r="AHI27" s="613">
        <f t="shared" ref="AHI27" si="456">AHG27*$C$27</f>
        <v>4187755.6921785623</v>
      </c>
      <c r="AHK27" s="613">
        <f t="shared" ref="AHK27" si="457">AHI27*$C$27</f>
        <v>4229633.249100348</v>
      </c>
      <c r="AHM27" s="613">
        <f t="shared" ref="AHM27" si="458">AHK27*$C$27</f>
        <v>4271929.5815913519</v>
      </c>
      <c r="AHO27" s="613">
        <f t="shared" ref="AHO27" si="459">AHM27*$C$27</f>
        <v>4314648.8774072658</v>
      </c>
      <c r="AHQ27" s="613">
        <f t="shared" ref="AHQ27" si="460">AHO27*$C$27</f>
        <v>4357795.3661813382</v>
      </c>
      <c r="AHS27" s="613">
        <f t="shared" ref="AHS27" si="461">AHQ27*$C$27</f>
        <v>4401373.3198431516</v>
      </c>
      <c r="AHU27" s="613">
        <f t="shared" ref="AHU27" si="462">AHS27*$C$27</f>
        <v>4445387.0530415829</v>
      </c>
      <c r="AHW27" s="613">
        <f t="shared" ref="AHW27" si="463">AHU27*$C$27</f>
        <v>4489840.9235719992</v>
      </c>
      <c r="AHY27" s="613">
        <f t="shared" ref="AHY27" si="464">AHW27*$C$27</f>
        <v>4534739.3328077188</v>
      </c>
      <c r="AIA27" s="613">
        <f t="shared" ref="AIA27" si="465">AHY27*$C$27</f>
        <v>4580086.7261357959</v>
      </c>
      <c r="AIC27" s="613">
        <f t="shared" ref="AIC27" si="466">AIA27*$C$27</f>
        <v>4625887.5933971535</v>
      </c>
      <c r="AIE27" s="613">
        <f t="shared" ref="AIE27" si="467">AIC27*$C$27</f>
        <v>4672146.4693311248</v>
      </c>
      <c r="AIG27" s="613">
        <f t="shared" ref="AIG27" si="468">AIE27*$C$27</f>
        <v>4718867.9340244364</v>
      </c>
      <c r="AII27" s="613">
        <f t="shared" ref="AII27" si="469">AIG27*$C$27</f>
        <v>4766056.6133646807</v>
      </c>
      <c r="AIK27" s="613">
        <f t="shared" ref="AIK27" si="470">AII27*$C$27</f>
        <v>4813717.1794983279</v>
      </c>
      <c r="AIM27" s="613">
        <f t="shared" ref="AIM27" si="471">AIK27*$C$27</f>
        <v>4861854.3512933115</v>
      </c>
      <c r="AIO27" s="613">
        <f t="shared" ref="AIO27" si="472">AIM27*$C$27</f>
        <v>4910472.8948062444</v>
      </c>
      <c r="AIQ27" s="613">
        <f t="shared" ref="AIQ27" si="473">AIO27*$C$27</f>
        <v>4959577.6237543067</v>
      </c>
      <c r="AIS27" s="613">
        <f t="shared" ref="AIS27" si="474">AIQ27*$C$27</f>
        <v>5009173.3999918494</v>
      </c>
      <c r="AIU27" s="613">
        <f t="shared" ref="AIU27" si="475">AIS27*$C$27</f>
        <v>5059265.1339917677</v>
      </c>
      <c r="AIW27" s="613">
        <f t="shared" ref="AIW27" si="476">AIU27*$C$27</f>
        <v>5109857.7853316851</v>
      </c>
      <c r="AIY27" s="613">
        <f t="shared" ref="AIY27" si="477">AIW27*$C$27</f>
        <v>5160956.3631850015</v>
      </c>
      <c r="AJA27" s="613">
        <f t="shared" ref="AJA27" si="478">AIY27*$C$27</f>
        <v>5212565.9268168518</v>
      </c>
      <c r="AJC27" s="613">
        <f t="shared" ref="AJC27" si="479">AJA27*$C$27</f>
        <v>5264691.5860850206</v>
      </c>
      <c r="AJE27" s="613">
        <f t="shared" ref="AJE27" si="480">AJC27*$C$27</f>
        <v>5317338.5019458709</v>
      </c>
      <c r="AJG27" s="613">
        <f t="shared" ref="AJG27" si="481">AJE27*$C$27</f>
        <v>5370511.8869653298</v>
      </c>
      <c r="AJI27" s="613">
        <f t="shared" ref="AJI27" si="482">AJG27*$C$27</f>
        <v>5424217.0058349827</v>
      </c>
      <c r="AJK27" s="613">
        <f t="shared" ref="AJK27" si="483">AJI27*$C$27</f>
        <v>5478459.1758933328</v>
      </c>
      <c r="AJM27" s="613">
        <f t="shared" ref="AJM27" si="484">AJK27*$C$27</f>
        <v>5533243.7676522657</v>
      </c>
      <c r="AJO27" s="613">
        <f t="shared" ref="AJO27" si="485">AJM27*$C$27</f>
        <v>5588576.2053287886</v>
      </c>
      <c r="AJQ27" s="613">
        <f t="shared" ref="AJQ27" si="486">AJO27*$C$27</f>
        <v>5644461.9673820762</v>
      </c>
      <c r="AJS27" s="613">
        <f t="shared" ref="AJS27" si="487">AJQ27*$C$27</f>
        <v>5700906.5870558973</v>
      </c>
      <c r="AJU27" s="613">
        <f t="shared" ref="AJU27" si="488">AJS27*$C$27</f>
        <v>5757915.6529264562</v>
      </c>
      <c r="AJW27" s="613">
        <f t="shared" ref="AJW27" si="489">AJU27*$C$27</f>
        <v>5815494.8094557207</v>
      </c>
      <c r="AJY27" s="613">
        <f t="shared" ref="AJY27" si="490">AJW27*$C$27</f>
        <v>5873649.7575502777</v>
      </c>
      <c r="AKA27" s="613">
        <f t="shared" ref="AKA27" si="491">AJY27*$C$27</f>
        <v>5932386.2551257806</v>
      </c>
      <c r="AKC27" s="613">
        <f t="shared" ref="AKC27" si="492">AKA27*$C$27</f>
        <v>5991710.1176770385</v>
      </c>
      <c r="AKE27" s="613">
        <f t="shared" ref="AKE27" si="493">AKC27*$C$27</f>
        <v>6051627.2188538089</v>
      </c>
      <c r="AKG27" s="613">
        <f t="shared" ref="AKG27" si="494">AKE27*$C$27</f>
        <v>6112143.4910423467</v>
      </c>
      <c r="AKI27" s="613">
        <f t="shared" ref="AKI27" si="495">AKG27*$C$27</f>
        <v>6173264.9259527698</v>
      </c>
      <c r="AKK27" s="613">
        <f t="shared" ref="AKK27" si="496">AKI27*$C$27</f>
        <v>6234997.575212298</v>
      </c>
      <c r="AKM27" s="613">
        <f t="shared" ref="AKM27" si="497">AKK27*$C$27</f>
        <v>6297347.5509644207</v>
      </c>
      <c r="AKO27" s="613">
        <f t="shared" ref="AKO27" si="498">AKM27*$C$27</f>
        <v>6360321.0264740651</v>
      </c>
      <c r="AKQ27" s="613">
        <f t="shared" ref="AKQ27" si="499">AKO27*$C$27</f>
        <v>6423924.2367388057</v>
      </c>
      <c r="AKS27" s="613">
        <f t="shared" ref="AKS27" si="500">AKQ27*$C$27</f>
        <v>6488163.4791061934</v>
      </c>
      <c r="AKU27" s="613">
        <f t="shared" ref="AKU27" si="501">AKS27*$C$27</f>
        <v>6553045.1138972556</v>
      </c>
      <c r="AKW27" s="613">
        <f t="shared" ref="AKW27" si="502">AKU27*$C$27</f>
        <v>6618575.5650362279</v>
      </c>
      <c r="AKY27" s="613">
        <f t="shared" ref="AKY27" si="503">AKW27*$C$27</f>
        <v>6684761.3206865899</v>
      </c>
      <c r="ALA27" s="613">
        <f t="shared" ref="ALA27" si="504">AKY27*$C$27</f>
        <v>6751608.9338934561</v>
      </c>
      <c r="ALC27" s="613">
        <f t="shared" ref="ALC27" si="505">ALA27*$C$27</f>
        <v>6819125.0232323911</v>
      </c>
      <c r="ALE27" s="613">
        <f t="shared" ref="ALE27" si="506">ALC27*$C$27</f>
        <v>6887316.2734647151</v>
      </c>
      <c r="ALG27" s="613">
        <f t="shared" ref="ALG27" si="507">ALE27*$C$27</f>
        <v>6956189.4361993624</v>
      </c>
      <c r="ALI27" s="613">
        <f t="shared" ref="ALI27" si="508">ALG27*$C$27</f>
        <v>7025751.3305613557</v>
      </c>
      <c r="ALK27" s="613">
        <f t="shared" ref="ALK27" si="509">ALI27*$C$27</f>
        <v>7096008.8438669695</v>
      </c>
      <c r="ALM27" s="613">
        <f t="shared" ref="ALM27" si="510">ALK27*$C$27</f>
        <v>7166968.9323056396</v>
      </c>
      <c r="ALO27" s="613">
        <f t="shared" ref="ALO27" si="511">ALM27*$C$27</f>
        <v>7238638.6216286961</v>
      </c>
      <c r="ALQ27" s="613">
        <f t="shared" ref="ALQ27" si="512">ALO27*$C$27</f>
        <v>7311025.0078449827</v>
      </c>
      <c r="ALS27" s="613">
        <f t="shared" ref="ALS27" si="513">ALQ27*$C$27</f>
        <v>7384135.2579234326</v>
      </c>
      <c r="ALU27" s="613">
        <f t="shared" ref="ALU27" si="514">ALS27*$C$27</f>
        <v>7457976.6105026668</v>
      </c>
      <c r="ALW27" s="613">
        <f t="shared" ref="ALW27" si="515">ALU27*$C$27</f>
        <v>7532556.3766076937</v>
      </c>
      <c r="ALY27" s="613">
        <f t="shared" ref="ALY27" si="516">ALW27*$C$27</f>
        <v>7607881.9403737709</v>
      </c>
      <c r="AMA27" s="613">
        <f t="shared" ref="AMA27" si="517">ALY27*$C$27</f>
        <v>7683960.7597775087</v>
      </c>
      <c r="AMC27" s="613">
        <f t="shared" ref="AMC27" si="518">AMA27*$C$27</f>
        <v>7760800.3673752835</v>
      </c>
      <c r="AME27" s="613">
        <f t="shared" ref="AME27" si="519">AMC27*$C$27</f>
        <v>7838408.3710490363</v>
      </c>
      <c r="AMG27" s="613">
        <f t="shared" ref="AMG27" si="520">AME27*$C$27</f>
        <v>7916792.454759527</v>
      </c>
      <c r="AMI27" s="613">
        <f t="shared" ref="AMI27" si="521">AMG27*$C$27</f>
        <v>7995960.379307122</v>
      </c>
      <c r="AMK27" s="613">
        <f t="shared" ref="AMK27" si="522">AMI27*$C$27</f>
        <v>8075919.9831001936</v>
      </c>
      <c r="AMM27" s="613">
        <f t="shared" ref="AMM27" si="523">AMK27*$C$27</f>
        <v>8156679.1829311959</v>
      </c>
      <c r="AMO27" s="613">
        <f t="shared" ref="AMO27" si="524">AMM27*$C$27</f>
        <v>8238245.9747605082</v>
      </c>
      <c r="AMQ27" s="613">
        <f t="shared" ref="AMQ27" si="525">AMO27*$C$27</f>
        <v>8320628.4345081132</v>
      </c>
      <c r="AMS27" s="613">
        <f t="shared" ref="AMS27" si="526">AMQ27*$C$27</f>
        <v>8403834.7188531943</v>
      </c>
      <c r="AMU27" s="613">
        <f t="shared" ref="AMU27" si="527">AMS27*$C$27</f>
        <v>8487873.0660417266</v>
      </c>
      <c r="AMW27" s="613">
        <f t="shared" ref="AMW27" si="528">AMU27*$C$27</f>
        <v>8572751.7967021447</v>
      </c>
      <c r="AMY27" s="613">
        <f t="shared" ref="AMY27" si="529">AMW27*$C$27</f>
        <v>8658479.3146691658</v>
      </c>
      <c r="ANA27" s="613">
        <f t="shared" ref="ANA27" si="530">AMY27*$C$27</f>
        <v>8745064.107815858</v>
      </c>
      <c r="ANC27" s="613">
        <f t="shared" ref="ANC27" si="531">ANA27*$C$27</f>
        <v>8832514.7488940172</v>
      </c>
      <c r="ANE27" s="613">
        <f t="shared" ref="ANE27" si="532">ANC27*$C$27</f>
        <v>8920839.8963829577</v>
      </c>
      <c r="ANG27" s="613">
        <f t="shared" ref="ANG27" si="533">ANE27*$C$27</f>
        <v>9010048.2953467872</v>
      </c>
      <c r="ANI27" s="613">
        <f t="shared" ref="ANI27" si="534">ANG27*$C$27</f>
        <v>9100148.7783002555</v>
      </c>
      <c r="ANK27" s="613">
        <f t="shared" ref="ANK27" si="535">ANI27*$C$27</f>
        <v>9191150.2660832573</v>
      </c>
      <c r="ANM27" s="613">
        <f t="shared" ref="ANM27" si="536">ANK27*$C$27</f>
        <v>9283061.7687440906</v>
      </c>
      <c r="ANO27" s="613">
        <f t="shared" ref="ANO27" si="537">ANM27*$C$27</f>
        <v>9375892.386431532</v>
      </c>
      <c r="ANQ27" s="613">
        <f t="shared" ref="ANQ27" si="538">ANO27*$C$27</f>
        <v>9469651.3102958482</v>
      </c>
      <c r="ANS27" s="613">
        <f t="shared" ref="ANS27" si="539">ANQ27*$C$27</f>
        <v>9564347.8233988062</v>
      </c>
      <c r="ANU27" s="613">
        <f t="shared" ref="ANU27" si="540">ANS27*$C$27</f>
        <v>9659991.3016327936</v>
      </c>
      <c r="ANW27" s="613">
        <f t="shared" ref="ANW27" si="541">ANU27*$C$27</f>
        <v>9756591.2146491222</v>
      </c>
      <c r="ANY27" s="613">
        <f t="shared" ref="ANY27" si="542">ANW27*$C$27</f>
        <v>9854157.1267956141</v>
      </c>
      <c r="AOA27" s="613">
        <f t="shared" ref="AOA27" si="543">ANY27*$C$27</f>
        <v>9952698.698063571</v>
      </c>
      <c r="AOC27" s="613">
        <f t="shared" ref="AOC27" si="544">AOA27*$C$27</f>
        <v>10052225.685044207</v>
      </c>
      <c r="AOE27" s="613">
        <f t="shared" ref="AOE27" si="545">AOC27*$C$27</f>
        <v>10152747.941894649</v>
      </c>
      <c r="AOG27" s="613">
        <f t="shared" ref="AOG27" si="546">AOE27*$C$27</f>
        <v>10254275.421313595</v>
      </c>
      <c r="AOI27" s="613">
        <f t="shared" ref="AOI27" si="547">AOG27*$C$27</f>
        <v>10356818.175526731</v>
      </c>
      <c r="AOK27" s="613">
        <f t="shared" ref="AOK27" si="548">AOI27*$C$27</f>
        <v>10460386.357281998</v>
      </c>
      <c r="AOM27" s="613">
        <f t="shared" ref="AOM27" si="549">AOK27*$C$27</f>
        <v>10564990.220854817</v>
      </c>
      <c r="AOO27" s="613">
        <f t="shared" ref="AOO27" si="550">AOM27*$C$27</f>
        <v>10670640.123063365</v>
      </c>
      <c r="AOQ27" s="613">
        <f t="shared" ref="AOQ27" si="551">AOO27*$C$27</f>
        <v>10777346.524293998</v>
      </c>
      <c r="AOS27" s="613">
        <f t="shared" ref="AOS27" si="552">AOQ27*$C$27</f>
        <v>10885119.989536939</v>
      </c>
      <c r="AOU27" s="613">
        <f t="shared" ref="AOU27" si="553">AOS27*$C$27</f>
        <v>10993971.189432308</v>
      </c>
      <c r="AOW27" s="613">
        <f t="shared" ref="AOW27" si="554">AOU27*$C$27</f>
        <v>11103910.901326632</v>
      </c>
      <c r="AOY27" s="613">
        <f t="shared" ref="AOY27" si="555">AOW27*$C$27</f>
        <v>11214950.010339899</v>
      </c>
      <c r="APA27" s="613">
        <f t="shared" ref="APA27" si="556">AOY27*$C$27</f>
        <v>11327099.510443298</v>
      </c>
      <c r="APC27" s="613">
        <f t="shared" ref="APC27" si="557">APA27*$C$27</f>
        <v>11440370.505547732</v>
      </c>
      <c r="APE27" s="613">
        <f t="shared" ref="APE27" si="558">APC27*$C$27</f>
        <v>11554774.210603209</v>
      </c>
      <c r="APG27" s="613">
        <f t="shared" ref="APG27" si="559">APE27*$C$27</f>
        <v>11670321.952709241</v>
      </c>
      <c r="API27" s="613">
        <f t="shared" ref="API27" si="560">APG27*$C$27</f>
        <v>11787025.172236333</v>
      </c>
      <c r="APK27" s="613">
        <f t="shared" ref="APK27" si="561">API27*$C$27</f>
        <v>11904895.423958696</v>
      </c>
      <c r="APM27" s="613">
        <f t="shared" ref="APM27" si="562">APK27*$C$27</f>
        <v>12023944.378198283</v>
      </c>
      <c r="APO27" s="613">
        <f t="shared" ref="APO27" si="563">APM27*$C$27</f>
        <v>12144183.821980266</v>
      </c>
      <c r="APQ27" s="613">
        <f t="shared" ref="APQ27" si="564">APO27*$C$27</f>
        <v>12265625.660200069</v>
      </c>
      <c r="APS27" s="613">
        <f t="shared" ref="APS27" si="565">APQ27*$C$27</f>
        <v>12388281.916802069</v>
      </c>
      <c r="APU27" s="613">
        <f t="shared" ref="APU27" si="566">APS27*$C$27</f>
        <v>12512164.735970089</v>
      </c>
      <c r="APW27" s="613">
        <f t="shared" ref="APW27" si="567">APU27*$C$27</f>
        <v>12637286.38332979</v>
      </c>
      <c r="APY27" s="613">
        <f t="shared" ref="APY27" si="568">APW27*$C$27</f>
        <v>12763659.247163089</v>
      </c>
      <c r="AQA27" s="613">
        <f t="shared" ref="AQA27" si="569">APY27*$C$27</f>
        <v>12891295.83963472</v>
      </c>
      <c r="AQC27" s="613">
        <f t="shared" ref="AQC27" si="570">AQA27*$C$27</f>
        <v>13020208.798031067</v>
      </c>
      <c r="AQE27" s="613">
        <f t="shared" ref="AQE27" si="571">AQC27*$C$27</f>
        <v>13150410.886011379</v>
      </c>
      <c r="AQG27" s="613">
        <f t="shared" ref="AQG27" si="572">AQE27*$C$27</f>
        <v>13281914.994871493</v>
      </c>
      <c r="AQI27" s="613">
        <f t="shared" ref="AQI27" si="573">AQG27*$C$27</f>
        <v>13414734.144820208</v>
      </c>
      <c r="AQK27" s="613">
        <f t="shared" ref="AQK27" si="574">AQI27*$C$27</f>
        <v>13548881.48626841</v>
      </c>
      <c r="AQM27" s="613">
        <f t="shared" ref="AQM27" si="575">AQK27*$C$27</f>
        <v>13684370.301131094</v>
      </c>
      <c r="AQO27" s="613">
        <f t="shared" ref="AQO27" si="576">AQM27*$C$27</f>
        <v>13821214.004142405</v>
      </c>
      <c r="AQQ27" s="613">
        <f t="shared" ref="AQQ27" si="577">AQO27*$C$27</f>
        <v>13959426.144183829</v>
      </c>
      <c r="AQS27" s="613">
        <f t="shared" ref="AQS27" si="578">AQQ27*$C$27</f>
        <v>14099020.405625667</v>
      </c>
      <c r="AQU27" s="613">
        <f t="shared" ref="AQU27" si="579">AQS27*$C$27</f>
        <v>14240010.609681925</v>
      </c>
      <c r="AQW27" s="613">
        <f t="shared" ref="AQW27" si="580">AQU27*$C$27</f>
        <v>14382410.715778744</v>
      </c>
      <c r="AQY27" s="613">
        <f t="shared" ref="AQY27" si="581">AQW27*$C$27</f>
        <v>14526234.822936531</v>
      </c>
      <c r="ARA27" s="613">
        <f t="shared" ref="ARA27" si="582">AQY27*$C$27</f>
        <v>14671497.171165897</v>
      </c>
      <c r="ARC27" s="613">
        <f t="shared" ref="ARC27" si="583">ARA27*$C$27</f>
        <v>14818212.142877556</v>
      </c>
      <c r="ARE27" s="613">
        <f t="shared" ref="ARE27" si="584">ARC27*$C$27</f>
        <v>14966394.264306333</v>
      </c>
      <c r="ARG27" s="613">
        <f t="shared" ref="ARG27" si="585">ARE27*$C$27</f>
        <v>15116058.206949396</v>
      </c>
      <c r="ARI27" s="613">
        <f t="shared" ref="ARI27" si="586">ARG27*$C$27</f>
        <v>15267218.78901889</v>
      </c>
      <c r="ARK27" s="613">
        <f t="shared" ref="ARK27" si="587">ARI27*$C$27</f>
        <v>15419890.976909079</v>
      </c>
      <c r="ARM27" s="613">
        <f t="shared" ref="ARM27" si="588">ARK27*$C$27</f>
        <v>15574089.88667817</v>
      </c>
      <c r="ARO27" s="613">
        <f t="shared" ref="ARO27" si="589">ARM27*$C$27</f>
        <v>15729830.785544952</v>
      </c>
      <c r="ARQ27" s="613">
        <f t="shared" ref="ARQ27" si="590">ARO27*$C$27</f>
        <v>15887129.093400402</v>
      </c>
      <c r="ARS27" s="613">
        <f t="shared" ref="ARS27" si="591">ARQ27*$C$27</f>
        <v>16046000.384334406</v>
      </c>
      <c r="ARU27" s="613">
        <f t="shared" ref="ARU27" si="592">ARS27*$C$27</f>
        <v>16206460.388177751</v>
      </c>
      <c r="ARW27" s="613">
        <f t="shared" ref="ARW27" si="593">ARU27*$C$27</f>
        <v>16368524.992059529</v>
      </c>
      <c r="ARY27" s="613">
        <f t="shared" ref="ARY27" si="594">ARW27*$C$27</f>
        <v>16532210.241980124</v>
      </c>
      <c r="ASA27" s="613">
        <f t="shared" ref="ASA27" si="595">ARY27*$C$27</f>
        <v>16697532.344399925</v>
      </c>
      <c r="ASC27" s="613">
        <f t="shared" ref="ASC27" si="596">ASA27*$C$27</f>
        <v>16864507.667843923</v>
      </c>
      <c r="ASE27" s="613">
        <f t="shared" ref="ASE27" si="597">ASC27*$C$27</f>
        <v>17033152.744522363</v>
      </c>
      <c r="ASG27" s="613">
        <f t="shared" ref="ASG27" si="598">ASE27*$C$27</f>
        <v>17203484.271967586</v>
      </c>
      <c r="ASI27" s="613">
        <f t="shared" ref="ASI27" si="599">ASG27*$C$27</f>
        <v>17375519.114687264</v>
      </c>
      <c r="ASK27" s="613">
        <f t="shared" ref="ASK27" si="600">ASI27*$C$27</f>
        <v>17549274.305834137</v>
      </c>
      <c r="ASM27" s="613">
        <f t="shared" ref="ASM27" si="601">ASK27*$C$27</f>
        <v>17724767.048892479</v>
      </c>
      <c r="ASO27" s="613">
        <f t="shared" ref="ASO27" si="602">ASM27*$C$27</f>
        <v>17902014.719381403</v>
      </c>
      <c r="ASQ27" s="613">
        <f t="shared" ref="ASQ27" si="603">ASO27*$C$27</f>
        <v>18081034.866575219</v>
      </c>
      <c r="ASS27" s="613">
        <f t="shared" ref="ASS27" si="604">ASQ27*$C$27</f>
        <v>18261845.21524097</v>
      </c>
      <c r="ASU27" s="613">
        <f t="shared" ref="ASU27" si="605">ASS27*$C$27</f>
        <v>18444463.667393379</v>
      </c>
      <c r="ASW27" s="613">
        <f t="shared" ref="ASW27" si="606">ASU27*$C$27</f>
        <v>18628908.304067314</v>
      </c>
      <c r="ASY27" s="613">
        <f t="shared" ref="ASY27" si="607">ASW27*$C$27</f>
        <v>18815197.387107987</v>
      </c>
      <c r="ATA27" s="613">
        <f t="shared" ref="ATA27" si="608">ASY27*$C$27</f>
        <v>19003349.360979065</v>
      </c>
      <c r="ATC27" s="613">
        <f t="shared" ref="ATC27" si="609">ATA27*$C$27</f>
        <v>19193382.854588855</v>
      </c>
      <c r="ATE27" s="613">
        <f t="shared" ref="ATE27" si="610">ATC27*$C$27</f>
        <v>19385316.683134742</v>
      </c>
      <c r="ATG27" s="613">
        <f t="shared" ref="ATG27" si="611">ATE27*$C$27</f>
        <v>19579169.84996609</v>
      </c>
      <c r="ATI27" s="613">
        <f t="shared" ref="ATI27" si="612">ATG27*$C$27</f>
        <v>19774961.548465751</v>
      </c>
      <c r="ATK27" s="613">
        <f t="shared" ref="ATK27" si="613">ATI27*$C$27</f>
        <v>19972711.16395041</v>
      </c>
      <c r="ATM27" s="613">
        <f t="shared" ref="ATM27" si="614">ATK27*$C$27</f>
        <v>20172438.275589913</v>
      </c>
      <c r="ATO27" s="613">
        <f t="shared" ref="ATO27" si="615">ATM27*$C$27</f>
        <v>20374162.658345811</v>
      </c>
      <c r="ATQ27" s="613">
        <f t="shared" ref="ATQ27" si="616">ATO27*$C$27</f>
        <v>20577904.284929268</v>
      </c>
      <c r="ATS27" s="613">
        <f t="shared" ref="ATS27" si="617">ATQ27*$C$27</f>
        <v>20783683.327778559</v>
      </c>
      <c r="ATU27" s="613">
        <f t="shared" ref="ATU27" si="618">ATS27*$C$27</f>
        <v>20991520.161056343</v>
      </c>
      <c r="ATW27" s="613">
        <f t="shared" ref="ATW27" si="619">ATU27*$C$27</f>
        <v>21201435.362666909</v>
      </c>
      <c r="ATY27" s="613">
        <f t="shared" ref="ATY27" si="620">ATW27*$C$27</f>
        <v>21413449.716293577</v>
      </c>
      <c r="AUA27" s="613">
        <f t="shared" ref="AUA27" si="621">ATY27*$C$27</f>
        <v>21627584.213456511</v>
      </c>
      <c r="AUC27" s="613">
        <f t="shared" ref="AUC27" si="622">AUA27*$C$27</f>
        <v>21843860.055591077</v>
      </c>
      <c r="AUE27" s="613">
        <f t="shared" ref="AUE27" si="623">AUC27*$C$27</f>
        <v>22062298.656146988</v>
      </c>
      <c r="AUG27" s="613">
        <f t="shared" ref="AUG27" si="624">AUE27*$C$27</f>
        <v>22282921.642708458</v>
      </c>
      <c r="AUI27" s="613">
        <f t="shared" ref="AUI27" si="625">AUG27*$C$27</f>
        <v>22505750.859135542</v>
      </c>
      <c r="AUK27" s="613">
        <f t="shared" ref="AUK27" si="626">AUI27*$C$27</f>
        <v>22730808.367726896</v>
      </c>
      <c r="AUM27" s="613">
        <f t="shared" ref="AUM27" si="627">AUK27*$C$27</f>
        <v>22958116.451404165</v>
      </c>
      <c r="AUO27" s="613">
        <f t="shared" ref="AUO27" si="628">AUM27*$C$27</f>
        <v>23187697.615918208</v>
      </c>
      <c r="AUQ27" s="613">
        <f t="shared" ref="AUQ27" si="629">AUO27*$C$27</f>
        <v>23419574.592077389</v>
      </c>
      <c r="AUS27" s="613">
        <f t="shared" ref="AUS27" si="630">AUQ27*$C$27</f>
        <v>23653770.337998163</v>
      </c>
      <c r="AUU27" s="613">
        <f t="shared" ref="AUU27" si="631">AUS27*$C$27</f>
        <v>23890308.041378144</v>
      </c>
      <c r="AUW27" s="613">
        <f t="shared" ref="AUW27" si="632">AUU27*$C$27</f>
        <v>24129211.121791925</v>
      </c>
      <c r="AUY27" s="613">
        <f t="shared" ref="AUY27" si="633">AUW27*$C$27</f>
        <v>24370503.233009845</v>
      </c>
      <c r="AVA27" s="613">
        <f t="shared" ref="AVA27" si="634">AUY27*$C$27</f>
        <v>24614208.265339945</v>
      </c>
      <c r="AVC27" s="613">
        <f t="shared" ref="AVC27" si="635">AVA27*$C$27</f>
        <v>24860350.347993344</v>
      </c>
      <c r="AVE27" s="613">
        <f t="shared" ref="AVE27" si="636">AVC27*$C$27</f>
        <v>25108953.851473279</v>
      </c>
      <c r="AVG27" s="613">
        <f t="shared" ref="AVG27" si="637">AVE27*$C$27</f>
        <v>25360043.389988013</v>
      </c>
      <c r="AVI27" s="613">
        <f t="shared" ref="AVI27" si="638">AVG27*$C$27</f>
        <v>25613643.823887892</v>
      </c>
      <c r="AVK27" s="613">
        <f t="shared" ref="AVK27" si="639">AVI27*$C$27</f>
        <v>25869780.26212677</v>
      </c>
      <c r="AVM27" s="613">
        <f t="shared" ref="AVM27" si="640">AVK27*$C$27</f>
        <v>26128478.064748038</v>
      </c>
      <c r="AVO27" s="613">
        <f t="shared" ref="AVO27" si="641">AVM27*$C$27</f>
        <v>26389762.845395517</v>
      </c>
      <c r="AVQ27" s="613">
        <f t="shared" ref="AVQ27" si="642">AVO27*$C$27</f>
        <v>26653660.473849472</v>
      </c>
      <c r="AVS27" s="613">
        <f t="shared" ref="AVS27" si="643">AVQ27*$C$27</f>
        <v>26920197.078587968</v>
      </c>
      <c r="AVU27" s="613">
        <f t="shared" ref="AVU27" si="644">AVS27*$C$27</f>
        <v>27189399.049373847</v>
      </c>
      <c r="AVW27" s="613">
        <f t="shared" ref="AVW27" si="645">AVU27*$C$27</f>
        <v>27461293.039867584</v>
      </c>
      <c r="AVY27" s="613">
        <f t="shared" ref="AVY27" si="646">AVW27*$C$27</f>
        <v>27735905.97026626</v>
      </c>
      <c r="AWA27" s="613">
        <f t="shared" ref="AWA27" si="647">AVY27*$C$27</f>
        <v>28013265.029968925</v>
      </c>
      <c r="AWC27" s="613">
        <f t="shared" ref="AWC27" si="648">AWA27*$C$27</f>
        <v>28293397.680268615</v>
      </c>
      <c r="AWE27" s="613">
        <f t="shared" ref="AWE27" si="649">AWC27*$C$27</f>
        <v>28576331.657071304</v>
      </c>
      <c r="AWG27" s="613">
        <f t="shared" ref="AWG27" si="650">AWE27*$C$27</f>
        <v>28862094.973642018</v>
      </c>
      <c r="AWI27" s="613">
        <f t="shared" ref="AWI27" si="651">AWG27*$C$27</f>
        <v>29150715.923378438</v>
      </c>
      <c r="AWK27" s="613">
        <f t="shared" ref="AWK27" si="652">AWI27*$C$27</f>
        <v>29442223.082612224</v>
      </c>
      <c r="AWM27" s="613">
        <f t="shared" ref="AWM27" si="653">AWK27*$C$27</f>
        <v>29736645.313438345</v>
      </c>
      <c r="AWO27" s="613">
        <f t="shared" ref="AWO27" si="654">AWM27*$C$27</f>
        <v>30034011.766572729</v>
      </c>
      <c r="AWQ27" s="613">
        <f t="shared" ref="AWQ27" si="655">AWO27*$C$27</f>
        <v>30334351.884238455</v>
      </c>
      <c r="AWS27" s="613">
        <f t="shared" ref="AWS27" si="656">AWQ27*$C$27</f>
        <v>30637695.40308084</v>
      </c>
      <c r="AWU27" s="613">
        <f t="shared" ref="AWU27" si="657">AWS27*$C$27</f>
        <v>30944072.357111648</v>
      </c>
      <c r="AWW27" s="613">
        <f t="shared" ref="AWW27" si="658">AWU27*$C$27</f>
        <v>31253513.080682766</v>
      </c>
      <c r="AWY27" s="613">
        <f t="shared" ref="AWY27" si="659">AWW27*$C$27</f>
        <v>31566048.211489595</v>
      </c>
      <c r="AXA27" s="613">
        <f t="shared" ref="AXA27" si="660">AWY27*$C$27</f>
        <v>31881708.693604492</v>
      </c>
      <c r="AXC27" s="613">
        <f t="shared" ref="AXC27" si="661">AXA27*$C$27</f>
        <v>32200525.780540537</v>
      </c>
      <c r="AXE27" s="613">
        <f t="shared" ref="AXE27" si="662">AXC27*$C$27</f>
        <v>32522531.038345944</v>
      </c>
      <c r="AXG27" s="613">
        <f t="shared" ref="AXG27" si="663">AXE27*$C$27</f>
        <v>32847756.348729406</v>
      </c>
      <c r="AXI27" s="613">
        <f t="shared" ref="AXI27" si="664">AXG27*$C$27</f>
        <v>33176233.912216701</v>
      </c>
      <c r="AXK27" s="613">
        <f t="shared" ref="AXK27" si="665">AXI27*$C$27</f>
        <v>33507996.251338869</v>
      </c>
      <c r="AXM27" s="613">
        <f t="shared" ref="AXM27" si="666">AXK27*$C$27</f>
        <v>33843076.213852257</v>
      </c>
      <c r="AXO27" s="613">
        <f t="shared" ref="AXO27" si="667">AXM27*$C$27</f>
        <v>34181506.97599078</v>
      </c>
      <c r="AXQ27" s="613">
        <f t="shared" ref="AXQ27" si="668">AXO27*$C$27</f>
        <v>34523322.045750685</v>
      </c>
      <c r="AXS27" s="613">
        <f t="shared" ref="AXS27" si="669">AXQ27*$C$27</f>
        <v>34868555.266208194</v>
      </c>
      <c r="AXU27" s="613">
        <f t="shared" ref="AXU27" si="670">AXS27*$C$27</f>
        <v>35217240.818870276</v>
      </c>
      <c r="AXW27" s="613">
        <f t="shared" ref="AXW27" si="671">AXU27*$C$27</f>
        <v>35569413.227058977</v>
      </c>
      <c r="AXY27" s="613">
        <f t="shared" ref="AXY27" si="672">AXW27*$C$27</f>
        <v>35925107.359329566</v>
      </c>
      <c r="AYA27" s="613">
        <f t="shared" ref="AYA27" si="673">AXY27*$C$27</f>
        <v>36284358.432922862</v>
      </c>
      <c r="AYC27" s="613">
        <f t="shared" ref="AYC27" si="674">AYA27*$C$27</f>
        <v>36647202.017252095</v>
      </c>
      <c r="AYE27" s="613">
        <f t="shared" ref="AYE27" si="675">AYC27*$C$27</f>
        <v>37013674.037424617</v>
      </c>
      <c r="AYG27" s="613">
        <f t="shared" ref="AYG27" si="676">AYE27*$C$27</f>
        <v>37383810.777798861</v>
      </c>
      <c r="AYI27" s="613">
        <f t="shared" ref="AYI27" si="677">AYG27*$C$27</f>
        <v>37757648.885576852</v>
      </c>
      <c r="AYK27" s="613">
        <f t="shared" ref="AYK27" si="678">AYI27*$C$27</f>
        <v>38135225.374432623</v>
      </c>
      <c r="AYM27" s="613">
        <f t="shared" ref="AYM27" si="679">AYK27*$C$27</f>
        <v>38516577.62817695</v>
      </c>
      <c r="AYO27" s="613">
        <f t="shared" ref="AYO27" si="680">AYM27*$C$27</f>
        <v>38901743.404458717</v>
      </c>
      <c r="AYQ27" s="613">
        <f t="shared" ref="AYQ27" si="681">AYO27*$C$27</f>
        <v>39290760.838503301</v>
      </c>
      <c r="AYS27" s="613">
        <f t="shared" ref="AYS27" si="682">AYQ27*$C$27</f>
        <v>39683668.446888335</v>
      </c>
      <c r="AYU27" s="613">
        <f t="shared" ref="AYU27" si="683">AYS27*$C$27</f>
        <v>40080505.131357215</v>
      </c>
      <c r="AYW27" s="613">
        <f t="shared" ref="AYW27" si="684">AYU27*$C$27</f>
        <v>40481310.182670787</v>
      </c>
      <c r="AYY27" s="613">
        <f t="shared" ref="AYY27" si="685">AYW27*$C$27</f>
        <v>40886123.284497492</v>
      </c>
      <c r="AZA27" s="613">
        <f t="shared" ref="AZA27" si="686">AYY27*$C$27</f>
        <v>41294984.517342471</v>
      </c>
      <c r="AZC27" s="613">
        <f t="shared" ref="AZC27" si="687">AZA27*$C$27</f>
        <v>41707934.362515897</v>
      </c>
      <c r="AZE27" s="613">
        <f t="shared" ref="AZE27" si="688">AZC27*$C$27</f>
        <v>42125013.706141055</v>
      </c>
      <c r="AZG27" s="613">
        <f t="shared" ref="AZG27" si="689">AZE27*$C$27</f>
        <v>42546263.843202464</v>
      </c>
      <c r="AZI27" s="613">
        <f t="shared" ref="AZI27" si="690">AZG27*$C$27</f>
        <v>42971726.48163449</v>
      </c>
      <c r="AZK27" s="613">
        <f t="shared" ref="AZK27" si="691">AZI27*$C$27</f>
        <v>43401443.746450834</v>
      </c>
      <c r="AZM27" s="613">
        <f t="shared" ref="AZM27" si="692">AZK27*$C$27</f>
        <v>43835458.183915339</v>
      </c>
      <c r="AZO27" s="613">
        <f t="shared" ref="AZO27" si="693">AZM27*$C$27</f>
        <v>44273812.765754491</v>
      </c>
      <c r="AZQ27" s="613">
        <f t="shared" ref="AZQ27" si="694">AZO27*$C$27</f>
        <v>44716550.893412039</v>
      </c>
      <c r="AZS27" s="613">
        <f t="shared" ref="AZS27" si="695">AZQ27*$C$27</f>
        <v>45163716.402346157</v>
      </c>
      <c r="AZU27" s="613">
        <f t="shared" ref="AZU27" si="696">AZS27*$C$27</f>
        <v>45615353.566369615</v>
      </c>
      <c r="AZW27" s="613">
        <f t="shared" ref="AZW27" si="697">AZU27*$C$27</f>
        <v>46071507.10203331</v>
      </c>
      <c r="AZY27" s="613">
        <f t="shared" ref="AZY27" si="698">AZW27*$C$27</f>
        <v>46532222.173053645</v>
      </c>
      <c r="BAA27" s="613">
        <f t="shared" ref="BAA27" si="699">AZY27*$C$27</f>
        <v>46997544.394784182</v>
      </c>
      <c r="BAC27" s="613">
        <f t="shared" ref="BAC27" si="700">BAA27*$C$27</f>
        <v>47467519.838732027</v>
      </c>
      <c r="BAE27" s="613">
        <f t="shared" ref="BAE27" si="701">BAC27*$C$27</f>
        <v>47942195.037119344</v>
      </c>
      <c r="BAG27" s="613">
        <f t="shared" ref="BAG27" si="702">BAE27*$C$27</f>
        <v>48421616.987490535</v>
      </c>
      <c r="BAI27" s="613">
        <f t="shared" ref="BAI27" si="703">BAG27*$C$27</f>
        <v>48905833.157365441</v>
      </c>
      <c r="BAK27" s="613">
        <f t="shared" ref="BAK27" si="704">BAI27*$C$27</f>
        <v>49394891.488939099</v>
      </c>
      <c r="BAM27" s="613">
        <f t="shared" ref="BAM27" si="705">BAK27*$C$27</f>
        <v>49888840.403828487</v>
      </c>
      <c r="BAO27" s="613">
        <f t="shared" ref="BAO27" si="706">BAM27*$C$27</f>
        <v>50387728.807866774</v>
      </c>
      <c r="BAQ27" s="613">
        <f t="shared" ref="BAQ27" si="707">BAO27*$C$27</f>
        <v>50891606.09594544</v>
      </c>
      <c r="BAS27" s="613">
        <f t="shared" ref="BAS27" si="708">BAQ27*$C$27</f>
        <v>51400522.156904899</v>
      </c>
      <c r="BAU27" s="613">
        <f t="shared" ref="BAU27" si="709">BAS27*$C$27</f>
        <v>51914527.378473945</v>
      </c>
      <c r="BAW27" s="613">
        <f t="shared" ref="BAW27" si="710">BAU27*$C$27</f>
        <v>52433672.652258687</v>
      </c>
      <c r="BAY27" s="613">
        <f t="shared" ref="BAY27" si="711">BAW27*$C$27</f>
        <v>52958009.378781274</v>
      </c>
      <c r="BBA27" s="613">
        <f t="shared" ref="BBA27" si="712">BAY27*$C$27</f>
        <v>53487589.472569086</v>
      </c>
      <c r="BBC27" s="613">
        <f t="shared" ref="BBC27" si="713">BBA27*$C$27</f>
        <v>54022465.367294773</v>
      </c>
      <c r="BBE27" s="613">
        <f t="shared" ref="BBE27" si="714">BBC27*$C$27</f>
        <v>54562690.020967722</v>
      </c>
      <c r="BBG27" s="613">
        <f t="shared" ref="BBG27" si="715">BBE27*$C$27</f>
        <v>55108316.921177402</v>
      </c>
      <c r="BBI27" s="613">
        <f t="shared" ref="BBI27" si="716">BBG27*$C$27</f>
        <v>55659400.090389177</v>
      </c>
      <c r="BBK27" s="613">
        <f t="shared" ref="BBK27" si="717">BBI27*$C$27</f>
        <v>56215994.091293067</v>
      </c>
      <c r="BBM27" s="613">
        <f t="shared" ref="BBM27" si="718">BBK27*$C$27</f>
        <v>56778154.032205999</v>
      </c>
      <c r="BBO27" s="613">
        <f t="shared" ref="BBO27" si="719">BBM27*$C$27</f>
        <v>57345935.572528057</v>
      </c>
      <c r="BBQ27" s="613">
        <f t="shared" ref="BBQ27" si="720">BBO27*$C$27</f>
        <v>57919394.928253338</v>
      </c>
      <c r="BBS27" s="613">
        <f t="shared" ref="BBS27" si="721">BBQ27*$C$27</f>
        <v>58498588.877535872</v>
      </c>
      <c r="BBU27" s="613">
        <f t="shared" ref="BBU27" si="722">BBS27*$C$27</f>
        <v>59083574.766311228</v>
      </c>
      <c r="BBW27" s="613">
        <f t="shared" ref="BBW27" si="723">BBU27*$C$27</f>
        <v>59674410.513974339</v>
      </c>
      <c r="BBY27" s="613">
        <f t="shared" ref="BBY27" si="724">BBW27*$C$27</f>
        <v>60271154.619114086</v>
      </c>
      <c r="BCA27" s="613">
        <f t="shared" ref="BCA27" si="725">BBY27*$C$27</f>
        <v>60873866.165305227</v>
      </c>
      <c r="BCC27" s="613">
        <f t="shared" ref="BCC27" si="726">BCA27*$C$27</f>
        <v>61482604.826958276</v>
      </c>
      <c r="BCE27" s="613">
        <f t="shared" ref="BCE27" si="727">BCC27*$C$27</f>
        <v>62097430.875227861</v>
      </c>
      <c r="BCG27" s="613">
        <f t="shared" ref="BCG27" si="728">BCE27*$C$27</f>
        <v>62718405.183980137</v>
      </c>
      <c r="BCI27" s="613">
        <f t="shared" ref="BCI27" si="729">BCG27*$C$27</f>
        <v>63345589.235819936</v>
      </c>
      <c r="BCK27" s="613">
        <f t="shared" ref="BCK27" si="730">BCI27*$C$27</f>
        <v>63979045.128178135</v>
      </c>
      <c r="BCM27" s="613">
        <f t="shared" ref="BCM27" si="731">BCK27*$C$27</f>
        <v>64618835.579459913</v>
      </c>
      <c r="BCO27" s="613">
        <f t="shared" ref="BCO27" si="732">BCM27*$C$27</f>
        <v>65265023.935254514</v>
      </c>
      <c r="BCQ27" s="613">
        <f t="shared" ref="BCQ27" si="733">BCO27*$C$27</f>
        <v>65917674.174607061</v>
      </c>
      <c r="BCS27" s="613">
        <f t="shared" ref="BCS27" si="734">BCQ27*$C$27</f>
        <v>66576850.916353129</v>
      </c>
      <c r="BCU27" s="613">
        <f t="shared" ref="BCU27" si="735">BCS27*$C$27</f>
        <v>67242619.425516665</v>
      </c>
      <c r="BCW27" s="613">
        <f t="shared" ref="BCW27" si="736">BCU27*$C$27</f>
        <v>67915045.619771838</v>
      </c>
      <c r="BCY27" s="613">
        <f t="shared" ref="BCY27" si="737">BCW27*$C$27</f>
        <v>68594196.075969562</v>
      </c>
      <c r="BDA27" s="613">
        <f t="shared" ref="BDA27" si="738">BCY27*$C$27</f>
        <v>69280138.036729261</v>
      </c>
      <c r="BDC27" s="613">
        <f t="shared" ref="BDC27" si="739">BDA27*$C$27</f>
        <v>69972939.417096555</v>
      </c>
      <c r="BDE27" s="613">
        <f t="shared" ref="BDE27" si="740">BDC27*$C$27</f>
        <v>70672668.811267525</v>
      </c>
      <c r="BDG27" s="613">
        <f t="shared" ref="BDG27" si="741">BDE27*$C$27</f>
        <v>71379395.499380201</v>
      </c>
      <c r="BDI27" s="613">
        <f t="shared" ref="BDI27" si="742">BDG27*$C$27</f>
        <v>72093189.454374</v>
      </c>
      <c r="BDK27" s="613">
        <f t="shared" ref="BDK27" si="743">BDI27*$C$27</f>
        <v>72814121.348917738</v>
      </c>
      <c r="BDM27" s="613">
        <f t="shared" ref="BDM27" si="744">BDK27*$C$27</f>
        <v>73542262.562406912</v>
      </c>
      <c r="BDO27" s="613">
        <f t="shared" ref="BDO27" si="745">BDM27*$C$27</f>
        <v>74277685.188030988</v>
      </c>
      <c r="BDQ27" s="613">
        <f t="shared" ref="BDQ27" si="746">BDO27*$C$27</f>
        <v>75020462.0399113</v>
      </c>
      <c r="BDS27" s="613">
        <f t="shared" ref="BDS27" si="747">BDQ27*$C$27</f>
        <v>75770666.660310417</v>
      </c>
      <c r="BDU27" s="613">
        <f t="shared" ref="BDU27" si="748">BDS27*$C$27</f>
        <v>76528373.326913521</v>
      </c>
      <c r="BDW27" s="613">
        <f t="shared" ref="BDW27" si="749">BDU27*$C$27</f>
        <v>77293657.060182661</v>
      </c>
      <c r="BDY27" s="613">
        <f t="shared" ref="BDY27" si="750">BDW27*$C$27</f>
        <v>78066593.630784482</v>
      </c>
      <c r="BEA27" s="613">
        <f t="shared" ref="BEA27" si="751">BDY27*$C$27</f>
        <v>78847259.567092329</v>
      </c>
      <c r="BEC27" s="613">
        <f t="shared" ref="BEC27" si="752">BEA27*$C$27</f>
        <v>79635732.162763253</v>
      </c>
      <c r="BEE27" s="613">
        <f t="shared" ref="BEE27" si="753">BEC27*$C$27</f>
        <v>80432089.484390885</v>
      </c>
      <c r="BEG27" s="613">
        <f t="shared" ref="BEG27" si="754">BEE27*$C$27</f>
        <v>81236410.379234791</v>
      </c>
      <c r="BEI27" s="613">
        <f t="shared" ref="BEI27" si="755">BEG27*$C$27</f>
        <v>82048774.483027145</v>
      </c>
      <c r="BEK27" s="613">
        <f t="shared" ref="BEK27" si="756">BEI27*$C$27</f>
        <v>82869262.227857411</v>
      </c>
      <c r="BEM27" s="613">
        <f t="shared" ref="BEM27" si="757">BEK27*$C$27</f>
        <v>83697954.850135982</v>
      </c>
      <c r="BEO27" s="613">
        <f t="shared" ref="BEO27" si="758">BEM27*$C$27</f>
        <v>84534934.398637339</v>
      </c>
      <c r="BEQ27" s="613">
        <f t="shared" ref="BEQ27" si="759">BEO27*$C$27</f>
        <v>85380283.742623717</v>
      </c>
      <c r="BES27" s="613">
        <f t="shared" ref="BES27" si="760">BEQ27*$C$27</f>
        <v>86234086.580049962</v>
      </c>
      <c r="BEU27" s="613">
        <f t="shared" ref="BEU27" si="761">BES27*$C$27</f>
        <v>87096427.445850462</v>
      </c>
      <c r="BEW27" s="613">
        <f t="shared" ref="BEW27" si="762">BEU27*$C$27</f>
        <v>87967391.720308974</v>
      </c>
      <c r="BEY27" s="613">
        <f t="shared" ref="BEY27" si="763">BEW27*$C$27</f>
        <v>88847065.637512058</v>
      </c>
      <c r="BFA27" s="613">
        <f t="shared" ref="BFA27" si="764">BEY27*$C$27</f>
        <v>89735536.293887183</v>
      </c>
      <c r="BFC27" s="613">
        <f t="shared" ref="BFC27" si="765">BFA27*$C$27</f>
        <v>90632891.656826049</v>
      </c>
      <c r="BFE27" s="613">
        <f t="shared" ref="BFE27" si="766">BFC27*$C$27</f>
        <v>91539220.573394313</v>
      </c>
      <c r="BFG27" s="613">
        <f t="shared" ref="BFG27" si="767">BFE27*$C$27</f>
        <v>92454612.779128253</v>
      </c>
      <c r="BFI27" s="613">
        <f t="shared" ref="BFI27" si="768">BFG27*$C$27</f>
        <v>93379158.906919539</v>
      </c>
      <c r="BFK27" s="613">
        <f t="shared" ref="BFK27" si="769">BFI27*$C$27</f>
        <v>94312950.495988742</v>
      </c>
      <c r="BFM27" s="613">
        <f t="shared" ref="BFM27" si="770">BFK27*$C$27</f>
        <v>95256080.000948623</v>
      </c>
      <c r="BFO27" s="613">
        <f t="shared" ref="BFO27" si="771">BFM27*$C$27</f>
        <v>96208640.800958112</v>
      </c>
      <c r="BFQ27" s="613">
        <f t="shared" ref="BFQ27" si="772">BFO27*$C$27</f>
        <v>97170727.208967701</v>
      </c>
      <c r="BFS27" s="613">
        <f t="shared" ref="BFS27" si="773">BFQ27*$C$27</f>
        <v>98142434.481057376</v>
      </c>
      <c r="BFU27" s="613">
        <f t="shared" ref="BFU27" si="774">BFS27*$C$27</f>
        <v>99123858.825867951</v>
      </c>
      <c r="BFW27" s="613">
        <f t="shared" ref="BFW27" si="775">BFU27*$C$27</f>
        <v>100115097.41412663</v>
      </c>
      <c r="BFY27" s="613">
        <f t="shared" ref="BFY27" si="776">BFW27*$C$27</f>
        <v>101116248.3882679</v>
      </c>
      <c r="BGA27" s="613">
        <f t="shared" ref="BGA27" si="777">BFY27*$C$27</f>
        <v>102127410.87215059</v>
      </c>
      <c r="BGC27" s="613">
        <f t="shared" ref="BGC27" si="778">BGA27*$C$27</f>
        <v>103148684.98087209</v>
      </c>
      <c r="BGE27" s="613">
        <f t="shared" ref="BGE27" si="779">BGC27*$C$27</f>
        <v>104180171.83068082</v>
      </c>
      <c r="BGG27" s="613">
        <f t="shared" ref="BGG27" si="780">BGE27*$C$27</f>
        <v>105221973.54898763</v>
      </c>
      <c r="BGI27" s="613">
        <f t="shared" ref="BGI27" si="781">BGG27*$C$27</f>
        <v>106274193.2844775</v>
      </c>
      <c r="BGK27" s="613">
        <f t="shared" ref="BGK27" si="782">BGI27*$C$27</f>
        <v>107336935.21732228</v>
      </c>
      <c r="BGM27" s="613">
        <f t="shared" ref="BGM27" si="783">BGK27*$C$27</f>
        <v>108410304.5694955</v>
      </c>
      <c r="BGO27" s="613">
        <f t="shared" ref="BGO27" si="784">BGM27*$C$27</f>
        <v>109494407.61519046</v>
      </c>
      <c r="BGQ27" s="613">
        <f t="shared" ref="BGQ27" si="785">BGO27*$C$27</f>
        <v>110589351.69134237</v>
      </c>
      <c r="BGS27" s="613">
        <f t="shared" ref="BGS27" si="786">BGQ27*$C$27</f>
        <v>111695245.2082558</v>
      </c>
      <c r="BGU27" s="613">
        <f t="shared" ref="BGU27" si="787">BGS27*$C$27</f>
        <v>112812197.66033836</v>
      </c>
      <c r="BGW27" s="613">
        <f t="shared" ref="BGW27" si="788">BGU27*$C$27</f>
        <v>113940319.63694175</v>
      </c>
      <c r="BGY27" s="613">
        <f t="shared" ref="BGY27" si="789">BGW27*$C$27</f>
        <v>115079722.83331117</v>
      </c>
      <c r="BHA27" s="613">
        <f t="shared" ref="BHA27" si="790">BGY27*$C$27</f>
        <v>116230520.06164429</v>
      </c>
      <c r="BHC27" s="613">
        <f t="shared" ref="BHC27" si="791">BHA27*$C$27</f>
        <v>117392825.26226074</v>
      </c>
      <c r="BHE27" s="613">
        <f t="shared" ref="BHE27" si="792">BHC27*$C$27</f>
        <v>118566753.51488334</v>
      </c>
      <c r="BHG27" s="613">
        <f t="shared" ref="BHG27" si="793">BHE27*$C$27</f>
        <v>119752421.05003217</v>
      </c>
      <c r="BHI27" s="613">
        <f t="shared" ref="BHI27" si="794">BHG27*$C$27</f>
        <v>120949945.2605325</v>
      </c>
      <c r="BHK27" s="613">
        <f t="shared" ref="BHK27" si="795">BHI27*$C$27</f>
        <v>122159444.71313782</v>
      </c>
      <c r="BHM27" s="613">
        <f t="shared" ref="BHM27" si="796">BHK27*$C$27</f>
        <v>123381039.1602692</v>
      </c>
      <c r="BHO27" s="613">
        <f t="shared" ref="BHO27" si="797">BHM27*$C$27</f>
        <v>124614849.5518719</v>
      </c>
      <c r="BHQ27" s="613">
        <f t="shared" ref="BHQ27" si="798">BHO27*$C$27</f>
        <v>125860998.04739061</v>
      </c>
      <c r="BHS27" s="613">
        <f t="shared" ref="BHS27" si="799">BHQ27*$C$27</f>
        <v>127119608.02786452</v>
      </c>
      <c r="BHU27" s="613">
        <f t="shared" ref="BHU27" si="800">BHS27*$C$27</f>
        <v>128390804.10814317</v>
      </c>
      <c r="BHW27" s="613">
        <f t="shared" ref="BHW27" si="801">BHU27*$C$27</f>
        <v>129674712.14922459</v>
      </c>
      <c r="BHY27" s="613">
        <f t="shared" ref="BHY27" si="802">BHW27*$C$27</f>
        <v>130971459.27071685</v>
      </c>
      <c r="BIA27" s="613">
        <f t="shared" ref="BIA27" si="803">BHY27*$C$27</f>
        <v>132281173.86342402</v>
      </c>
      <c r="BIC27" s="613">
        <f t="shared" ref="BIC27" si="804">BIA27*$C$27</f>
        <v>133603985.60205826</v>
      </c>
      <c r="BIE27" s="613">
        <f t="shared" ref="BIE27" si="805">BIC27*$C$27</f>
        <v>134940025.45807883</v>
      </c>
      <c r="BIG27" s="613">
        <f t="shared" ref="BIG27" si="806">BIE27*$C$27</f>
        <v>136289425.71265963</v>
      </c>
      <c r="BII27" s="613">
        <f t="shared" ref="BII27" si="807">BIG27*$C$27</f>
        <v>137652319.96978623</v>
      </c>
      <c r="BIK27" s="613">
        <f t="shared" ref="BIK27" si="808">BII27*$C$27</f>
        <v>139028843.16948408</v>
      </c>
      <c r="BIM27" s="613">
        <f t="shared" ref="BIM27" si="809">BIK27*$C$27</f>
        <v>140419131.60117891</v>
      </c>
      <c r="BIO27" s="613">
        <f t="shared" ref="BIO27" si="810">BIM27*$C$27</f>
        <v>141823322.9171907</v>
      </c>
      <c r="BIQ27" s="613">
        <f t="shared" ref="BIQ27" si="811">BIO27*$C$27</f>
        <v>143241556.1463626</v>
      </c>
      <c r="BIS27" s="613">
        <f t="shared" ref="BIS27" si="812">BIQ27*$C$27</f>
        <v>144673971.70782623</v>
      </c>
      <c r="BIU27" s="613">
        <f t="shared" ref="BIU27" si="813">BIS27*$C$27</f>
        <v>146120711.4249045</v>
      </c>
      <c r="BIW27" s="613">
        <f t="shared" ref="BIW27" si="814">BIU27*$C$27</f>
        <v>147581918.53915355</v>
      </c>
      <c r="BIY27" s="613">
        <f t="shared" ref="BIY27" si="815">BIW27*$C$27</f>
        <v>149057737.72454509</v>
      </c>
      <c r="BJA27" s="613">
        <f t="shared" ref="BJA27" si="816">BIY27*$C$27</f>
        <v>150548315.10179055</v>
      </c>
      <c r="BJC27" s="613">
        <f t="shared" ref="BJC27" si="817">BJA27*$C$27</f>
        <v>152053798.25280845</v>
      </c>
      <c r="BJE27" s="613">
        <f t="shared" ref="BJE27" si="818">BJC27*$C$27</f>
        <v>153574336.23533654</v>
      </c>
      <c r="BJG27" s="613">
        <f t="shared" ref="BJG27" si="819">BJE27*$C$27</f>
        <v>155110079.5976899</v>
      </c>
      <c r="BJI27" s="613">
        <f t="shared" ref="BJI27" si="820">BJG27*$C$27</f>
        <v>156661180.3936668</v>
      </c>
      <c r="BJK27" s="613">
        <f t="shared" ref="BJK27" si="821">BJI27*$C$27</f>
        <v>158227792.19760346</v>
      </c>
      <c r="BJM27" s="613">
        <f t="shared" ref="BJM27" si="822">BJK27*$C$27</f>
        <v>159810070.11957949</v>
      </c>
      <c r="BJO27" s="613">
        <f t="shared" ref="BJO27" si="823">BJM27*$C$27</f>
        <v>161408170.8207753</v>
      </c>
      <c r="BJQ27" s="613">
        <f t="shared" ref="BJQ27" si="824">BJO27*$C$27</f>
        <v>163022252.52898306</v>
      </c>
      <c r="BJS27" s="613">
        <f t="shared" ref="BJS27" si="825">BJQ27*$C$27</f>
        <v>164652475.05427289</v>
      </c>
      <c r="BJU27" s="613">
        <f t="shared" ref="BJU27" si="826">BJS27*$C$27</f>
        <v>166298999.80481562</v>
      </c>
      <c r="BJW27" s="613">
        <f t="shared" ref="BJW27" si="827">BJU27*$C$27</f>
        <v>167961989.80286378</v>
      </c>
      <c r="BJY27" s="613">
        <f t="shared" ref="BJY27" si="828">BJW27*$C$27</f>
        <v>169641609.70089242</v>
      </c>
      <c r="BKA27" s="613">
        <f t="shared" ref="BKA27" si="829">BJY27*$C$27</f>
        <v>171338025.79790133</v>
      </c>
      <c r="BKC27" s="613">
        <f t="shared" ref="BKC27" si="830">BKA27*$C$27</f>
        <v>173051406.05588034</v>
      </c>
      <c r="BKE27" s="613">
        <f t="shared" ref="BKE27" si="831">BKC27*$C$27</f>
        <v>174781920.11643913</v>
      </c>
      <c r="BKG27" s="613">
        <f t="shared" ref="BKG27" si="832">BKE27*$C$27</f>
        <v>176529739.31760353</v>
      </c>
      <c r="BKI27" s="613">
        <f t="shared" ref="BKI27" si="833">BKG27*$C$27</f>
        <v>178295036.71077958</v>
      </c>
      <c r="BKK27" s="613">
        <f t="shared" ref="BKK27" si="834">BKI27*$C$27</f>
        <v>180077987.07788739</v>
      </c>
      <c r="BKM27" s="613">
        <f t="shared" ref="BKM27" si="835">BKK27*$C$27</f>
        <v>181878766.94866627</v>
      </c>
      <c r="BKO27" s="613">
        <f t="shared" ref="BKO27" si="836">BKM27*$C$27</f>
        <v>183697554.61815295</v>
      </c>
      <c r="BKQ27" s="613">
        <f t="shared" ref="BKQ27" si="837">BKO27*$C$27</f>
        <v>185534530.16433448</v>
      </c>
      <c r="BKS27" s="613">
        <f t="shared" ref="BKS27" si="838">BKQ27*$C$27</f>
        <v>187389875.46597782</v>
      </c>
      <c r="BKU27" s="613">
        <f t="shared" ref="BKU27" si="839">BKS27*$C$27</f>
        <v>189263774.22063759</v>
      </c>
      <c r="BKW27" s="613">
        <f t="shared" ref="BKW27" si="840">BKU27*$C$27</f>
        <v>191156411.96284395</v>
      </c>
      <c r="BKY27" s="613">
        <f t="shared" ref="BKY27" si="841">BKW27*$C$27</f>
        <v>193067976.08247238</v>
      </c>
      <c r="BLA27" s="613">
        <f t="shared" ref="BLA27" si="842">BKY27*$C$27</f>
        <v>194998655.84329712</v>
      </c>
      <c r="BLC27" s="613">
        <f t="shared" ref="BLC27" si="843">BLA27*$C$27</f>
        <v>196948642.40173009</v>
      </c>
      <c r="BLE27" s="613">
        <f t="shared" ref="BLE27" si="844">BLC27*$C$27</f>
        <v>198918128.8257474</v>
      </c>
      <c r="BLG27" s="613">
        <f t="shared" ref="BLG27" si="845">BLE27*$C$27</f>
        <v>200907310.11400488</v>
      </c>
      <c r="BLI27" s="613">
        <f t="shared" ref="BLI27" si="846">BLG27*$C$27</f>
        <v>202916383.21514493</v>
      </c>
      <c r="BLK27" s="613">
        <f t="shared" ref="BLK27" si="847">BLI27*$C$27</f>
        <v>204945547.04729638</v>
      </c>
      <c r="BLM27" s="613">
        <f t="shared" ref="BLM27" si="848">BLK27*$C$27</f>
        <v>206995002.51776934</v>
      </c>
      <c r="BLO27" s="613">
        <f t="shared" ref="BLO27" si="849">BLM27*$C$27</f>
        <v>209064952.54294702</v>
      </c>
      <c r="BLQ27" s="613">
        <f t="shared" ref="BLQ27" si="850">BLO27*$C$27</f>
        <v>211155602.06837648</v>
      </c>
      <c r="BLS27" s="613">
        <f t="shared" ref="BLS27" si="851">BLQ27*$C$27</f>
        <v>213267158.08906025</v>
      </c>
      <c r="BLU27" s="613">
        <f t="shared" ref="BLU27" si="852">BLS27*$C$27</f>
        <v>215399829.66995084</v>
      </c>
      <c r="BLW27" s="613">
        <f t="shared" ref="BLW27" si="853">BLU27*$C$27</f>
        <v>217553827.96665037</v>
      </c>
      <c r="BLY27" s="613">
        <f t="shared" ref="BLY27" si="854">BLW27*$C$27</f>
        <v>219729366.24631688</v>
      </c>
      <c r="BMA27" s="613">
        <f t="shared" ref="BMA27" si="855">BLY27*$C$27</f>
        <v>221926659.90878004</v>
      </c>
      <c r="BMC27" s="613">
        <f t="shared" ref="BMC27" si="856">BMA27*$C$27</f>
        <v>224145926.50786784</v>
      </c>
      <c r="BME27" s="613">
        <f t="shared" ref="BME27" si="857">BMC27*$C$27</f>
        <v>226387385.77294654</v>
      </c>
      <c r="BMG27" s="613">
        <f t="shared" ref="BMG27" si="858">BME27*$C$27</f>
        <v>228651259.630676</v>
      </c>
      <c r="BMI27" s="613">
        <f t="shared" ref="BMI27" si="859">BMG27*$C$27</f>
        <v>230937772.22698277</v>
      </c>
      <c r="BMK27" s="613">
        <f t="shared" ref="BMK27" si="860">BMI27*$C$27</f>
        <v>233247149.94925261</v>
      </c>
      <c r="BMM27" s="613">
        <f t="shared" ref="BMM27" si="861">BMK27*$C$27</f>
        <v>235579621.44874513</v>
      </c>
      <c r="BMO27" s="613">
        <f t="shared" ref="BMO27" si="862">BMM27*$C$27</f>
        <v>237935417.66323259</v>
      </c>
      <c r="BMQ27" s="613">
        <f t="shared" ref="BMQ27" si="863">BMO27*$C$27</f>
        <v>240314771.83986491</v>
      </c>
      <c r="BMS27" s="613">
        <f t="shared" ref="BMS27" si="864">BMQ27*$C$27</f>
        <v>242717919.55826357</v>
      </c>
      <c r="BMU27" s="613">
        <f t="shared" ref="BMU27" si="865">BMS27*$C$27</f>
        <v>245145098.7538462</v>
      </c>
      <c r="BMW27" s="613">
        <f t="shared" ref="BMW27" si="866">BMU27*$C$27</f>
        <v>247596549.74138466</v>
      </c>
      <c r="BMY27" s="613">
        <f t="shared" ref="BMY27" si="867">BMW27*$C$27</f>
        <v>250072515.2387985</v>
      </c>
      <c r="BNA27" s="613">
        <f t="shared" ref="BNA27" si="868">BMY27*$C$27</f>
        <v>252573240.39118648</v>
      </c>
      <c r="BNC27" s="613">
        <f t="shared" ref="BNC27" si="869">BNA27*$C$27</f>
        <v>255098972.79509833</v>
      </c>
      <c r="BNE27" s="613">
        <f t="shared" ref="BNE27" si="870">BNC27*$C$27</f>
        <v>257649962.52304932</v>
      </c>
      <c r="BNG27" s="613">
        <f t="shared" ref="BNG27" si="871">BNE27*$C$27</f>
        <v>260226462.14827982</v>
      </c>
      <c r="BNI27" s="613">
        <f t="shared" ref="BNI27" si="872">BNG27*$C$27</f>
        <v>262828726.76976261</v>
      </c>
      <c r="BNK27" s="613">
        <f t="shared" ref="BNK27" si="873">BNI27*$C$27</f>
        <v>265457014.03746024</v>
      </c>
      <c r="BNM27" s="613">
        <f t="shared" ref="BNM27" si="874">BNK27*$C$27</f>
        <v>268111584.17783484</v>
      </c>
      <c r="BNO27" s="613">
        <f t="shared" ref="BNO27" si="875">BNM27*$C$27</f>
        <v>270792700.01961321</v>
      </c>
      <c r="BNQ27" s="613">
        <f t="shared" ref="BNQ27" si="876">BNO27*$C$27</f>
        <v>273500627.01980937</v>
      </c>
      <c r="BNS27" s="613">
        <f t="shared" ref="BNS27" si="877">BNQ27*$C$27</f>
        <v>276235633.29000747</v>
      </c>
      <c r="BNU27" s="613">
        <f t="shared" ref="BNU27" si="878">BNS27*$C$27</f>
        <v>278997989.62290758</v>
      </c>
      <c r="BNW27" s="613">
        <f t="shared" ref="BNW27" si="879">BNU27*$C$27</f>
        <v>281787969.51913667</v>
      </c>
      <c r="BNY27" s="613">
        <f t="shared" ref="BNY27" si="880">BNW27*$C$27</f>
        <v>284605849.21432805</v>
      </c>
      <c r="BOA27" s="613">
        <f t="shared" ref="BOA27" si="881">BNY27*$C$27</f>
        <v>287451907.70647132</v>
      </c>
      <c r="BOC27" s="613">
        <f t="shared" ref="BOC27" si="882">BOA27*$C$27</f>
        <v>290326426.78353602</v>
      </c>
      <c r="BOE27" s="613">
        <f t="shared" ref="BOE27" si="883">BOC27*$C$27</f>
        <v>293229691.0513714</v>
      </c>
      <c r="BOG27" s="613">
        <f t="shared" ref="BOG27" si="884">BOE27*$C$27</f>
        <v>296161987.96188509</v>
      </c>
      <c r="BOI27" s="613">
        <f t="shared" ref="BOI27" si="885">BOG27*$C$27</f>
        <v>299123607.84150398</v>
      </c>
      <c r="BOK27" s="613">
        <f t="shared" ref="BOK27" si="886">BOI27*$C$27</f>
        <v>302114843.91991901</v>
      </c>
      <c r="BOM27" s="613">
        <f t="shared" ref="BOM27" si="887">BOK27*$C$27</f>
        <v>305135992.35911822</v>
      </c>
      <c r="BOO27" s="613">
        <f t="shared" ref="BOO27" si="888">BOM27*$C$27</f>
        <v>308187352.28270942</v>
      </c>
      <c r="BOQ27" s="613">
        <f t="shared" ref="BOQ27" si="889">BOO27*$C$27</f>
        <v>311269225.80553651</v>
      </c>
      <c r="BOS27" s="613">
        <f t="shared" ref="BOS27" si="890">BOQ27*$C$27</f>
        <v>314381918.0635919</v>
      </c>
      <c r="BOU27" s="613">
        <f t="shared" ref="BOU27" si="891">BOS27*$C$27</f>
        <v>317525737.24422783</v>
      </c>
      <c r="BOW27" s="613">
        <f t="shared" ref="BOW27" si="892">BOU27*$C$27</f>
        <v>320700994.61667013</v>
      </c>
      <c r="BOY27" s="613">
        <f t="shared" ref="BOY27" si="893">BOW27*$C$27</f>
        <v>323908004.56283683</v>
      </c>
      <c r="BPA27" s="613">
        <f t="shared" ref="BPA27" si="894">BOY27*$C$27</f>
        <v>327147084.60846519</v>
      </c>
      <c r="BPC27" s="613">
        <f t="shared" ref="BPC27" si="895">BPA27*$C$27</f>
        <v>330418555.45454985</v>
      </c>
      <c r="BPE27" s="613">
        <f t="shared" ref="BPE27" si="896">BPC27*$C$27</f>
        <v>333722741.00909537</v>
      </c>
      <c r="BPG27" s="613">
        <f t="shared" ref="BPG27" si="897">BPE27*$C$27</f>
        <v>337059968.41918635</v>
      </c>
      <c r="BPI27" s="613">
        <f t="shared" ref="BPI27" si="898">BPG27*$C$27</f>
        <v>340430568.10337824</v>
      </c>
      <c r="BPK27" s="613">
        <f t="shared" ref="BPK27" si="899">BPI27*$C$27</f>
        <v>343834873.78441203</v>
      </c>
      <c r="BPM27" s="613">
        <f t="shared" ref="BPM27" si="900">BPK27*$C$27</f>
        <v>347273222.52225614</v>
      </c>
      <c r="BPO27" s="613">
        <f t="shared" ref="BPO27" si="901">BPM27*$C$27</f>
        <v>350745954.74747872</v>
      </c>
      <c r="BPQ27" s="613">
        <f t="shared" ref="BPQ27" si="902">BPO27*$C$27</f>
        <v>354253414.29495353</v>
      </c>
      <c r="BPS27" s="613">
        <f t="shared" ref="BPS27" si="903">BPQ27*$C$27</f>
        <v>357795948.43790305</v>
      </c>
      <c r="BPU27" s="613">
        <f t="shared" ref="BPU27" si="904">BPS27*$C$27</f>
        <v>361373907.9222821</v>
      </c>
      <c r="BPW27" s="613">
        <f t="shared" ref="BPW27" si="905">BPU27*$C$27</f>
        <v>364987647.0015049</v>
      </c>
      <c r="BPY27" s="613">
        <f t="shared" ref="BPY27" si="906">BPW27*$C$27</f>
        <v>368637523.47151995</v>
      </c>
      <c r="BQA27" s="613">
        <f t="shared" ref="BQA27" si="907">BPY27*$C$27</f>
        <v>372323898.70623517</v>
      </c>
      <c r="BQC27" s="613">
        <f t="shared" ref="BQC27" si="908">BQA27*$C$27</f>
        <v>376047137.69329751</v>
      </c>
      <c r="BQE27" s="613">
        <f t="shared" ref="BQE27" si="909">BQC27*$C$27</f>
        <v>379807609.07023048</v>
      </c>
      <c r="BQG27" s="613">
        <f t="shared" ref="BQG27" si="910">BQE27*$C$27</f>
        <v>383605685.16093278</v>
      </c>
      <c r="BQI27" s="613">
        <f t="shared" ref="BQI27" si="911">BQG27*$C$27</f>
        <v>387441742.01254213</v>
      </c>
      <c r="BQK27" s="613">
        <f t="shared" ref="BQK27" si="912">BQI27*$C$27</f>
        <v>391316159.43266755</v>
      </c>
      <c r="BQM27" s="613">
        <f t="shared" ref="BQM27" si="913">BQK27*$C$27</f>
        <v>395229321.02699423</v>
      </c>
      <c r="BQO27" s="613">
        <f t="shared" ref="BQO27" si="914">BQM27*$C$27</f>
        <v>399181614.23726416</v>
      </c>
      <c r="BQQ27" s="613">
        <f t="shared" ref="BQQ27" si="915">BQO27*$C$27</f>
        <v>403173430.37963682</v>
      </c>
      <c r="BQS27" s="613">
        <f t="shared" ref="BQS27" si="916">BQQ27*$C$27</f>
        <v>407205164.68343318</v>
      </c>
      <c r="BQU27" s="613">
        <f t="shared" ref="BQU27" si="917">BQS27*$C$27</f>
        <v>411277216.33026749</v>
      </c>
      <c r="BQW27" s="613">
        <f t="shared" ref="BQW27" si="918">BQU27*$C$27</f>
        <v>415389988.49357015</v>
      </c>
      <c r="BQY27" s="613">
        <f t="shared" ref="BQY27" si="919">BQW27*$C$27</f>
        <v>419543888.37850583</v>
      </c>
      <c r="BRA27" s="613">
        <f t="shared" ref="BRA27" si="920">BQY27*$C$27</f>
        <v>423739327.26229089</v>
      </c>
      <c r="BRC27" s="613">
        <f t="shared" ref="BRC27" si="921">BRA27*$C$27</f>
        <v>427976720.53491378</v>
      </c>
      <c r="BRE27" s="613">
        <f t="shared" ref="BRE27" si="922">BRC27*$C$27</f>
        <v>432256487.74026293</v>
      </c>
      <c r="BRG27" s="613">
        <f t="shared" ref="BRG27" si="923">BRE27*$C$27</f>
        <v>436579052.61766553</v>
      </c>
      <c r="BRI27" s="613">
        <f t="shared" ref="BRI27" si="924">BRG27*$C$27</f>
        <v>440944843.14384216</v>
      </c>
      <c r="BRK27" s="613">
        <f t="shared" ref="BRK27" si="925">BRI27*$C$27</f>
        <v>445354291.57528061</v>
      </c>
      <c r="BRM27" s="613">
        <f t="shared" ref="BRM27" si="926">BRK27*$C$27</f>
        <v>449807834.49103343</v>
      </c>
      <c r="BRO27" s="613">
        <f t="shared" ref="BRO27" si="927">BRM27*$C$27</f>
        <v>454305912.83594376</v>
      </c>
      <c r="BRQ27" s="613">
        <f t="shared" ref="BRQ27" si="928">BRO27*$C$27</f>
        <v>458848971.9643032</v>
      </c>
      <c r="BRS27" s="613">
        <f t="shared" ref="BRS27" si="929">BRQ27*$C$27</f>
        <v>463437461.68394625</v>
      </c>
      <c r="BRU27" s="613">
        <f t="shared" ref="BRU27" si="930">BRS27*$C$27</f>
        <v>468071836.30078572</v>
      </c>
      <c r="BRW27" s="613">
        <f t="shared" ref="BRW27" si="931">BRU27*$C$27</f>
        <v>472752554.66379356</v>
      </c>
      <c r="BRY27" s="613">
        <f t="shared" ref="BRY27" si="932">BRW27*$C$27</f>
        <v>477480080.21043152</v>
      </c>
      <c r="BSA27" s="613">
        <f t="shared" ref="BSA27" si="933">BRY27*$C$27</f>
        <v>482254881.01253581</v>
      </c>
      <c r="BSC27" s="613">
        <f t="shared" ref="BSC27" si="934">BSA27*$C$27</f>
        <v>487077429.82266116</v>
      </c>
      <c r="BSE27" s="613">
        <f t="shared" ref="BSE27" si="935">BSC27*$C$27</f>
        <v>491948204.12088776</v>
      </c>
      <c r="BSG27" s="613">
        <f t="shared" ref="BSG27" si="936">BSE27*$C$27</f>
        <v>496867686.16209662</v>
      </c>
      <c r="BSI27" s="613">
        <f t="shared" ref="BSI27" si="937">BSG27*$C$27</f>
        <v>501836363.02371758</v>
      </c>
      <c r="BSK27" s="613">
        <f t="shared" ref="BSK27" si="938">BSI27*$C$27</f>
        <v>506854726.65395474</v>
      </c>
      <c r="BSM27" s="613">
        <f t="shared" ref="BSM27" si="939">BSK27*$C$27</f>
        <v>511923273.92049432</v>
      </c>
      <c r="BSO27" s="613">
        <f t="shared" ref="BSO27" si="940">BSM27*$C$27</f>
        <v>517042506.65969926</v>
      </c>
      <c r="BSQ27" s="613">
        <f t="shared" ref="BSQ27" si="941">BSO27*$C$27</f>
        <v>522212931.72629625</v>
      </c>
      <c r="BSS27" s="613">
        <f t="shared" ref="BSS27" si="942">BSQ27*$C$27</f>
        <v>527435061.04355919</v>
      </c>
      <c r="BSU27" s="613">
        <f t="shared" ref="BSU27" si="943">BSS27*$C$27</f>
        <v>532709411.6539948</v>
      </c>
      <c r="BSW27" s="613">
        <f t="shared" ref="BSW27" si="944">BSU27*$C$27</f>
        <v>538036505.77053475</v>
      </c>
      <c r="BSY27" s="613">
        <f t="shared" ref="BSY27" si="945">BSW27*$C$27</f>
        <v>543416870.82824016</v>
      </c>
      <c r="BTA27" s="613">
        <f t="shared" ref="BTA27" si="946">BSY27*$C$27</f>
        <v>548851039.53652251</v>
      </c>
      <c r="BTC27" s="613">
        <f t="shared" ref="BTC27" si="947">BTA27*$C$27</f>
        <v>554339549.93188775</v>
      </c>
      <c r="BTE27" s="613">
        <f t="shared" ref="BTE27" si="948">BTC27*$C$27</f>
        <v>559882945.43120658</v>
      </c>
      <c r="BTG27" s="613">
        <f t="shared" ref="BTG27" si="949">BTE27*$C$27</f>
        <v>565481774.88551867</v>
      </c>
      <c r="BTI27" s="613">
        <f t="shared" ref="BTI27" si="950">BTG27*$C$27</f>
        <v>571136592.6343739</v>
      </c>
      <c r="BTK27" s="613">
        <f t="shared" ref="BTK27" si="951">BTI27*$C$27</f>
        <v>576847958.5607177</v>
      </c>
      <c r="BTM27" s="613">
        <f t="shared" ref="BTM27" si="952">BTK27*$C$27</f>
        <v>582616438.14632487</v>
      </c>
      <c r="BTO27" s="613">
        <f t="shared" ref="BTO27" si="953">BTM27*$C$27</f>
        <v>588442602.52778816</v>
      </c>
      <c r="BTQ27" s="613">
        <f t="shared" ref="BTQ27" si="954">BTO27*$C$27</f>
        <v>594327028.55306602</v>
      </c>
      <c r="BTS27" s="613">
        <f t="shared" ref="BTS27" si="955">BTQ27*$C$27</f>
        <v>600270298.8385967</v>
      </c>
      <c r="BTU27" s="613">
        <f t="shared" ref="BTU27" si="956">BTS27*$C$27</f>
        <v>606273001.82698262</v>
      </c>
      <c r="BTW27" s="613">
        <f t="shared" ref="BTW27" si="957">BTU27*$C$27</f>
        <v>612335731.84525239</v>
      </c>
      <c r="BTY27" s="613">
        <f t="shared" ref="BTY27" si="958">BTW27*$C$27</f>
        <v>618459089.16370487</v>
      </c>
      <c r="BUA27" s="613">
        <f t="shared" ref="BUA27" si="959">BTY27*$C$27</f>
        <v>624643680.05534196</v>
      </c>
      <c r="BUC27" s="613">
        <f t="shared" ref="BUC27" si="960">BUA27*$C$27</f>
        <v>630890116.8558954</v>
      </c>
      <c r="BUE27" s="613">
        <f t="shared" ref="BUE27" si="961">BUC27*$C$27</f>
        <v>637199018.02445436</v>
      </c>
      <c r="BUG27" s="613">
        <f t="shared" ref="BUG27" si="962">BUE27*$C$27</f>
        <v>643571008.20469892</v>
      </c>
      <c r="BUI27" s="613">
        <f t="shared" ref="BUI27" si="963">BUG27*$C$27</f>
        <v>650006718.28674591</v>
      </c>
      <c r="BUK27" s="613">
        <f t="shared" ref="BUK27" si="964">BUI27*$C$27</f>
        <v>656506785.46961331</v>
      </c>
      <c r="BUM27" s="613">
        <f t="shared" ref="BUM27" si="965">BUK27*$C$27</f>
        <v>663071853.32430947</v>
      </c>
      <c r="BUO27" s="613">
        <f t="shared" ref="BUO27" si="966">BUM27*$C$27</f>
        <v>669702571.85755253</v>
      </c>
      <c r="BUQ27" s="613">
        <f t="shared" ref="BUQ27" si="967">BUO27*$C$27</f>
        <v>676399597.57612801</v>
      </c>
      <c r="BUS27" s="613">
        <f t="shared" ref="BUS27" si="968">BUQ27*$C$27</f>
        <v>683163593.5518893</v>
      </c>
      <c r="BUU27" s="613">
        <f t="shared" ref="BUU27" si="969">BUS27*$C$27</f>
        <v>689995229.48740816</v>
      </c>
      <c r="BUW27" s="613">
        <f t="shared" ref="BUW27" si="970">BUU27*$C$27</f>
        <v>696895181.78228223</v>
      </c>
      <c r="BUY27" s="613">
        <f t="shared" ref="BUY27" si="971">BUW27*$C$27</f>
        <v>703864133.60010505</v>
      </c>
      <c r="BVA27" s="613">
        <f t="shared" ref="BVA27" si="972">BUY27*$C$27</f>
        <v>710902774.93610609</v>
      </c>
      <c r="BVC27" s="613">
        <f t="shared" ref="BVC27" si="973">BVA27*$C$27</f>
        <v>718011802.68546712</v>
      </c>
      <c r="BVE27" s="613">
        <f t="shared" ref="BVE27" si="974">BVC27*$C$27</f>
        <v>725191920.71232176</v>
      </c>
      <c r="BVG27" s="613">
        <f t="shared" ref="BVG27" si="975">BVE27*$C$27</f>
        <v>732443839.91944504</v>
      </c>
      <c r="BVI27" s="613">
        <f t="shared" ref="BVI27" si="976">BVG27*$C$27</f>
        <v>739768278.31863952</v>
      </c>
      <c r="BVK27" s="613">
        <f t="shared" ref="BVK27" si="977">BVI27*$C$27</f>
        <v>747165961.10182595</v>
      </c>
      <c r="BVM27" s="613">
        <f t="shared" ref="BVM27" si="978">BVK27*$C$27</f>
        <v>754637620.71284425</v>
      </c>
      <c r="BVO27" s="613">
        <f t="shared" ref="BVO27" si="979">BVM27*$C$27</f>
        <v>762183996.91997266</v>
      </c>
      <c r="BVQ27" s="613">
        <f t="shared" ref="BVQ27" si="980">BVO27*$C$27</f>
        <v>769805836.88917243</v>
      </c>
      <c r="BVS27" s="613">
        <f t="shared" ref="BVS27" si="981">BVQ27*$C$27</f>
        <v>777503895.25806415</v>
      </c>
      <c r="BVU27" s="613">
        <f t="shared" ref="BVU27" si="982">BVS27*$C$27</f>
        <v>785278934.21064484</v>
      </c>
      <c r="BVW27" s="613">
        <f t="shared" ref="BVW27" si="983">BVU27*$C$27</f>
        <v>793131723.5527513</v>
      </c>
      <c r="BVY27" s="613">
        <f t="shared" ref="BVY27" si="984">BVW27*$C$27</f>
        <v>801063040.78827882</v>
      </c>
      <c r="BWA27" s="613">
        <f t="shared" ref="BWA27" si="985">BVY27*$C$27</f>
        <v>809073671.19616163</v>
      </c>
      <c r="BWC27" s="613">
        <f t="shared" ref="BWC27" si="986">BWA27*$C$27</f>
        <v>817164407.90812325</v>
      </c>
      <c r="BWE27" s="613">
        <f t="shared" ref="BWE27" si="987">BWC27*$C$27</f>
        <v>825336051.98720455</v>
      </c>
      <c r="BWG27" s="613">
        <f t="shared" ref="BWG27" si="988">BWE27*$C$27</f>
        <v>833589412.50707662</v>
      </c>
      <c r="BWI27" s="613">
        <f t="shared" ref="BWI27" si="989">BWG27*$C$27</f>
        <v>841925306.63214743</v>
      </c>
      <c r="BWK27" s="613">
        <f t="shared" ref="BWK27" si="990">BWI27*$C$27</f>
        <v>850344559.69846892</v>
      </c>
      <c r="BWM27" s="613">
        <f t="shared" ref="BWM27" si="991">BWK27*$C$27</f>
        <v>858848005.29545367</v>
      </c>
      <c r="BWO27" s="613">
        <f t="shared" ref="BWO27" si="992">BWM27*$C$27</f>
        <v>867436485.34840822</v>
      </c>
      <c r="BWQ27" s="613">
        <f t="shared" ref="BWQ27" si="993">BWO27*$C$27</f>
        <v>876110850.20189226</v>
      </c>
      <c r="BWS27" s="613">
        <f t="shared" ref="BWS27" si="994">BWQ27*$C$27</f>
        <v>884871958.70391119</v>
      </c>
      <c r="BWU27" s="613">
        <f t="shared" ref="BWU27" si="995">BWS27*$C$27</f>
        <v>893720678.2909503</v>
      </c>
      <c r="BWW27" s="613">
        <f t="shared" ref="BWW27" si="996">BWU27*$C$27</f>
        <v>902657885.07385981</v>
      </c>
      <c r="BWY27" s="613">
        <f t="shared" ref="BWY27" si="997">BWW27*$C$27</f>
        <v>911684463.92459846</v>
      </c>
      <c r="BXA27" s="613">
        <f t="shared" ref="BXA27" si="998">BWY27*$C$27</f>
        <v>920801308.56384444</v>
      </c>
      <c r="BXC27" s="613">
        <f t="shared" ref="BXC27" si="999">BXA27*$C$27</f>
        <v>930009321.64948285</v>
      </c>
      <c r="BXE27" s="613">
        <f t="shared" ref="BXE27" si="1000">BXC27*$C$27</f>
        <v>939309414.86597764</v>
      </c>
      <c r="BXG27" s="613">
        <f t="shared" ref="BXG27" si="1001">BXE27*$C$27</f>
        <v>948702509.01463747</v>
      </c>
      <c r="BXI27" s="613">
        <f t="shared" ref="BXI27" si="1002">BXG27*$C$27</f>
        <v>958189534.10478389</v>
      </c>
      <c r="BXK27" s="613">
        <f t="shared" ref="BXK27" si="1003">BXI27*$C$27</f>
        <v>967771429.44583178</v>
      </c>
      <c r="BXM27" s="613">
        <f t="shared" ref="BXM27" si="1004">BXK27*$C$27</f>
        <v>977449143.74029005</v>
      </c>
      <c r="BXO27" s="613">
        <f t="shared" ref="BXO27" si="1005">BXM27*$C$27</f>
        <v>987223635.17769301</v>
      </c>
      <c r="BXQ27" s="613">
        <f t="shared" ref="BXQ27" si="1006">BXO27*$C$27</f>
        <v>997095871.52946997</v>
      </c>
      <c r="BXS27" s="613">
        <f t="shared" ref="BXS27" si="1007">BXQ27*$C$27</f>
        <v>1007066830.2447647</v>
      </c>
      <c r="BXU27" s="613">
        <f t="shared" ref="BXU27" si="1008">BXS27*$C$27</f>
        <v>1017137498.5472124</v>
      </c>
      <c r="BXW27" s="613">
        <f t="shared" ref="BXW27" si="1009">BXU27*$C$27</f>
        <v>1027308873.5326844</v>
      </c>
      <c r="BXY27" s="613">
        <f t="shared" ref="BXY27" si="1010">BXW27*$C$27</f>
        <v>1037581962.2680113</v>
      </c>
      <c r="BYA27" s="613">
        <f t="shared" ref="BYA27" si="1011">BXY27*$C$27</f>
        <v>1047957781.8906914</v>
      </c>
      <c r="BYC27" s="613">
        <f t="shared" ref="BYC27" si="1012">BYA27*$C$27</f>
        <v>1058437359.7095983</v>
      </c>
      <c r="BYE27" s="613">
        <f t="shared" ref="BYE27" si="1013">BYC27*$C$27</f>
        <v>1069021733.3066943</v>
      </c>
      <c r="BYG27" s="613">
        <f t="shared" ref="BYG27" si="1014">BYE27*$C$27</f>
        <v>1079711950.6397612</v>
      </c>
      <c r="BYI27" s="613">
        <f t="shared" ref="BYI27" si="1015">BYG27*$C$27</f>
        <v>1090509070.1461589</v>
      </c>
      <c r="BYK27" s="613">
        <f t="shared" ref="BYK27" si="1016">BYI27*$C$27</f>
        <v>1101414160.8476205</v>
      </c>
      <c r="BYM27" s="613">
        <f t="shared" ref="BYM27" si="1017">BYK27*$C$27</f>
        <v>1112428302.4560966</v>
      </c>
      <c r="BYO27" s="613">
        <f t="shared" ref="BYO27" si="1018">BYM27*$C$27</f>
        <v>1123552585.4806576</v>
      </c>
      <c r="BYQ27" s="613">
        <f t="shared" ref="BYQ27" si="1019">BYO27*$C$27</f>
        <v>1134788111.3354642</v>
      </c>
      <c r="BYS27" s="613">
        <f t="shared" ref="BYS27" si="1020">BYQ27*$C$27</f>
        <v>1146135992.4488189</v>
      </c>
      <c r="BYU27" s="613">
        <f t="shared" ref="BYU27" si="1021">BYS27*$C$27</f>
        <v>1157597352.3733072</v>
      </c>
      <c r="BYW27" s="613">
        <f t="shared" ref="BYW27" si="1022">BYU27*$C$27</f>
        <v>1169173325.8970404</v>
      </c>
      <c r="BYY27" s="613">
        <f t="shared" ref="BYY27" si="1023">BYW27*$C$27</f>
        <v>1180865059.1560109</v>
      </c>
      <c r="BZA27" s="613">
        <f t="shared" ref="BZA27" si="1024">BYY27*$C$27</f>
        <v>1192673709.747571</v>
      </c>
      <c r="BZC27" s="613">
        <f t="shared" ref="BZC27" si="1025">BZA27*$C$27</f>
        <v>1204600446.8450468</v>
      </c>
      <c r="BZE27" s="613">
        <f t="shared" ref="BZE27" si="1026">BZC27*$C$27</f>
        <v>1216646451.3134973</v>
      </c>
      <c r="BZG27" s="613">
        <f t="shared" ref="BZG27" si="1027">BZE27*$C$27</f>
        <v>1228812915.8266323</v>
      </c>
      <c r="BZI27" s="613">
        <f t="shared" ref="BZI27" si="1028">BZG27*$C$27</f>
        <v>1241101044.9848986</v>
      </c>
      <c r="BZK27" s="613">
        <f t="shared" ref="BZK27" si="1029">BZI27*$C$27</f>
        <v>1253512055.4347475</v>
      </c>
      <c r="BZM27" s="613">
        <f t="shared" ref="BZM27" si="1030">BZK27*$C$27</f>
        <v>1266047175.989095</v>
      </c>
      <c r="BZO27" s="613">
        <f t="shared" ref="BZO27" si="1031">BZM27*$C$27</f>
        <v>1278707647.748986</v>
      </c>
      <c r="BZQ27" s="613">
        <f t="shared" ref="BZQ27" si="1032">BZO27*$C$27</f>
        <v>1291494724.226476</v>
      </c>
      <c r="BZS27" s="613">
        <f t="shared" ref="BZS27" si="1033">BZQ27*$C$27</f>
        <v>1304409671.4687407</v>
      </c>
      <c r="BZU27" s="613">
        <f t="shared" ref="BZU27" si="1034">BZS27*$C$27</f>
        <v>1317453768.183428</v>
      </c>
      <c r="BZW27" s="613">
        <f t="shared" ref="BZW27" si="1035">BZU27*$C$27</f>
        <v>1330628305.8652623</v>
      </c>
      <c r="BZY27" s="613">
        <f t="shared" ref="BZY27" si="1036">BZW27*$C$27</f>
        <v>1343934588.9239149</v>
      </c>
      <c r="CAA27" s="613">
        <f t="shared" ref="CAA27" si="1037">BZY27*$C$27</f>
        <v>1357373934.813154</v>
      </c>
      <c r="CAC27" s="613">
        <f t="shared" ref="CAC27" si="1038">CAA27*$C$27</f>
        <v>1370947674.1612856</v>
      </c>
      <c r="CAE27" s="613">
        <f t="shared" ref="CAE27" si="1039">CAC27*$C$27</f>
        <v>1384657150.9028986</v>
      </c>
      <c r="CAG27" s="613">
        <f t="shared" ref="CAG27" si="1040">CAE27*$C$27</f>
        <v>1398503722.4119275</v>
      </c>
      <c r="CAI27" s="613">
        <f t="shared" ref="CAI27" si="1041">CAG27*$C$27</f>
        <v>1412488759.6360466</v>
      </c>
      <c r="CAK27" s="613">
        <f t="shared" ref="CAK27" si="1042">CAI27*$C$27</f>
        <v>1426613647.2324071</v>
      </c>
      <c r="CAM27" s="613">
        <f t="shared" ref="CAM27" si="1043">CAK27*$C$27</f>
        <v>1440879783.7047312</v>
      </c>
      <c r="CAO27" s="613">
        <f t="shared" ref="CAO27" si="1044">CAM27*$C$27</f>
        <v>1455288581.5417786</v>
      </c>
      <c r="CAQ27" s="613">
        <f t="shared" ref="CAQ27" si="1045">CAO27*$C$27</f>
        <v>1469841467.3571963</v>
      </c>
      <c r="CAS27" s="613">
        <f t="shared" ref="CAS27" si="1046">CAQ27*$C$27</f>
        <v>1484539882.0307684</v>
      </c>
      <c r="CAU27" s="613">
        <f t="shared" ref="CAU27" si="1047">CAS27*$C$27</f>
        <v>1499385280.8510761</v>
      </c>
      <c r="CAW27" s="613">
        <f t="shared" ref="CAW27" si="1048">CAU27*$C$27</f>
        <v>1514379133.6595869</v>
      </c>
      <c r="CAY27" s="613">
        <f t="shared" ref="CAY27" si="1049">CAW27*$C$27</f>
        <v>1529522924.9961827</v>
      </c>
      <c r="CBA27" s="613">
        <f t="shared" ref="CBA27" si="1050">CAY27*$C$27</f>
        <v>1544818154.2461445</v>
      </c>
      <c r="CBC27" s="613">
        <f t="shared" ref="CBC27" si="1051">CBA27*$C$27</f>
        <v>1560266335.7886059</v>
      </c>
      <c r="CBE27" s="613">
        <f t="shared" ref="CBE27" si="1052">CBC27*$C$27</f>
        <v>1575868999.146492</v>
      </c>
      <c r="CBG27" s="613">
        <f t="shared" ref="CBG27" si="1053">CBE27*$C$27</f>
        <v>1591627689.1379569</v>
      </c>
      <c r="CBI27" s="613">
        <f t="shared" ref="CBI27" si="1054">CBG27*$C$27</f>
        <v>1607543966.0293365</v>
      </c>
      <c r="CBK27" s="613">
        <f t="shared" ref="CBK27" si="1055">CBI27*$C$27</f>
        <v>1623619405.6896298</v>
      </c>
      <c r="CBM27" s="613">
        <f t="shared" ref="CBM27" si="1056">CBK27*$C$27</f>
        <v>1639855599.746526</v>
      </c>
      <c r="CBO27" s="613">
        <f t="shared" ref="CBO27" si="1057">CBM27*$C$27</f>
        <v>1656254155.7439914</v>
      </c>
      <c r="CBQ27" s="613">
        <f t="shared" ref="CBQ27" si="1058">CBO27*$C$27</f>
        <v>1672816697.3014314</v>
      </c>
      <c r="CBS27" s="613">
        <f t="shared" ref="CBS27" si="1059">CBQ27*$C$27</f>
        <v>1689544864.2744458</v>
      </c>
      <c r="CBU27" s="613">
        <f t="shared" ref="CBU27" si="1060">CBS27*$C$27</f>
        <v>1706440312.9171903</v>
      </c>
      <c r="CBW27" s="613">
        <f t="shared" ref="CBW27" si="1061">CBU27*$C$27</f>
        <v>1723504716.0463622</v>
      </c>
      <c r="CBY27" s="613">
        <f t="shared" ref="CBY27" si="1062">CBW27*$C$27</f>
        <v>1740739763.2068257</v>
      </c>
      <c r="CCA27" s="613">
        <f t="shared" ref="CCA27" si="1063">CBY27*$C$27</f>
        <v>1758147160.8388939</v>
      </c>
      <c r="CCC27" s="613">
        <f t="shared" ref="CCC27" si="1064">CCA27*$C$27</f>
        <v>1775728632.4472828</v>
      </c>
      <c r="CCE27" s="613">
        <f t="shared" ref="CCE27" si="1065">CCC27*$C$27</f>
        <v>1793485918.7717557</v>
      </c>
      <c r="CCG27" s="613">
        <f t="shared" ref="CCG27" si="1066">CCE27*$C$27</f>
        <v>1811420777.9594734</v>
      </c>
      <c r="CCI27" s="613">
        <f t="shared" ref="CCI27" si="1067">CCG27*$C$27</f>
        <v>1829534985.739068</v>
      </c>
      <c r="CCK27" s="613">
        <f t="shared" ref="CCK27" si="1068">CCI27*$C$27</f>
        <v>1847830335.5964587</v>
      </c>
      <c r="CCM27" s="613">
        <f t="shared" ref="CCM27" si="1069">CCK27*$C$27</f>
        <v>1866308638.9524233</v>
      </c>
      <c r="CCO27" s="613">
        <f t="shared" ref="CCO27" si="1070">CCM27*$C$27</f>
        <v>1884971725.3419476</v>
      </c>
      <c r="CCQ27" s="613">
        <f t="shared" ref="CCQ27" si="1071">CCO27*$C$27</f>
        <v>1903821442.595367</v>
      </c>
      <c r="CCS27" s="613">
        <f t="shared" ref="CCS27" si="1072">CCQ27*$C$27</f>
        <v>1922859657.0213206</v>
      </c>
      <c r="CCU27" s="613">
        <f t="shared" ref="CCU27" si="1073">CCS27*$C$27</f>
        <v>1942088253.5915339</v>
      </c>
      <c r="CCW27" s="613">
        <f t="shared" ref="CCW27" si="1074">CCU27*$C$27</f>
        <v>1961509136.1274493</v>
      </c>
      <c r="CCY27" s="613">
        <f t="shared" ref="CCY27" si="1075">CCW27*$C$27</f>
        <v>1981124227.4887238</v>
      </c>
      <c r="CDA27" s="613">
        <f t="shared" ref="CDA27" si="1076">CCY27*$C$27</f>
        <v>2000935469.7636111</v>
      </c>
      <c r="CDC27" s="613">
        <f t="shared" ref="CDC27" si="1077">CDA27*$C$27</f>
        <v>2020944824.4612472</v>
      </c>
      <c r="CDE27" s="613">
        <f t="shared" ref="CDE27" si="1078">CDC27*$C$27</f>
        <v>2041154272.7058597</v>
      </c>
      <c r="CDG27" s="613">
        <f t="shared" ref="CDG27" si="1079">CDE27*$C$27</f>
        <v>2061565815.4329183</v>
      </c>
      <c r="CDI27" s="613">
        <f t="shared" ref="CDI27" si="1080">CDG27*$C$27</f>
        <v>2082181473.5872476</v>
      </c>
      <c r="CDK27" s="613">
        <f t="shared" ref="CDK27" si="1081">CDI27*$C$27</f>
        <v>2103003288.3231201</v>
      </c>
      <c r="CDM27" s="613">
        <f t="shared" ref="CDM27" si="1082">CDK27*$C$27</f>
        <v>2124033321.2063513</v>
      </c>
      <c r="CDO27" s="613">
        <f t="shared" ref="CDO27" si="1083">CDM27*$C$27</f>
        <v>2145273654.4184148</v>
      </c>
      <c r="CDQ27" s="613">
        <f t="shared" ref="CDQ27" si="1084">CDO27*$C$27</f>
        <v>2166726390.9625988</v>
      </c>
      <c r="CDS27" s="613">
        <f t="shared" ref="CDS27" si="1085">CDQ27*$C$27</f>
        <v>2188393654.8722248</v>
      </c>
      <c r="CDU27" s="613">
        <f t="shared" ref="CDU27" si="1086">CDS27*$C$27</f>
        <v>2210277591.4209471</v>
      </c>
      <c r="CDW27" s="613">
        <f t="shared" ref="CDW27" si="1087">CDU27*$C$27</f>
        <v>2232380367.3351564</v>
      </c>
      <c r="CDY27" s="613">
        <f t="shared" ref="CDY27" si="1088">CDW27*$C$27</f>
        <v>2254704171.0085082</v>
      </c>
      <c r="CEA27" s="613">
        <f t="shared" ref="CEA27" si="1089">CDY27*$C$27</f>
        <v>2277251212.7185931</v>
      </c>
      <c r="CEC27" s="613">
        <f t="shared" ref="CEC27" si="1090">CEA27*$C$27</f>
        <v>2300023724.8457789</v>
      </c>
      <c r="CEE27" s="613">
        <f t="shared" ref="CEE27" si="1091">CEC27*$C$27</f>
        <v>2323023962.0942369</v>
      </c>
      <c r="CEG27" s="613">
        <f t="shared" ref="CEG27" si="1092">CEE27*$C$27</f>
        <v>2346254201.7151794</v>
      </c>
      <c r="CEI27" s="613">
        <f t="shared" ref="CEI27" si="1093">CEG27*$C$27</f>
        <v>2369716743.7323313</v>
      </c>
      <c r="CEK27" s="613">
        <f t="shared" ref="CEK27" si="1094">CEI27*$C$27</f>
        <v>2393413911.1696548</v>
      </c>
      <c r="CEM27" s="613">
        <f t="shared" ref="CEM27" si="1095">CEK27*$C$27</f>
        <v>2417348050.2813516</v>
      </c>
      <c r="CEO27" s="613">
        <f t="shared" ref="CEO27" si="1096">CEM27*$C$27</f>
        <v>2441521530.7841649</v>
      </c>
      <c r="CEQ27" s="613">
        <f t="shared" ref="CEQ27" si="1097">CEO27*$C$27</f>
        <v>2465936746.0920067</v>
      </c>
      <c r="CES27" s="613">
        <f t="shared" ref="CES27" si="1098">CEQ27*$C$27</f>
        <v>2490596113.5529265</v>
      </c>
      <c r="CEU27" s="613">
        <f t="shared" ref="CEU27" si="1099">CES27*$C$27</f>
        <v>2515502074.6884561</v>
      </c>
      <c r="CEW27" s="613">
        <f t="shared" ref="CEW27" si="1100">CEU27*$C$27</f>
        <v>2540657095.4353404</v>
      </c>
      <c r="CEY27" s="613">
        <f t="shared" ref="CEY27" si="1101">CEW27*$C$27</f>
        <v>2566063666.3896937</v>
      </c>
      <c r="CFA27" s="613">
        <f t="shared" ref="CFA27" si="1102">CEY27*$C$27</f>
        <v>2591724303.0535908</v>
      </c>
      <c r="CFC27" s="613">
        <f t="shared" ref="CFC27" si="1103">CFA27*$C$27</f>
        <v>2617641546.0841265</v>
      </c>
      <c r="CFE27" s="613">
        <f t="shared" ref="CFE27" si="1104">CFC27*$C$27</f>
        <v>2643817961.5449677</v>
      </c>
      <c r="CFG27" s="613">
        <f t="shared" ref="CFG27" si="1105">CFE27*$C$27</f>
        <v>2670256141.1604176</v>
      </c>
      <c r="CFI27" s="613">
        <f t="shared" ref="CFI27" si="1106">CFG27*$C$27</f>
        <v>2696958702.572022</v>
      </c>
      <c r="CFK27" s="613">
        <f t="shared" ref="CFK27" si="1107">CFI27*$C$27</f>
        <v>2723928289.5977421</v>
      </c>
      <c r="CFM27" s="613">
        <f t="shared" ref="CFM27" si="1108">CFK27*$C$27</f>
        <v>2751167572.4937196</v>
      </c>
      <c r="CFO27" s="613">
        <f t="shared" ref="CFO27" si="1109">CFM27*$C$27</f>
        <v>2778679248.218657</v>
      </c>
      <c r="CFQ27" s="613">
        <f t="shared" ref="CFQ27" si="1110">CFO27*$C$27</f>
        <v>2806466040.7008438</v>
      </c>
      <c r="CFS27" s="613">
        <f t="shared" ref="CFS27" si="1111">CFQ27*$C$27</f>
        <v>2834530701.1078525</v>
      </c>
      <c r="CFU27" s="613">
        <f t="shared" ref="CFU27" si="1112">CFS27*$C$27</f>
        <v>2862876008.1189308</v>
      </c>
      <c r="CFW27" s="613">
        <f t="shared" ref="CFW27" si="1113">CFU27*$C$27</f>
        <v>2891504768.20012</v>
      </c>
      <c r="CFY27" s="613">
        <f t="shared" ref="CFY27" si="1114">CFW27*$C$27</f>
        <v>2920419815.8821211</v>
      </c>
      <c r="CGA27" s="613">
        <f t="shared" ref="CGA27" si="1115">CFY27*$C$27</f>
        <v>2949624014.0409422</v>
      </c>
      <c r="CGC27" s="613">
        <f t="shared" ref="CGC27" si="1116">CGA27*$C$27</f>
        <v>2979120254.1813517</v>
      </c>
      <c r="CGE27" s="613">
        <f t="shared" ref="CGE27" si="1117">CGC27*$C$27</f>
        <v>3008911456.723165</v>
      </c>
      <c r="CGG27" s="613">
        <f t="shared" ref="CGG27" si="1118">CGE27*$C$27</f>
        <v>3039000571.2903967</v>
      </c>
      <c r="CGI27" s="613">
        <f t="shared" ref="CGI27" si="1119">CGG27*$C$27</f>
        <v>3069390577.0033007</v>
      </c>
      <c r="CGK27" s="613">
        <f t="shared" ref="CGK27" si="1120">CGI27*$C$27</f>
        <v>3100084482.7733335</v>
      </c>
      <c r="CGM27" s="613">
        <f t="shared" ref="CGM27" si="1121">CGK27*$C$27</f>
        <v>3131085327.6010671</v>
      </c>
      <c r="CGO27" s="613">
        <f t="shared" ref="CGO27" si="1122">CGM27*$C$27</f>
        <v>3162396180.8770776</v>
      </c>
      <c r="CGQ27" s="613">
        <f t="shared" ref="CGQ27" si="1123">CGO27*$C$27</f>
        <v>3194020142.6858482</v>
      </c>
      <c r="CGS27" s="613">
        <f t="shared" ref="CGS27" si="1124">CGQ27*$C$27</f>
        <v>3225960344.1127067</v>
      </c>
      <c r="CGU27" s="613">
        <f t="shared" ref="CGU27" si="1125">CGS27*$C$27</f>
        <v>3258219947.553834</v>
      </c>
      <c r="CGW27" s="613">
        <f t="shared" ref="CGW27" si="1126">CGU27*$C$27</f>
        <v>3290802147.0293722</v>
      </c>
      <c r="CGY27" s="613">
        <f t="shared" ref="CGY27" si="1127">CGW27*$C$27</f>
        <v>3323710168.4996657</v>
      </c>
      <c r="CHA27" s="613">
        <f t="shared" ref="CHA27" si="1128">CGY27*$C$27</f>
        <v>3356947270.1846623</v>
      </c>
      <c r="CHC27" s="613">
        <f t="shared" ref="CHC27" si="1129">CHA27*$C$27</f>
        <v>3390516742.8865089</v>
      </c>
      <c r="CHE27" s="613">
        <f t="shared" ref="CHE27" si="1130">CHC27*$C$27</f>
        <v>3424421910.3153739</v>
      </c>
      <c r="CHG27" s="613">
        <f t="shared" ref="CHG27" si="1131">CHE27*$C$27</f>
        <v>3458666129.4185276</v>
      </c>
      <c r="CHI27" s="613">
        <f t="shared" ref="CHI27" si="1132">CHG27*$C$27</f>
        <v>3493252790.7127128</v>
      </c>
      <c r="CHK27" s="613">
        <f t="shared" ref="CHK27" si="1133">CHI27*$C$27</f>
        <v>3528185318.6198401</v>
      </c>
      <c r="CHM27" s="613">
        <f t="shared" ref="CHM27" si="1134">CHK27*$C$27</f>
        <v>3563467171.8060384</v>
      </c>
      <c r="CHO27" s="613">
        <f t="shared" ref="CHO27" si="1135">CHM27*$C$27</f>
        <v>3599101843.5240989</v>
      </c>
      <c r="CHQ27" s="613">
        <f t="shared" ref="CHQ27" si="1136">CHO27*$C$27</f>
        <v>3635092861.9593401</v>
      </c>
      <c r="CHS27" s="613">
        <f t="shared" ref="CHS27" si="1137">CHQ27*$C$27</f>
        <v>3671443790.5789337</v>
      </c>
      <c r="CHU27" s="613">
        <f t="shared" ref="CHU27" si="1138">CHS27*$C$27</f>
        <v>3708158228.4847231</v>
      </c>
      <c r="CHW27" s="613">
        <f t="shared" ref="CHW27" si="1139">CHU27*$C$27</f>
        <v>3745239810.7695704</v>
      </c>
      <c r="CHY27" s="613">
        <f t="shared" ref="CHY27" si="1140">CHW27*$C$27</f>
        <v>3782692208.8772659</v>
      </c>
      <c r="CIA27" s="613">
        <f t="shared" ref="CIA27" si="1141">CHY27*$C$27</f>
        <v>3820519130.9660387</v>
      </c>
      <c r="CIC27" s="613">
        <f t="shared" ref="CIC27" si="1142">CIA27*$C$27</f>
        <v>3858724322.2756991</v>
      </c>
      <c r="CIE27" s="613">
        <f t="shared" ref="CIE27" si="1143">CIC27*$C$27</f>
        <v>3897311565.498456</v>
      </c>
      <c r="CIG27" s="613">
        <f t="shared" ref="CIG27" si="1144">CIE27*$C$27</f>
        <v>3936284681.1534405</v>
      </c>
      <c r="CII27" s="613">
        <f t="shared" ref="CII27" si="1145">CIG27*$C$27</f>
        <v>3975647527.9649749</v>
      </c>
      <c r="CIK27" s="613">
        <f t="shared" ref="CIK27" si="1146">CII27*$C$27</f>
        <v>4015404003.2446246</v>
      </c>
      <c r="CIM27" s="613">
        <f t="shared" ref="CIM27" si="1147">CIK27*$C$27</f>
        <v>4055558043.277071</v>
      </c>
      <c r="CIO27" s="613">
        <f t="shared" ref="CIO27" si="1148">CIM27*$C$27</f>
        <v>4096113623.7098417</v>
      </c>
      <c r="CIQ27" s="613">
        <f t="shared" ref="CIQ27" si="1149">CIO27*$C$27</f>
        <v>4137074759.9469399</v>
      </c>
      <c r="CIS27" s="613">
        <f t="shared" ref="CIS27" si="1150">CIQ27*$C$27</f>
        <v>4178445507.5464096</v>
      </c>
      <c r="CIU27" s="613">
        <f t="shared" ref="CIU27" si="1151">CIS27*$C$27</f>
        <v>4220229962.6218739</v>
      </c>
      <c r="CIW27" s="613">
        <f t="shared" ref="CIW27" si="1152">CIU27*$C$27</f>
        <v>4262432262.2480927</v>
      </c>
      <c r="CIY27" s="613">
        <f t="shared" ref="CIY27" si="1153">CIW27*$C$27</f>
        <v>4305056584.870574</v>
      </c>
      <c r="CJA27" s="613">
        <f t="shared" ref="CJA27" si="1154">CIY27*$C$27</f>
        <v>4348107150.7192802</v>
      </c>
      <c r="CJC27" s="613">
        <f t="shared" ref="CJC27" si="1155">CJA27*$C$27</f>
        <v>4391588222.2264729</v>
      </c>
      <c r="CJE27" s="613">
        <f t="shared" ref="CJE27" si="1156">CJC27*$C$27</f>
        <v>4435504104.4487381</v>
      </c>
      <c r="CJG27" s="613">
        <f t="shared" ref="CJG27" si="1157">CJE27*$C$27</f>
        <v>4479859145.4932251</v>
      </c>
      <c r="CJI27" s="613">
        <f t="shared" ref="CJI27" si="1158">CJG27*$C$27</f>
        <v>4524657736.9481573</v>
      </c>
      <c r="CJK27" s="613">
        <f t="shared" ref="CJK27" si="1159">CJI27*$C$27</f>
        <v>4569904314.3176394</v>
      </c>
      <c r="CJM27" s="613">
        <f t="shared" ref="CJM27" si="1160">CJK27*$C$27</f>
        <v>4615603357.4608154</v>
      </c>
      <c r="CJO27" s="613">
        <f t="shared" ref="CJO27" si="1161">CJM27*$C$27</f>
        <v>4661759391.0354233</v>
      </c>
      <c r="CJQ27" s="613">
        <f t="shared" ref="CJQ27" si="1162">CJO27*$C$27</f>
        <v>4708376984.9457779</v>
      </c>
      <c r="CJS27" s="613">
        <f t="shared" ref="CJS27" si="1163">CJQ27*$C$27</f>
        <v>4755460754.7952356</v>
      </c>
      <c r="CJU27" s="613">
        <f t="shared" ref="CJU27" si="1164">CJS27*$C$27</f>
        <v>4803015362.3431883</v>
      </c>
      <c r="CJW27" s="613">
        <f t="shared" ref="CJW27" si="1165">CJU27*$C$27</f>
        <v>4851045515.9666204</v>
      </c>
      <c r="CJY27" s="613">
        <f t="shared" ref="CJY27" si="1166">CJW27*$C$27</f>
        <v>4899555971.1262865</v>
      </c>
      <c r="CKA27" s="613">
        <f t="shared" ref="CKA27" si="1167">CJY27*$C$27</f>
        <v>4948551530.8375492</v>
      </c>
      <c r="CKC27" s="613">
        <f t="shared" ref="CKC27" si="1168">CKA27*$C$27</f>
        <v>4998037046.1459246</v>
      </c>
      <c r="CKE27" s="613">
        <f t="shared" ref="CKE27" si="1169">CKC27*$C$27</f>
        <v>5048017416.6073837</v>
      </c>
      <c r="CKG27" s="613">
        <f t="shared" ref="CKG27" si="1170">CKE27*$C$27</f>
        <v>5098497590.7734575</v>
      </c>
      <c r="CKI27" s="613">
        <f t="shared" ref="CKI27" si="1171">CKG27*$C$27</f>
        <v>5149482566.6811924</v>
      </c>
      <c r="CKK27" s="613">
        <f t="shared" ref="CKK27" si="1172">CKI27*$C$27</f>
        <v>5200977392.3480043</v>
      </c>
      <c r="CKM27" s="613">
        <f t="shared" ref="CKM27" si="1173">CKK27*$C$27</f>
        <v>5252987166.2714844</v>
      </c>
      <c r="CKO27" s="613">
        <f t="shared" ref="CKO27" si="1174">CKM27*$C$27</f>
        <v>5305517037.9341993</v>
      </c>
      <c r="CKQ27" s="613">
        <f t="shared" ref="CKQ27" si="1175">CKO27*$C$27</f>
        <v>5358572208.3135414</v>
      </c>
      <c r="CKS27" s="613">
        <f t="shared" ref="CKS27" si="1176">CKQ27*$C$27</f>
        <v>5412157930.396677</v>
      </c>
      <c r="CKU27" s="613">
        <f t="shared" ref="CKU27" si="1177">CKS27*$C$27</f>
        <v>5466279509.7006435</v>
      </c>
      <c r="CKW27" s="613">
        <f t="shared" ref="CKW27" si="1178">CKU27*$C$27</f>
        <v>5520942304.7976503</v>
      </c>
      <c r="CKY27" s="613">
        <f t="shared" ref="CKY27" si="1179">CKW27*$C$27</f>
        <v>5576151727.8456268</v>
      </c>
      <c r="CLA27" s="613">
        <f t="shared" ref="CLA27" si="1180">CKY27*$C$27</f>
        <v>5631913245.1240835</v>
      </c>
      <c r="CLC27" s="613">
        <f t="shared" ref="CLC27" si="1181">CLA27*$C$27</f>
        <v>5688232377.5753241</v>
      </c>
      <c r="CLE27" s="613">
        <f t="shared" ref="CLE27" si="1182">CLC27*$C$27</f>
        <v>5745114701.3510771</v>
      </c>
      <c r="CLG27" s="613">
        <f t="shared" ref="CLG27" si="1183">CLE27*$C$27</f>
        <v>5802565848.3645878</v>
      </c>
      <c r="CLI27" s="613">
        <f t="shared" ref="CLI27" si="1184">CLG27*$C$27</f>
        <v>5860591506.8482342</v>
      </c>
      <c r="CLK27" s="613">
        <f t="shared" ref="CLK27" si="1185">CLI27*$C$27</f>
        <v>5919197421.9167166</v>
      </c>
      <c r="CLM27" s="613">
        <f t="shared" ref="CLM27" si="1186">CLK27*$C$27</f>
        <v>5978389396.1358833</v>
      </c>
      <c r="CLO27" s="613">
        <f t="shared" ref="CLO27" si="1187">CLM27*$C$27</f>
        <v>6038173290.0972424</v>
      </c>
      <c r="CLQ27" s="613">
        <f t="shared" ref="CLQ27" si="1188">CLO27*$C$27</f>
        <v>6098555022.9982147</v>
      </c>
      <c r="CLS27" s="613">
        <f t="shared" ref="CLS27" si="1189">CLQ27*$C$27</f>
        <v>6159540573.2281971</v>
      </c>
      <c r="CLU27" s="613">
        <f t="shared" ref="CLU27" si="1190">CLS27*$C$27</f>
        <v>6221135978.9604788</v>
      </c>
      <c r="CLW27" s="613">
        <f t="shared" ref="CLW27" si="1191">CLU27*$C$27</f>
        <v>6283347338.7500839</v>
      </c>
      <c r="CLY27" s="613">
        <f t="shared" ref="CLY27" si="1192">CLW27*$C$27</f>
        <v>6346180812.1375847</v>
      </c>
      <c r="CMA27" s="613">
        <f t="shared" ref="CMA27" si="1193">CLY27*$C$27</f>
        <v>6409642620.2589607</v>
      </c>
      <c r="CMC27" s="613">
        <f t="shared" ref="CMC27" si="1194">CMA27*$C$27</f>
        <v>6473739046.4615507</v>
      </c>
      <c r="CME27" s="613">
        <f t="shared" ref="CME27" si="1195">CMC27*$C$27</f>
        <v>6538476436.9261665</v>
      </c>
      <c r="CMG27" s="613">
        <f t="shared" ref="CMG27" si="1196">CME27*$C$27</f>
        <v>6603861201.2954283</v>
      </c>
      <c r="CMI27" s="613">
        <f t="shared" ref="CMI27" si="1197">CMG27*$C$27</f>
        <v>6669899813.308383</v>
      </c>
      <c r="CMK27" s="613">
        <f t="shared" ref="CMK27" si="1198">CMI27*$C$27</f>
        <v>6736598811.4414673</v>
      </c>
      <c r="CMM27" s="613">
        <f t="shared" ref="CMM27" si="1199">CMK27*$C$27</f>
        <v>6803964799.5558825</v>
      </c>
      <c r="CMO27" s="613">
        <f t="shared" ref="CMO27" si="1200">CMM27*$C$27</f>
        <v>6872004447.5514412</v>
      </c>
      <c r="CMQ27" s="613">
        <f t="shared" ref="CMQ27" si="1201">CMO27*$C$27</f>
        <v>6940724492.0269556</v>
      </c>
      <c r="CMS27" s="613">
        <f t="shared" ref="CMS27" si="1202">CMQ27*$C$27</f>
        <v>7010131736.9472256</v>
      </c>
      <c r="CMU27" s="613">
        <f t="shared" ref="CMU27" si="1203">CMS27*$C$27</f>
        <v>7080233054.3166981</v>
      </c>
      <c r="CMW27" s="613">
        <f t="shared" ref="CMW27" si="1204">CMU27*$C$27</f>
        <v>7151035384.8598652</v>
      </c>
      <c r="CMY27" s="613">
        <f t="shared" ref="CMY27" si="1205">CMW27*$C$27</f>
        <v>7222545738.7084637</v>
      </c>
      <c r="CNA27" s="613">
        <f t="shared" ref="CNA27" si="1206">CMY27*$C$27</f>
        <v>7294771196.0955486</v>
      </c>
      <c r="CNC27" s="613">
        <f t="shared" ref="CNC27" si="1207">CNA27*$C$27</f>
        <v>7367718908.0565042</v>
      </c>
      <c r="CNE27" s="613">
        <f t="shared" ref="CNE27" si="1208">CNC27*$C$27</f>
        <v>7441396097.1370697</v>
      </c>
      <c r="CNG27" s="613">
        <f t="shared" ref="CNG27" si="1209">CNE27*$C$27</f>
        <v>7515810058.1084404</v>
      </c>
      <c r="CNI27" s="613">
        <f t="shared" ref="CNI27" si="1210">CNG27*$C$27</f>
        <v>7590968158.6895247</v>
      </c>
      <c r="CNK27" s="613">
        <f t="shared" ref="CNK27" si="1211">CNI27*$C$27</f>
        <v>7666877840.2764196</v>
      </c>
      <c r="CNM27" s="613">
        <f t="shared" ref="CNM27" si="1212">CNK27*$C$27</f>
        <v>7743546618.679184</v>
      </c>
      <c r="CNO27" s="613">
        <f t="shared" ref="CNO27" si="1213">CNM27*$C$27</f>
        <v>7820982084.8659763</v>
      </c>
      <c r="CNQ27" s="613">
        <f t="shared" ref="CNQ27" si="1214">CNO27*$C$27</f>
        <v>7899191905.7146358</v>
      </c>
      <c r="CNS27" s="613">
        <f t="shared" ref="CNS27" si="1215">CNQ27*$C$27</f>
        <v>7978183824.7717819</v>
      </c>
      <c r="CNU27" s="613">
        <f t="shared" ref="CNU27" si="1216">CNS27*$C$27</f>
        <v>8057965663.0194998</v>
      </c>
      <c r="CNW27" s="613">
        <f t="shared" ref="CNW27" si="1217">CNU27*$C$27</f>
        <v>8138545319.6496944</v>
      </c>
      <c r="CNY27" s="613">
        <f t="shared" ref="CNY27" si="1218">CNW27*$C$27</f>
        <v>8219930772.8461914</v>
      </c>
      <c r="COA27" s="613">
        <f t="shared" ref="COA27" si="1219">CNY27*$C$27</f>
        <v>8302130080.5746536</v>
      </c>
      <c r="COC27" s="613">
        <f t="shared" ref="COC27" si="1220">COA27*$C$27</f>
        <v>8385151381.3804007</v>
      </c>
      <c r="COE27" s="613">
        <f t="shared" ref="COE27" si="1221">COC27*$C$27</f>
        <v>8469002895.1942043</v>
      </c>
      <c r="COG27" s="613">
        <f t="shared" ref="COG27" si="1222">COE27*$C$27</f>
        <v>8553692924.1461468</v>
      </c>
      <c r="COI27" s="613">
        <f t="shared" ref="COI27" si="1223">COG27*$C$27</f>
        <v>8639229853.3876076</v>
      </c>
      <c r="COK27" s="613">
        <f t="shared" ref="COK27" si="1224">COI27*$C$27</f>
        <v>8725622151.921484</v>
      </c>
      <c r="COM27" s="613">
        <f t="shared" ref="COM27" si="1225">COK27*$C$27</f>
        <v>8812878373.4406986</v>
      </c>
      <c r="COO27" s="613">
        <f t="shared" ref="COO27" si="1226">COM27*$C$27</f>
        <v>8901007157.175106</v>
      </c>
      <c r="COQ27" s="613">
        <f t="shared" ref="COQ27" si="1227">COO27*$C$27</f>
        <v>8990017228.7468567</v>
      </c>
      <c r="COS27" s="613">
        <f t="shared" ref="COS27" si="1228">COQ27*$C$27</f>
        <v>9079917401.0343246</v>
      </c>
      <c r="COU27" s="613">
        <f t="shared" ref="COU27" si="1229">COS27*$C$27</f>
        <v>9170716575.0446682</v>
      </c>
      <c r="COW27" s="613">
        <f t="shared" ref="COW27" si="1230">COU27*$C$27</f>
        <v>9262423740.7951145</v>
      </c>
      <c r="COY27" s="613">
        <f t="shared" ref="COY27" si="1231">COW27*$C$27</f>
        <v>9355047978.2030659</v>
      </c>
      <c r="CPA27" s="613">
        <f t="shared" ref="CPA27" si="1232">COY27*$C$27</f>
        <v>9448598457.985096</v>
      </c>
      <c r="CPC27" s="613">
        <f t="shared" ref="CPC27" si="1233">CPA27*$C$27</f>
        <v>9543084442.5649471</v>
      </c>
      <c r="CPE27" s="613">
        <f t="shared" ref="CPE27" si="1234">CPC27*$C$27</f>
        <v>9638515286.9905968</v>
      </c>
      <c r="CPG27" s="613">
        <f t="shared" ref="CPG27" si="1235">CPE27*$C$27</f>
        <v>9734900439.8605022</v>
      </c>
      <c r="CPI27" s="613">
        <f t="shared" ref="CPI27" si="1236">CPG27*$C$27</f>
        <v>9832249444.2591076</v>
      </c>
      <c r="CPK27" s="613">
        <f t="shared" ref="CPK27" si="1237">CPI27*$C$27</f>
        <v>9930571938.7016983</v>
      </c>
      <c r="CPM27" s="613">
        <f t="shared" ref="CPM27" si="1238">CPK27*$C$27</f>
        <v>10029877658.088715</v>
      </c>
      <c r="CPO27" s="613">
        <f t="shared" ref="CPO27" si="1239">CPM27*$C$27</f>
        <v>10130176434.669601</v>
      </c>
      <c r="CPQ27" s="613">
        <f t="shared" ref="CPQ27" si="1240">CPO27*$C$27</f>
        <v>10231478199.016298</v>
      </c>
      <c r="CPS27" s="613">
        <f t="shared" ref="CPS27" si="1241">CPQ27*$C$27</f>
        <v>10333792981.006462</v>
      </c>
      <c r="CPU27" s="613">
        <f t="shared" ref="CPU27" si="1242">CPS27*$C$27</f>
        <v>10437130910.816526</v>
      </c>
      <c r="CPW27" s="613">
        <f t="shared" ref="CPW27" si="1243">CPU27*$C$27</f>
        <v>10541502219.924692</v>
      </c>
      <c r="CPY27" s="613">
        <f t="shared" ref="CPY27" si="1244">CPW27*$C$27</f>
        <v>10646917242.12394</v>
      </c>
      <c r="CQA27" s="613">
        <f t="shared" ref="CQA27" si="1245">CPY27*$C$27</f>
        <v>10753386414.545179</v>
      </c>
      <c r="CQC27" s="613">
        <f t="shared" ref="CQC27" si="1246">CQA27*$C$27</f>
        <v>10860920278.690632</v>
      </c>
      <c r="CQE27" s="613">
        <f t="shared" ref="CQE27" si="1247">CQC27*$C$27</f>
        <v>10969529481.477539</v>
      </c>
      <c r="CQG27" s="613">
        <f t="shared" ref="CQG27" si="1248">CQE27*$C$27</f>
        <v>11079224776.292315</v>
      </c>
      <c r="CQI27" s="613">
        <f t="shared" ref="CQI27" si="1249">CQG27*$C$27</f>
        <v>11190017024.055239</v>
      </c>
      <c r="CQK27" s="613">
        <f t="shared" ref="CQK27" si="1250">CQI27*$C$27</f>
        <v>11301917194.295792</v>
      </c>
      <c r="CQM27" s="613">
        <f t="shared" ref="CQM27" si="1251">CQK27*$C$27</f>
        <v>11414936366.23875</v>
      </c>
      <c r="CQO27" s="613">
        <f t="shared" ref="CQO27" si="1252">CQM27*$C$27</f>
        <v>11529085729.901138</v>
      </c>
      <c r="CQQ27" s="613">
        <f t="shared" ref="CQQ27" si="1253">CQO27*$C$27</f>
        <v>11644376587.20015</v>
      </c>
      <c r="CQS27" s="613">
        <f t="shared" ref="CQS27" si="1254">CQQ27*$C$27</f>
        <v>11760820353.072151</v>
      </c>
      <c r="CQU27" s="613">
        <f t="shared" ref="CQU27" si="1255">CQS27*$C$27</f>
        <v>11878428556.602873</v>
      </c>
      <c r="CQW27" s="613">
        <f t="shared" ref="CQW27" si="1256">CQU27*$C$27</f>
        <v>11997212842.168901</v>
      </c>
      <c r="CQY27" s="613">
        <f t="shared" ref="CQY27" si="1257">CQW27*$C$27</f>
        <v>12117184970.590591</v>
      </c>
      <c r="CRA27" s="613">
        <f t="shared" ref="CRA27" si="1258">CQY27*$C$27</f>
        <v>12238356820.296497</v>
      </c>
      <c r="CRC27" s="613">
        <f t="shared" ref="CRC27" si="1259">CRA27*$C$27</f>
        <v>12360740388.499462</v>
      </c>
      <c r="CRE27" s="613">
        <f t="shared" ref="CRE27" si="1260">CRC27*$C$27</f>
        <v>12484347792.384457</v>
      </c>
      <c r="CRG27" s="613">
        <f t="shared" ref="CRG27" si="1261">CRE27*$C$27</f>
        <v>12609191270.308302</v>
      </c>
      <c r="CRI27" s="613">
        <f t="shared" ref="CRI27" si="1262">CRG27*$C$27</f>
        <v>12735283183.011385</v>
      </c>
      <c r="CRK27" s="613">
        <f t="shared" ref="CRK27" si="1263">CRI27*$C$27</f>
        <v>12862636014.841499</v>
      </c>
      <c r="CRM27" s="613">
        <f t="shared" ref="CRM27" si="1264">CRK27*$C$27</f>
        <v>12991262374.989914</v>
      </c>
      <c r="CRO27" s="613">
        <f t="shared" ref="CRO27" si="1265">CRM27*$C$27</f>
        <v>13121174998.739813</v>
      </c>
      <c r="CRQ27" s="613">
        <f t="shared" ref="CRQ27" si="1266">CRO27*$C$27</f>
        <v>13252386748.727211</v>
      </c>
      <c r="CRS27" s="613">
        <f t="shared" ref="CRS27" si="1267">CRQ27*$C$27</f>
        <v>13384910616.214483</v>
      </c>
      <c r="CRU27" s="613">
        <f t="shared" ref="CRU27" si="1268">CRS27*$C$27</f>
        <v>13518759722.376629</v>
      </c>
      <c r="CRW27" s="613">
        <f t="shared" ref="CRW27" si="1269">CRU27*$C$27</f>
        <v>13653947319.600395</v>
      </c>
      <c r="CRY27" s="613">
        <f t="shared" ref="CRY27" si="1270">CRW27*$C$27</f>
        <v>13790486792.7964</v>
      </c>
      <c r="CSA27" s="613">
        <f t="shared" ref="CSA27" si="1271">CRY27*$C$27</f>
        <v>13928391660.724363</v>
      </c>
      <c r="CSC27" s="613">
        <f t="shared" ref="CSC27" si="1272">CSA27*$C$27</f>
        <v>14067675577.331608</v>
      </c>
      <c r="CSE27" s="613">
        <f t="shared" ref="CSE27" si="1273">CSC27*$C$27</f>
        <v>14208352333.104923</v>
      </c>
      <c r="CSG27" s="613">
        <f t="shared" ref="CSG27" si="1274">CSE27*$C$27</f>
        <v>14350435856.435972</v>
      </c>
      <c r="CSI27" s="613">
        <f t="shared" ref="CSI27" si="1275">CSG27*$C$27</f>
        <v>14493940215.000332</v>
      </c>
      <c r="CSK27" s="613">
        <f t="shared" ref="CSK27" si="1276">CSI27*$C$27</f>
        <v>14638879617.150335</v>
      </c>
      <c r="CSM27" s="613">
        <f t="shared" ref="CSM27" si="1277">CSK27*$C$27</f>
        <v>14785268413.321838</v>
      </c>
      <c r="CSO27" s="613">
        <f t="shared" ref="CSO27" si="1278">CSM27*$C$27</f>
        <v>14933121097.455057</v>
      </c>
      <c r="CSQ27" s="613">
        <f t="shared" ref="CSQ27" si="1279">CSO27*$C$27</f>
        <v>15082452308.429607</v>
      </c>
      <c r="CSS27" s="613">
        <f t="shared" ref="CSS27" si="1280">CSQ27*$C$27</f>
        <v>15233276831.513903</v>
      </c>
      <c r="CSU27" s="613">
        <f t="shared" ref="CSU27" si="1281">CSS27*$C$27</f>
        <v>15385609599.829042</v>
      </c>
      <c r="CSW27" s="613">
        <f t="shared" ref="CSW27" si="1282">CSU27*$C$27</f>
        <v>15539465695.827333</v>
      </c>
      <c r="CSY27" s="613">
        <f t="shared" ref="CSY27" si="1283">CSW27*$C$27</f>
        <v>15694860352.785606</v>
      </c>
      <c r="CTA27" s="613">
        <f t="shared" ref="CTA27" si="1284">CSY27*$C$27</f>
        <v>15851808956.313463</v>
      </c>
      <c r="CTC27" s="613">
        <f t="shared" ref="CTC27" si="1285">CTA27*$C$27</f>
        <v>16010327045.876598</v>
      </c>
      <c r="CTE27" s="613">
        <f t="shared" ref="CTE27" si="1286">CTC27*$C$27</f>
        <v>16170430316.335365</v>
      </c>
      <c r="CTG27" s="613">
        <f t="shared" ref="CTG27" si="1287">CTE27*$C$27</f>
        <v>16332134619.498718</v>
      </c>
      <c r="CTI27" s="613">
        <f t="shared" ref="CTI27" si="1288">CTG27*$C$27</f>
        <v>16495455965.693707</v>
      </c>
      <c r="CTK27" s="613">
        <f t="shared" ref="CTK27" si="1289">CTI27*$C$27</f>
        <v>16660410525.350643</v>
      </c>
      <c r="CTM27" s="613">
        <f t="shared" ref="CTM27" si="1290">CTK27*$C$27</f>
        <v>16827014630.604149</v>
      </c>
      <c r="CTO27" s="613">
        <f t="shared" ref="CTO27" si="1291">CTM27*$C$27</f>
        <v>16995284776.910191</v>
      </c>
      <c r="CTQ27" s="613">
        <f t="shared" ref="CTQ27" si="1292">CTO27*$C$27</f>
        <v>17165237624.679293</v>
      </c>
      <c r="CTS27" s="613">
        <f t="shared" ref="CTS27" si="1293">CTQ27*$C$27</f>
        <v>17336890000.926086</v>
      </c>
      <c r="CTU27" s="613">
        <f t="shared" ref="CTU27" si="1294">CTS27*$C$27</f>
        <v>17510258900.935349</v>
      </c>
      <c r="CTW27" s="613">
        <f t="shared" ref="CTW27" si="1295">CTU27*$C$27</f>
        <v>17685361489.944702</v>
      </c>
      <c r="CTY27" s="613">
        <f t="shared" ref="CTY27" si="1296">CTW27*$C$27</f>
        <v>17862215104.844151</v>
      </c>
      <c r="CUA27" s="613">
        <f t="shared" ref="CUA27" si="1297">CTY27*$C$27</f>
        <v>18040837255.892593</v>
      </c>
      <c r="CUC27" s="613">
        <f t="shared" ref="CUC27" si="1298">CUA27*$C$27</f>
        <v>18221245628.451519</v>
      </c>
      <c r="CUE27" s="613">
        <f t="shared" ref="CUE27" si="1299">CUC27*$C$27</f>
        <v>18403458084.736034</v>
      </c>
      <c r="CUG27" s="613">
        <f t="shared" ref="CUG27" si="1300">CUE27*$C$27</f>
        <v>18587492665.583393</v>
      </c>
      <c r="CUI27" s="613">
        <f t="shared" ref="CUI27" si="1301">CUG27*$C$27</f>
        <v>18773367592.239227</v>
      </c>
      <c r="CUK27" s="613">
        <f t="shared" ref="CUK27" si="1302">CUI27*$C$27</f>
        <v>18961101268.161621</v>
      </c>
      <c r="CUM27" s="613">
        <f t="shared" ref="CUM27" si="1303">CUK27*$C$27</f>
        <v>19150712280.843239</v>
      </c>
      <c r="CUO27" s="613">
        <f t="shared" ref="CUO27" si="1304">CUM27*$C$27</f>
        <v>19342219403.651672</v>
      </c>
      <c r="CUQ27" s="613">
        <f t="shared" ref="CUQ27" si="1305">CUO27*$C$27</f>
        <v>19535641597.68819</v>
      </c>
      <c r="CUS27" s="613">
        <f t="shared" ref="CUS27" si="1306">CUQ27*$C$27</f>
        <v>19730998013.665073</v>
      </c>
      <c r="CUU27" s="613">
        <f t="shared" ref="CUU27" si="1307">CUS27*$C$27</f>
        <v>19928307993.801723</v>
      </c>
      <c r="CUW27" s="613">
        <f t="shared" ref="CUW27" si="1308">CUU27*$C$27</f>
        <v>20127591073.739742</v>
      </c>
      <c r="CUY27" s="613">
        <f t="shared" ref="CUY27" si="1309">CUW27*$C$27</f>
        <v>20328866984.477139</v>
      </c>
      <c r="CVA27" s="613">
        <f t="shared" ref="CVA27" si="1310">CUY27*$C$27</f>
        <v>20532155654.321911</v>
      </c>
      <c r="CVC27" s="613">
        <f t="shared" ref="CVC27" si="1311">CVA27*$C$27</f>
        <v>20737477210.865131</v>
      </c>
      <c r="CVE27" s="613">
        <f t="shared" ref="CVE27" si="1312">CVC27*$C$27</f>
        <v>20944851982.973782</v>
      </c>
      <c r="CVG27" s="613">
        <f t="shared" ref="CVG27" si="1313">CVE27*$C$27</f>
        <v>21154300502.80352</v>
      </c>
      <c r="CVI27" s="613">
        <f t="shared" ref="CVI27" si="1314">CVG27*$C$27</f>
        <v>21365843507.831554</v>
      </c>
      <c r="CVK27" s="613">
        <f t="shared" ref="CVK27" si="1315">CVI27*$C$27</f>
        <v>21579501942.90987</v>
      </c>
      <c r="CVM27" s="613">
        <f t="shared" ref="CVM27" si="1316">CVK27*$C$27</f>
        <v>21795296962.33897</v>
      </c>
      <c r="CVO27" s="613">
        <f t="shared" ref="CVO27" si="1317">CVM27*$C$27</f>
        <v>22013249931.96236</v>
      </c>
      <c r="CVQ27" s="613">
        <f t="shared" ref="CVQ27" si="1318">CVO27*$C$27</f>
        <v>22233382431.281982</v>
      </c>
      <c r="CVS27" s="613">
        <f t="shared" ref="CVS27" si="1319">CVQ27*$C$27</f>
        <v>22455716255.594803</v>
      </c>
      <c r="CVU27" s="613">
        <f t="shared" ref="CVU27" si="1320">CVS27*$C$27</f>
        <v>22680273418.150749</v>
      </c>
      <c r="CVW27" s="613">
        <f t="shared" ref="CVW27" si="1321">CVU27*$C$27</f>
        <v>22907076152.332256</v>
      </c>
      <c r="CVY27" s="613">
        <f t="shared" ref="CVY27" si="1322">CVW27*$C$27</f>
        <v>23136146913.855579</v>
      </c>
      <c r="CWA27" s="613">
        <f t="shared" ref="CWA27" si="1323">CVY27*$C$27</f>
        <v>23367508382.994137</v>
      </c>
      <c r="CWC27" s="613">
        <f t="shared" ref="CWC27" si="1324">CWA27*$C$27</f>
        <v>23601183466.824078</v>
      </c>
      <c r="CWE27" s="613">
        <f t="shared" ref="CWE27" si="1325">CWC27*$C$27</f>
        <v>23837195301.492317</v>
      </c>
      <c r="CWG27" s="613">
        <f t="shared" ref="CWG27" si="1326">CWE27*$C$27</f>
        <v>24075567254.50724</v>
      </c>
      <c r="CWI27" s="613">
        <f t="shared" ref="CWI27" si="1327">CWG27*$C$27</f>
        <v>24316322927.052315</v>
      </c>
      <c r="CWK27" s="613">
        <f t="shared" ref="CWK27" si="1328">CWI27*$C$27</f>
        <v>24559486156.322838</v>
      </c>
      <c r="CWM27" s="613">
        <f t="shared" ref="CWM27" si="1329">CWK27*$C$27</f>
        <v>24805081017.886066</v>
      </c>
      <c r="CWO27" s="613">
        <f t="shared" ref="CWO27" si="1330">CWM27*$C$27</f>
        <v>25053131828.064926</v>
      </c>
      <c r="CWQ27" s="613">
        <f t="shared" ref="CWQ27" si="1331">CWO27*$C$27</f>
        <v>25303663146.345577</v>
      </c>
      <c r="CWS27" s="613">
        <f t="shared" ref="CWS27" si="1332">CWQ27*$C$27</f>
        <v>25556699777.809032</v>
      </c>
      <c r="CWU27" s="613">
        <f t="shared" ref="CWU27" si="1333">CWS27*$C$27</f>
        <v>25812266775.587124</v>
      </c>
      <c r="CWW27" s="613">
        <f t="shared" ref="CWW27" si="1334">CWU27*$C$27</f>
        <v>26070389443.342995</v>
      </c>
      <c r="CWY27" s="613">
        <f t="shared" ref="CWY27" si="1335">CWW27*$C$27</f>
        <v>26331093337.776424</v>
      </c>
      <c r="CXA27" s="613">
        <f t="shared" ref="CXA27" si="1336">CWY27*$C$27</f>
        <v>26594404271.15419</v>
      </c>
      <c r="CXC27" s="613">
        <f t="shared" ref="CXC27" si="1337">CXA27*$C$27</f>
        <v>26860348313.865734</v>
      </c>
      <c r="CXE27" s="613">
        <f t="shared" ref="CXE27" si="1338">CXC27*$C$27</f>
        <v>27128951797.004391</v>
      </c>
      <c r="CXG27" s="613">
        <f t="shared" ref="CXG27" si="1339">CXE27*$C$27</f>
        <v>27400241314.974434</v>
      </c>
      <c r="CXI27" s="613">
        <f t="shared" ref="CXI27" si="1340">CXG27*$C$27</f>
        <v>27674243728.12418</v>
      </c>
      <c r="CXK27" s="613">
        <f t="shared" ref="CXK27" si="1341">CXI27*$C$27</f>
        <v>27950986165.405422</v>
      </c>
      <c r="CXM27" s="613">
        <f t="shared" ref="CXM27" si="1342">CXK27*$C$27</f>
        <v>28230496027.059475</v>
      </c>
      <c r="CXO27" s="613">
        <f t="shared" ref="CXO27" si="1343">CXM27*$C$27</f>
        <v>28512800987.33007</v>
      </c>
      <c r="CXQ27" s="613">
        <f t="shared" ref="CXQ27" si="1344">CXO27*$C$27</f>
        <v>28797928997.203373</v>
      </c>
      <c r="CXS27" s="613">
        <f t="shared" ref="CXS27" si="1345">CXQ27*$C$27</f>
        <v>29085908287.175407</v>
      </c>
      <c r="CXU27" s="613">
        <f t="shared" ref="CXU27" si="1346">CXS27*$C$27</f>
        <v>29376767370.047161</v>
      </c>
      <c r="CXW27" s="613">
        <f t="shared" ref="CXW27" si="1347">CXU27*$C$27</f>
        <v>29670535043.747631</v>
      </c>
      <c r="CXY27" s="613">
        <f t="shared" ref="CXY27" si="1348">CXW27*$C$27</f>
        <v>29967240394.185108</v>
      </c>
      <c r="CYA27" s="613">
        <f t="shared" ref="CYA27" si="1349">CXY27*$C$27</f>
        <v>30266912798.126961</v>
      </c>
      <c r="CYC27" s="613">
        <f t="shared" ref="CYC27" si="1350">CYA27*$C$27</f>
        <v>30569581926.108231</v>
      </c>
      <c r="CYE27" s="613">
        <f t="shared" ref="CYE27" si="1351">CYC27*$C$27</f>
        <v>30875277745.369312</v>
      </c>
      <c r="CYG27" s="613">
        <f t="shared" ref="CYG27" si="1352">CYE27*$C$27</f>
        <v>31184030522.823006</v>
      </c>
      <c r="CYI27" s="613">
        <f t="shared" ref="CYI27" si="1353">CYG27*$C$27</f>
        <v>31495870828.051235</v>
      </c>
      <c r="CYK27" s="613">
        <f t="shared" ref="CYK27" si="1354">CYI27*$C$27</f>
        <v>31810829536.331749</v>
      </c>
      <c r="CYM27" s="613">
        <f t="shared" ref="CYM27" si="1355">CYK27*$C$27</f>
        <v>32128937831.695068</v>
      </c>
      <c r="CYO27" s="613">
        <f t="shared" ref="CYO27" si="1356">CYM27*$C$27</f>
        <v>32450227210.01202</v>
      </c>
      <c r="CYQ27" s="613">
        <f t="shared" ref="CYQ27" si="1357">CYO27*$C$27</f>
        <v>32774729482.112141</v>
      </c>
      <c r="CYS27" s="613">
        <f t="shared" ref="CYS27" si="1358">CYQ27*$C$27</f>
        <v>33102476776.933262</v>
      </c>
      <c r="CYU27" s="613">
        <f t="shared" ref="CYU27" si="1359">CYS27*$C$27</f>
        <v>33433501544.702595</v>
      </c>
      <c r="CYW27" s="613">
        <f t="shared" ref="CYW27" si="1360">CYU27*$C$27</f>
        <v>33767836560.14962</v>
      </c>
      <c r="CYY27" s="613">
        <f t="shared" ref="CYY27" si="1361">CYW27*$C$27</f>
        <v>34105514925.751118</v>
      </c>
      <c r="CZA27" s="613">
        <f t="shared" ref="CZA27" si="1362">CYY27*$C$27</f>
        <v>34446570075.008629</v>
      </c>
      <c r="CZC27" s="613">
        <f t="shared" ref="CZC27" si="1363">CZA27*$C$27</f>
        <v>34791035775.758713</v>
      </c>
      <c r="CZE27" s="613">
        <f t="shared" ref="CZE27" si="1364">CZC27*$C$27</f>
        <v>35138946133.516304</v>
      </c>
      <c r="CZG27" s="613">
        <f t="shared" ref="CZG27" si="1365">CZE27*$C$27</f>
        <v>35490335594.851471</v>
      </c>
      <c r="CZI27" s="613">
        <f t="shared" ref="CZI27" si="1366">CZG27*$C$27</f>
        <v>35845238950.799988</v>
      </c>
      <c r="CZK27" s="613">
        <f t="shared" ref="CZK27" si="1367">CZI27*$C$27</f>
        <v>36203691340.307991</v>
      </c>
      <c r="CZM27" s="613">
        <f t="shared" ref="CZM27" si="1368">CZK27*$C$27</f>
        <v>36565728253.711075</v>
      </c>
      <c r="CZO27" s="613">
        <f t="shared" ref="CZO27" si="1369">CZM27*$C$27</f>
        <v>36931385536.248184</v>
      </c>
      <c r="CZQ27" s="613">
        <f t="shared" ref="CZQ27" si="1370">CZO27*$C$27</f>
        <v>37300699391.610664</v>
      </c>
      <c r="CZS27" s="613">
        <f t="shared" ref="CZS27" si="1371">CZQ27*$C$27</f>
        <v>37673706385.526772</v>
      </c>
      <c r="CZU27" s="613">
        <f t="shared" ref="CZU27" si="1372">CZS27*$C$27</f>
        <v>38050443449.382042</v>
      </c>
      <c r="CZW27" s="613">
        <f t="shared" ref="CZW27" si="1373">CZU27*$C$27</f>
        <v>38430947883.875862</v>
      </c>
      <c r="CZY27" s="613">
        <f t="shared" ref="CZY27" si="1374">CZW27*$C$27</f>
        <v>38815257362.714622</v>
      </c>
      <c r="DAA27" s="613">
        <f t="shared" ref="DAA27" si="1375">CZY27*$C$27</f>
        <v>39203409936.341766</v>
      </c>
      <c r="DAC27" s="613">
        <f t="shared" ref="DAC27" si="1376">DAA27*$C$27</f>
        <v>39595444035.705185</v>
      </c>
      <c r="DAE27" s="613">
        <f t="shared" ref="DAE27" si="1377">DAC27*$C$27</f>
        <v>39991398476.062241</v>
      </c>
      <c r="DAG27" s="613">
        <f t="shared" ref="DAG27" si="1378">DAE27*$C$27</f>
        <v>40391312460.822861</v>
      </c>
      <c r="DAI27" s="613">
        <f t="shared" ref="DAI27" si="1379">DAG27*$C$27</f>
        <v>40795225585.431091</v>
      </c>
      <c r="DAK27" s="613">
        <f t="shared" ref="DAK27" si="1380">DAI27*$C$27</f>
        <v>41203177841.2854</v>
      </c>
      <c r="DAM27" s="613">
        <f t="shared" ref="DAM27" si="1381">DAK27*$C$27</f>
        <v>41615209619.698257</v>
      </c>
      <c r="DAO27" s="613">
        <f t="shared" ref="DAO27" si="1382">DAM27*$C$27</f>
        <v>42031361715.895241</v>
      </c>
      <c r="DAQ27" s="613">
        <f t="shared" ref="DAQ27" si="1383">DAO27*$C$27</f>
        <v>42451675333.054192</v>
      </c>
      <c r="DAS27" s="613">
        <f t="shared" ref="DAS27" si="1384">DAQ27*$C$27</f>
        <v>42876192086.384735</v>
      </c>
      <c r="DAU27" s="613">
        <f t="shared" ref="DAU27" si="1385">DAS27*$C$27</f>
        <v>43304954007.248581</v>
      </c>
      <c r="DAW27" s="613">
        <f t="shared" ref="DAW27" si="1386">DAU27*$C$27</f>
        <v>43738003547.321068</v>
      </c>
      <c r="DAY27" s="613">
        <f t="shared" ref="DAY27" si="1387">DAW27*$C$27</f>
        <v>44175383582.794281</v>
      </c>
      <c r="DBA27" s="613">
        <f t="shared" ref="DBA27" si="1388">DAY27*$C$27</f>
        <v>44617137418.622223</v>
      </c>
      <c r="DBC27" s="613">
        <f t="shared" ref="DBC27" si="1389">DBA27*$C$27</f>
        <v>45063308792.808449</v>
      </c>
      <c r="DBE27" s="613">
        <f t="shared" ref="DBE27" si="1390">DBC27*$C$27</f>
        <v>45513941880.736534</v>
      </c>
      <c r="DBG27" s="613">
        <f t="shared" ref="DBG27" si="1391">DBE27*$C$27</f>
        <v>45969081299.5439</v>
      </c>
      <c r="DBI27" s="613">
        <f t="shared" ref="DBI27" si="1392">DBG27*$C$27</f>
        <v>46428772112.539337</v>
      </c>
      <c r="DBK27" s="613">
        <f t="shared" ref="DBK27" si="1393">DBI27*$C$27</f>
        <v>46893059833.664734</v>
      </c>
      <c r="DBM27" s="613">
        <f t="shared" ref="DBM27" si="1394">DBK27*$C$27</f>
        <v>47361990432.001381</v>
      </c>
      <c r="DBO27" s="613">
        <f t="shared" ref="DBO27" si="1395">DBM27*$C$27</f>
        <v>47835610336.321396</v>
      </c>
      <c r="DBQ27" s="613">
        <f t="shared" ref="DBQ27" si="1396">DBO27*$C$27</f>
        <v>48313966439.684608</v>
      </c>
      <c r="DBS27" s="613">
        <f t="shared" ref="DBS27" si="1397">DBQ27*$C$27</f>
        <v>48797106104.081451</v>
      </c>
      <c r="DBU27" s="613">
        <f t="shared" ref="DBU27" si="1398">DBS27*$C$27</f>
        <v>49285077165.122269</v>
      </c>
      <c r="DBW27" s="613">
        <f t="shared" ref="DBW27" si="1399">DBU27*$C$27</f>
        <v>49777927936.773491</v>
      </c>
      <c r="DBY27" s="613">
        <f t="shared" ref="DBY27" si="1400">DBW27*$C$27</f>
        <v>50275707216.141228</v>
      </c>
      <c r="DCA27" s="613">
        <f t="shared" ref="DCA27" si="1401">DBY27*$C$27</f>
        <v>50778464288.302643</v>
      </c>
      <c r="DCC27" s="613">
        <f t="shared" ref="DCC27" si="1402">DCA27*$C$27</f>
        <v>51286248931.185669</v>
      </c>
      <c r="DCE27" s="613">
        <f t="shared" ref="DCE27" si="1403">DCC27*$C$27</f>
        <v>51799111420.497528</v>
      </c>
      <c r="DCG27" s="613">
        <f t="shared" ref="DCG27" si="1404">DCE27*$C$27</f>
        <v>52317102534.702507</v>
      </c>
      <c r="DCI27" s="613">
        <f t="shared" ref="DCI27" si="1405">DCG27*$C$27</f>
        <v>52840273560.04953</v>
      </c>
      <c r="DCK27" s="613">
        <f t="shared" ref="DCK27" si="1406">DCI27*$C$27</f>
        <v>53368676295.650024</v>
      </c>
      <c r="DCM27" s="613">
        <f t="shared" ref="DCM27" si="1407">DCK27*$C$27</f>
        <v>53902363058.606522</v>
      </c>
      <c r="DCO27" s="613">
        <f t="shared" ref="DCO27" si="1408">DCM27*$C$27</f>
        <v>54441386689.192589</v>
      </c>
      <c r="DCQ27" s="613">
        <f t="shared" ref="DCQ27" si="1409">DCO27*$C$27</f>
        <v>54985800556.084518</v>
      </c>
      <c r="DCS27" s="613">
        <f t="shared" ref="DCS27" si="1410">DCQ27*$C$27</f>
        <v>55535658561.645363</v>
      </c>
      <c r="DCU27" s="613">
        <f t="shared" ref="DCU27" si="1411">DCS27*$C$27</f>
        <v>56091015147.261818</v>
      </c>
      <c r="DCW27" s="613">
        <f t="shared" ref="DCW27" si="1412">DCU27*$C$27</f>
        <v>56651925298.734436</v>
      </c>
      <c r="DCY27" s="613">
        <f t="shared" ref="DCY27" si="1413">DCW27*$C$27</f>
        <v>57218444551.721779</v>
      </c>
      <c r="DDA27" s="613">
        <f t="shared" ref="DDA27" si="1414">DCY27*$C$27</f>
        <v>57790628997.238998</v>
      </c>
      <c r="DDC27" s="613">
        <f t="shared" ref="DDC27" si="1415">DDA27*$C$27</f>
        <v>58368535287.211388</v>
      </c>
      <c r="DDE27" s="613">
        <f t="shared" ref="DDE27" si="1416">DDC27*$C$27</f>
        <v>58952220640.083504</v>
      </c>
      <c r="DDG27" s="613">
        <f t="shared" ref="DDG27" si="1417">DDE27*$C$27</f>
        <v>59541742846.484337</v>
      </c>
      <c r="DDI27" s="613">
        <f t="shared" ref="DDI27" si="1418">DDG27*$C$27</f>
        <v>60137160274.949181</v>
      </c>
      <c r="DDK27" s="613">
        <f t="shared" ref="DDK27" si="1419">DDI27*$C$27</f>
        <v>60738531877.698669</v>
      </c>
      <c r="DDM27" s="613">
        <f t="shared" ref="DDM27" si="1420">DDK27*$C$27</f>
        <v>61345917196.475655</v>
      </c>
      <c r="DDO27" s="613">
        <f t="shared" ref="DDO27" si="1421">DDM27*$C$27</f>
        <v>61959376368.440414</v>
      </c>
      <c r="DDQ27" s="613">
        <f t="shared" ref="DDQ27" si="1422">DDO27*$C$27</f>
        <v>62578970132.124817</v>
      </c>
      <c r="DDS27" s="613">
        <f t="shared" ref="DDS27" si="1423">DDQ27*$C$27</f>
        <v>63204759833.446068</v>
      </c>
      <c r="DDU27" s="613">
        <f t="shared" ref="DDU27" si="1424">DDS27*$C$27</f>
        <v>63836807431.780533</v>
      </c>
      <c r="DDW27" s="613">
        <f t="shared" ref="DDW27" si="1425">DDU27*$C$27</f>
        <v>64475175506.098335</v>
      </c>
      <c r="DDY27" s="613">
        <f t="shared" ref="DDY27" si="1426">DDW27*$C$27</f>
        <v>65119927261.159317</v>
      </c>
      <c r="DEA27" s="613">
        <f t="shared" ref="DEA27" si="1427">DDY27*$C$27</f>
        <v>65771126533.770912</v>
      </c>
      <c r="DEC27" s="613">
        <f t="shared" ref="DEC27" si="1428">DEA27*$C$27</f>
        <v>66428837799.10862</v>
      </c>
      <c r="DEE27" s="613">
        <f t="shared" ref="DEE27" si="1429">DEC27*$C$27</f>
        <v>67093126177.099709</v>
      </c>
      <c r="DEG27" s="613">
        <f t="shared" ref="DEG27" si="1430">DEE27*$C$27</f>
        <v>67764057438.870705</v>
      </c>
      <c r="DEI27" s="613">
        <f t="shared" ref="DEI27" si="1431">DEG27*$C$27</f>
        <v>68441698013.259415</v>
      </c>
      <c r="DEK27" s="613">
        <f t="shared" ref="DEK27" si="1432">DEI27*$C$27</f>
        <v>69126114993.392014</v>
      </c>
      <c r="DEM27" s="613">
        <f t="shared" ref="DEM27" si="1433">DEK27*$C$27</f>
        <v>69817376143.325928</v>
      </c>
      <c r="DEO27" s="613">
        <f t="shared" ref="DEO27" si="1434">DEM27*$C$27</f>
        <v>70515549904.759186</v>
      </c>
      <c r="DEQ27" s="613">
        <f t="shared" ref="DEQ27" si="1435">DEO27*$C$27</f>
        <v>71220705403.806778</v>
      </c>
      <c r="DES27" s="613">
        <f t="shared" ref="DES27" si="1436">DEQ27*$C$27</f>
        <v>71932912457.844849</v>
      </c>
      <c r="DEU27" s="613">
        <f t="shared" ref="DEU27" si="1437">DES27*$C$27</f>
        <v>72652241582.423294</v>
      </c>
      <c r="DEW27" s="613">
        <f t="shared" ref="DEW27" si="1438">DEU27*$C$27</f>
        <v>73378763998.247528</v>
      </c>
      <c r="DEY27" s="613">
        <f t="shared" ref="DEY27" si="1439">DEW27*$C$27</f>
        <v>74112551638.230011</v>
      </c>
      <c r="DFA27" s="613">
        <f t="shared" ref="DFA27" si="1440">DEY27*$C$27</f>
        <v>74853677154.612305</v>
      </c>
      <c r="DFC27" s="613">
        <f t="shared" ref="DFC27" si="1441">DFA27*$C$27</f>
        <v>75602213926.158432</v>
      </c>
      <c r="DFE27" s="613">
        <f t="shared" ref="DFE27" si="1442">DFC27*$C$27</f>
        <v>76358236065.420013</v>
      </c>
      <c r="DFG27" s="613">
        <f t="shared" ref="DFG27" si="1443">DFE27*$C$27</f>
        <v>77121818426.074219</v>
      </c>
      <c r="DFI27" s="613">
        <f t="shared" ref="DFI27" si="1444">DFG27*$C$27</f>
        <v>77893036610.334961</v>
      </c>
      <c r="DFK27" s="613">
        <f t="shared" ref="DFK27" si="1445">DFI27*$C$27</f>
        <v>78671966976.438309</v>
      </c>
      <c r="DFM27" s="613">
        <f t="shared" ref="DFM27" si="1446">DFK27*$C$27</f>
        <v>79458686646.202698</v>
      </c>
      <c r="DFO27" s="613">
        <f t="shared" ref="DFO27" si="1447">DFM27*$C$27</f>
        <v>80253273512.664719</v>
      </c>
      <c r="DFQ27" s="613">
        <f t="shared" ref="DFQ27" si="1448">DFO27*$C$27</f>
        <v>81055806247.791367</v>
      </c>
      <c r="DFS27" s="613">
        <f t="shared" ref="DFS27" si="1449">DFQ27*$C$27</f>
        <v>81866364310.269287</v>
      </c>
      <c r="DFU27" s="613">
        <f t="shared" ref="DFU27" si="1450">DFS27*$C$27</f>
        <v>82685027953.371979</v>
      </c>
      <c r="DFW27" s="613">
        <f t="shared" ref="DFW27" si="1451">DFU27*$C$27</f>
        <v>83511878232.905701</v>
      </c>
      <c r="DFY27" s="613">
        <f t="shared" ref="DFY27" si="1452">DFW27*$C$27</f>
        <v>84346997015.234756</v>
      </c>
      <c r="DGA27" s="613">
        <f t="shared" ref="DGA27" si="1453">DFY27*$C$27</f>
        <v>85190466985.3871</v>
      </c>
      <c r="DGC27" s="613">
        <f t="shared" ref="DGC27" si="1454">DGA27*$C$27</f>
        <v>86042371655.240967</v>
      </c>
      <c r="DGE27" s="613">
        <f t="shared" ref="DGE27" si="1455">DGC27*$C$27</f>
        <v>86902795371.793381</v>
      </c>
      <c r="DGG27" s="613">
        <f t="shared" ref="DGG27" si="1456">DGE27*$C$27</f>
        <v>87771823325.511322</v>
      </c>
      <c r="DGI27" s="613">
        <f t="shared" ref="DGI27" si="1457">DGG27*$C$27</f>
        <v>88649541558.766434</v>
      </c>
      <c r="DGK27" s="613">
        <f t="shared" ref="DGK27" si="1458">DGI27*$C$27</f>
        <v>89536036974.354095</v>
      </c>
      <c r="DGM27" s="613">
        <f t="shared" ref="DGM27" si="1459">DGK27*$C$27</f>
        <v>90431397344.097641</v>
      </c>
      <c r="DGO27" s="613">
        <f t="shared" ref="DGO27" si="1460">DGM27*$C$27</f>
        <v>91335711317.53862</v>
      </c>
      <c r="DGQ27" s="613">
        <f t="shared" ref="DGQ27" si="1461">DGO27*$C$27</f>
        <v>92249068430.714005</v>
      </c>
      <c r="DGS27" s="613">
        <f t="shared" ref="DGS27" si="1462">DGQ27*$C$27</f>
        <v>93171559115.021149</v>
      </c>
      <c r="DGU27" s="613">
        <f t="shared" ref="DGU27" si="1463">DGS27*$C$27</f>
        <v>94103274706.171356</v>
      </c>
      <c r="DGW27" s="613">
        <f t="shared" ref="DGW27" si="1464">DGU27*$C$27</f>
        <v>95044307453.233078</v>
      </c>
      <c r="DGY27" s="613">
        <f t="shared" ref="DGY27" si="1465">DGW27*$C$27</f>
        <v>95994750527.765411</v>
      </c>
      <c r="DHA27" s="613">
        <f t="shared" ref="DHA27" si="1466">DGY27*$C$27</f>
        <v>96954698033.04306</v>
      </c>
      <c r="DHC27" s="613">
        <f t="shared" ref="DHC27" si="1467">DHA27*$C$27</f>
        <v>97924245013.373489</v>
      </c>
      <c r="DHE27" s="613">
        <f t="shared" ref="DHE27" si="1468">DHC27*$C$27</f>
        <v>98903487463.507233</v>
      </c>
      <c r="DHG27" s="613">
        <f t="shared" ref="DHG27" si="1469">DHE27*$C$27</f>
        <v>99892522338.142303</v>
      </c>
      <c r="DHI27" s="613">
        <f t="shared" ref="DHI27" si="1470">DHG27*$C$27</f>
        <v>100891447561.52373</v>
      </c>
      <c r="DHK27" s="613">
        <f t="shared" ref="DHK27" si="1471">DHI27*$C$27</f>
        <v>101900362037.13896</v>
      </c>
      <c r="DHM27" s="613">
        <f t="shared" ref="DHM27" si="1472">DHK27*$C$27</f>
        <v>102919365657.51035</v>
      </c>
      <c r="DHO27" s="613">
        <f t="shared" ref="DHO27" si="1473">DHM27*$C$27</f>
        <v>103948559314.08545</v>
      </c>
      <c r="DHQ27" s="613">
        <f t="shared" ref="DHQ27" si="1474">DHO27*$C$27</f>
        <v>104988044907.2263</v>
      </c>
      <c r="DHS27" s="613">
        <f t="shared" ref="DHS27" si="1475">DHQ27*$C$27</f>
        <v>106037925356.29857</v>
      </c>
      <c r="DHU27" s="613">
        <f t="shared" ref="DHU27" si="1476">DHS27*$C$27</f>
        <v>107098304609.86156</v>
      </c>
      <c r="DHW27" s="613">
        <f t="shared" ref="DHW27" si="1477">DHU27*$C$27</f>
        <v>108169287655.96017</v>
      </c>
      <c r="DHY27" s="613">
        <f t="shared" ref="DHY27" si="1478">DHW27*$C$27</f>
        <v>109250980532.51978</v>
      </c>
      <c r="DIA27" s="613">
        <f t="shared" ref="DIA27" si="1479">DHY27*$C$27</f>
        <v>110343490337.84497</v>
      </c>
      <c r="DIC27" s="613">
        <f t="shared" ref="DIC27" si="1480">DIA27*$C$27</f>
        <v>111446925241.22342</v>
      </c>
      <c r="DIE27" s="613">
        <f t="shared" ref="DIE27" si="1481">DIC27*$C$27</f>
        <v>112561394493.63565</v>
      </c>
      <c r="DIG27" s="613">
        <f t="shared" ref="DIG27" si="1482">DIE27*$C$27</f>
        <v>113687008438.57201</v>
      </c>
      <c r="DII27" s="613">
        <f t="shared" ref="DII27" si="1483">DIG27*$C$27</f>
        <v>114823878522.95773</v>
      </c>
      <c r="DIK27" s="613">
        <f t="shared" ref="DIK27" si="1484">DII27*$C$27</f>
        <v>115972117308.18732</v>
      </c>
      <c r="DIM27" s="613">
        <f t="shared" ref="DIM27" si="1485">DIK27*$C$27</f>
        <v>117131838481.2692</v>
      </c>
      <c r="DIO27" s="613">
        <f t="shared" ref="DIO27" si="1486">DIM27*$C$27</f>
        <v>118303156866.08189</v>
      </c>
      <c r="DIQ27" s="613">
        <f t="shared" ref="DIQ27" si="1487">DIO27*$C$27</f>
        <v>119486188434.74271</v>
      </c>
      <c r="DIS27" s="613">
        <f t="shared" ref="DIS27" si="1488">DIQ27*$C$27</f>
        <v>120681050319.09013</v>
      </c>
      <c r="DIU27" s="613">
        <f t="shared" ref="DIU27" si="1489">DIS27*$C$27</f>
        <v>121887860822.28104</v>
      </c>
      <c r="DIW27" s="613">
        <f t="shared" ref="DIW27" si="1490">DIU27*$C$27</f>
        <v>123106739430.50385</v>
      </c>
      <c r="DIY27" s="613">
        <f t="shared" ref="DIY27" si="1491">DIW27*$C$27</f>
        <v>124337806824.80888</v>
      </c>
      <c r="DJA27" s="613">
        <f t="shared" ref="DJA27" si="1492">DIY27*$C$27</f>
        <v>125581184893.05698</v>
      </c>
      <c r="DJC27" s="613">
        <f t="shared" ref="DJC27" si="1493">DJA27*$C$27</f>
        <v>126836996741.98755</v>
      </c>
      <c r="DJE27" s="613">
        <f t="shared" ref="DJE27" si="1494">DJC27*$C$27</f>
        <v>128105366709.40742</v>
      </c>
      <c r="DJG27" s="613">
        <f t="shared" ref="DJG27" si="1495">DJE27*$C$27</f>
        <v>129386420376.5015</v>
      </c>
      <c r="DJI27" s="613">
        <f t="shared" ref="DJI27" si="1496">DJG27*$C$27</f>
        <v>130680284580.26651</v>
      </c>
      <c r="DJK27" s="613">
        <f t="shared" ref="DJK27" si="1497">DJI27*$C$27</f>
        <v>131987087426.06918</v>
      </c>
      <c r="DJM27" s="613">
        <f t="shared" ref="DJM27" si="1498">DJK27*$C$27</f>
        <v>133306958300.32988</v>
      </c>
      <c r="DJO27" s="613">
        <f t="shared" ref="DJO27" si="1499">DJM27*$C$27</f>
        <v>134640027883.33318</v>
      </c>
      <c r="DJQ27" s="613">
        <f t="shared" ref="DJQ27" si="1500">DJO27*$C$27</f>
        <v>135986428162.1665</v>
      </c>
      <c r="DJS27" s="613">
        <f t="shared" ref="DJS27" si="1501">DJQ27*$C$27</f>
        <v>137346292443.78818</v>
      </c>
      <c r="DJU27" s="613">
        <f t="shared" ref="DJU27" si="1502">DJS27*$C$27</f>
        <v>138719755368.22607</v>
      </c>
      <c r="DJW27" s="613">
        <f t="shared" ref="DJW27" si="1503">DJU27*$C$27</f>
        <v>140106952921.90833</v>
      </c>
      <c r="DJY27" s="613">
        <f t="shared" ref="DJY27" si="1504">DJW27*$C$27</f>
        <v>141508022451.12741</v>
      </c>
      <c r="DKA27" s="613">
        <f t="shared" ref="DKA27" si="1505">DJY27*$C$27</f>
        <v>142923102675.63867</v>
      </c>
      <c r="DKC27" s="613">
        <f t="shared" ref="DKC27" si="1506">DKA27*$C$27</f>
        <v>144352333702.39505</v>
      </c>
      <c r="DKE27" s="613">
        <f t="shared" ref="DKE27" si="1507">DKC27*$C$27</f>
        <v>145795857039.41901</v>
      </c>
      <c r="DKG27" s="613">
        <f t="shared" ref="DKG27" si="1508">DKE27*$C$27</f>
        <v>147253815609.8132</v>
      </c>
      <c r="DKI27" s="613">
        <f t="shared" ref="DKI27" si="1509">DKG27*$C$27</f>
        <v>148726353765.91135</v>
      </c>
      <c r="DKK27" s="613">
        <f t="shared" ref="DKK27" si="1510">DKI27*$C$27</f>
        <v>150213617303.57047</v>
      </c>
      <c r="DKM27" s="613">
        <f t="shared" ref="DKM27" si="1511">DKK27*$C$27</f>
        <v>151715753476.60617</v>
      </c>
      <c r="DKO27" s="613">
        <f t="shared" ref="DKO27" si="1512">DKM27*$C$27</f>
        <v>153232911011.37222</v>
      </c>
      <c r="DKQ27" s="613">
        <f t="shared" ref="DKQ27" si="1513">DKO27*$C$27</f>
        <v>154765240121.48593</v>
      </c>
      <c r="DKS27" s="613">
        <f t="shared" ref="DKS27" si="1514">DKQ27*$C$27</f>
        <v>156312892522.70081</v>
      </c>
      <c r="DKU27" s="613">
        <f t="shared" ref="DKU27" si="1515">DKS27*$C$27</f>
        <v>157876021447.92783</v>
      </c>
      <c r="DKW27" s="613">
        <f t="shared" ref="DKW27" si="1516">DKU27*$C$27</f>
        <v>159454781662.4071</v>
      </c>
      <c r="DKY27" s="613">
        <f t="shared" ref="DKY27" si="1517">DKW27*$C$27</f>
        <v>161049329479.03119</v>
      </c>
      <c r="DLA27" s="613">
        <f t="shared" ref="DLA27" si="1518">DKY27*$C$27</f>
        <v>162659822773.8215</v>
      </c>
      <c r="DLC27" s="613">
        <f t="shared" ref="DLC27" si="1519">DLA27*$C$27</f>
        <v>164286421001.55972</v>
      </c>
      <c r="DLE27" s="613">
        <f t="shared" ref="DLE27" si="1520">DLC27*$C$27</f>
        <v>165929285211.57532</v>
      </c>
      <c r="DLG27" s="613">
        <f t="shared" ref="DLG27" si="1521">DLE27*$C$27</f>
        <v>167588578063.69107</v>
      </c>
      <c r="DLI27" s="613">
        <f t="shared" ref="DLI27" si="1522">DLG27*$C$27</f>
        <v>169264463844.32797</v>
      </c>
      <c r="DLK27" s="613">
        <f t="shared" ref="DLK27" si="1523">DLI27*$C$27</f>
        <v>170957108482.77124</v>
      </c>
      <c r="DLM27" s="613">
        <f t="shared" ref="DLM27" si="1524">DLK27*$C$27</f>
        <v>172666679567.59897</v>
      </c>
      <c r="DLO27" s="613">
        <f t="shared" ref="DLO27" si="1525">DLM27*$C$27</f>
        <v>174393346363.27496</v>
      </c>
      <c r="DLQ27" s="613">
        <f t="shared" ref="DLQ27" si="1526">DLO27*$C$27</f>
        <v>176137279826.90771</v>
      </c>
      <c r="DLS27" s="613">
        <f t="shared" ref="DLS27" si="1527">DLQ27*$C$27</f>
        <v>177898652625.17679</v>
      </c>
      <c r="DLU27" s="613">
        <f t="shared" ref="DLU27" si="1528">DLS27*$C$27</f>
        <v>179677639151.42856</v>
      </c>
      <c r="DLW27" s="613">
        <f t="shared" ref="DLW27" si="1529">DLU27*$C$27</f>
        <v>181474415542.94284</v>
      </c>
      <c r="DLY27" s="613">
        <f t="shared" ref="DLY27" si="1530">DLW27*$C$27</f>
        <v>183289159698.37228</v>
      </c>
      <c r="DMA27" s="613">
        <f t="shared" ref="DMA27" si="1531">DLY27*$C$27</f>
        <v>185122051295.35602</v>
      </c>
      <c r="DMC27" s="613">
        <f t="shared" ref="DMC27" si="1532">DMA27*$C$27</f>
        <v>186973271808.30957</v>
      </c>
      <c r="DME27" s="613">
        <f t="shared" ref="DME27" si="1533">DMC27*$C$27</f>
        <v>188843004526.39267</v>
      </c>
      <c r="DMG27" s="613">
        <f t="shared" ref="DMG27" si="1534">DME27*$C$27</f>
        <v>190731434571.65659</v>
      </c>
      <c r="DMI27" s="613">
        <f t="shared" ref="DMI27" si="1535">DMG27*$C$27</f>
        <v>192638748917.37314</v>
      </c>
      <c r="DMK27" s="613">
        <f t="shared" ref="DMK27" si="1536">DMI27*$C$27</f>
        <v>194565136406.54688</v>
      </c>
      <c r="DMM27" s="613">
        <f t="shared" ref="DMM27" si="1537">DMK27*$C$27</f>
        <v>196510787770.61234</v>
      </c>
      <c r="DMO27" s="613">
        <f t="shared" ref="DMO27" si="1538">DMM27*$C$27</f>
        <v>198475895648.31845</v>
      </c>
      <c r="DMQ27" s="613">
        <f t="shared" ref="DMQ27" si="1539">DMO27*$C$27</f>
        <v>200460654604.80164</v>
      </c>
      <c r="DMS27" s="613">
        <f t="shared" ref="DMS27" si="1540">DMQ27*$C$27</f>
        <v>202465261150.84964</v>
      </c>
      <c r="DMU27" s="613">
        <f t="shared" ref="DMU27" si="1541">DMS27*$C$27</f>
        <v>204489913762.35812</v>
      </c>
      <c r="DMW27" s="613">
        <f t="shared" ref="DMW27" si="1542">DMU27*$C$27</f>
        <v>206534812899.98172</v>
      </c>
      <c r="DMY27" s="613">
        <f t="shared" ref="DMY27" si="1543">DMW27*$C$27</f>
        <v>208600161028.98154</v>
      </c>
      <c r="DNA27" s="613">
        <f t="shared" ref="DNA27" si="1544">DMY27*$C$27</f>
        <v>210686162639.27136</v>
      </c>
      <c r="DNC27" s="613">
        <f t="shared" ref="DNC27" si="1545">DNA27*$C$27</f>
        <v>212793024265.66409</v>
      </c>
      <c r="DNE27" s="613">
        <f t="shared" ref="DNE27" si="1546">DNC27*$C$27</f>
        <v>214920954508.32074</v>
      </c>
      <c r="DNG27" s="613">
        <f t="shared" ref="DNG27" si="1547">DNE27*$C$27</f>
        <v>217070164053.40396</v>
      </c>
      <c r="DNI27" s="613">
        <f t="shared" ref="DNI27" si="1548">DNG27*$C$27</f>
        <v>219240865693.93799</v>
      </c>
      <c r="DNK27" s="613">
        <f t="shared" ref="DNK27" si="1549">DNI27*$C$27</f>
        <v>221433274350.87738</v>
      </c>
      <c r="DNM27" s="613">
        <f t="shared" ref="DNM27" si="1550">DNK27*$C$27</f>
        <v>223647607094.38617</v>
      </c>
      <c r="DNO27" s="613">
        <f t="shared" ref="DNO27" si="1551">DNM27*$C$27</f>
        <v>225884083165.33005</v>
      </c>
      <c r="DNQ27" s="613">
        <f t="shared" ref="DNQ27" si="1552">DNO27*$C$27</f>
        <v>228142923996.98334</v>
      </c>
      <c r="DNS27" s="613">
        <f t="shared" ref="DNS27" si="1553">DNQ27*$C$27</f>
        <v>230424353236.95319</v>
      </c>
      <c r="DNU27" s="613">
        <f t="shared" ref="DNU27" si="1554">DNS27*$C$27</f>
        <v>232728596769.32272</v>
      </c>
      <c r="DNW27" s="613">
        <f t="shared" ref="DNW27" si="1555">DNU27*$C$27</f>
        <v>235055882737.01596</v>
      </c>
      <c r="DNY27" s="613">
        <f t="shared" ref="DNY27" si="1556">DNW27*$C$27</f>
        <v>237406441564.38611</v>
      </c>
      <c r="DOA27" s="613">
        <f t="shared" ref="DOA27" si="1557">DNY27*$C$27</f>
        <v>239780505980.02997</v>
      </c>
      <c r="DOC27" s="613">
        <f t="shared" ref="DOC27" si="1558">DOA27*$C$27</f>
        <v>242178311039.83026</v>
      </c>
      <c r="DOE27" s="613">
        <f t="shared" ref="DOE27" si="1559">DOC27*$C$27</f>
        <v>244600094150.22858</v>
      </c>
      <c r="DOG27" s="613">
        <f t="shared" ref="DOG27" si="1560">DOE27*$C$27</f>
        <v>247046095091.73087</v>
      </c>
      <c r="DOI27" s="613">
        <f t="shared" ref="DOI27" si="1561">DOG27*$C$27</f>
        <v>249516556042.64816</v>
      </c>
      <c r="DOK27" s="613">
        <f t="shared" ref="DOK27" si="1562">DOI27*$C$27</f>
        <v>252011721603.07465</v>
      </c>
      <c r="DOM27" s="613">
        <f t="shared" ref="DOM27" si="1563">DOK27*$C$27</f>
        <v>254531838819.10541</v>
      </c>
      <c r="DOO27" s="613">
        <f t="shared" ref="DOO27" si="1564">DOM27*$C$27</f>
        <v>257077157207.29648</v>
      </c>
      <c r="DOQ27" s="613">
        <f t="shared" ref="DOQ27" si="1565">DOO27*$C$27</f>
        <v>259647928779.36945</v>
      </c>
      <c r="DOS27" s="613">
        <f t="shared" ref="DOS27" si="1566">DOQ27*$C$27</f>
        <v>262244408067.16315</v>
      </c>
      <c r="DOU27" s="613">
        <f t="shared" ref="DOU27" si="1567">DOS27*$C$27</f>
        <v>264866852147.83478</v>
      </c>
      <c r="DOW27" s="613">
        <f t="shared" ref="DOW27" si="1568">DOU27*$C$27</f>
        <v>267515520669.31314</v>
      </c>
      <c r="DOY27" s="613">
        <f t="shared" ref="DOY27" si="1569">DOW27*$C$27</f>
        <v>270190675876.00629</v>
      </c>
      <c r="DPA27" s="613">
        <f t="shared" ref="DPA27" si="1570">DOY27*$C$27</f>
        <v>272892582634.76636</v>
      </c>
      <c r="DPC27" s="613">
        <f t="shared" ref="DPC27" si="1571">DPA27*$C$27</f>
        <v>275621508461.11401</v>
      </c>
      <c r="DPE27" s="613">
        <f t="shared" ref="DPE27" si="1572">DPC27*$C$27</f>
        <v>278377723545.72516</v>
      </c>
      <c r="DPG27" s="613">
        <f t="shared" ref="DPG27" si="1573">DPE27*$C$27</f>
        <v>281161500781.18243</v>
      </c>
      <c r="DPI27" s="613">
        <f t="shared" ref="DPI27" si="1574">DPG27*$C$27</f>
        <v>283973115788.99426</v>
      </c>
      <c r="DPK27" s="613">
        <f t="shared" ref="DPK27" si="1575">DPI27*$C$27</f>
        <v>286812846946.88422</v>
      </c>
      <c r="DPM27" s="613">
        <f t="shared" ref="DPM27" si="1576">DPK27*$C$27</f>
        <v>289680975416.35309</v>
      </c>
      <c r="DPO27" s="613">
        <f t="shared" ref="DPO27" si="1577">DPM27*$C$27</f>
        <v>292577785170.5166</v>
      </c>
      <c r="DPQ27" s="613">
        <f t="shared" ref="DPQ27" si="1578">DPO27*$C$27</f>
        <v>295503563022.22174</v>
      </c>
      <c r="DPS27" s="613">
        <f t="shared" ref="DPS27" si="1579">DPQ27*$C$27</f>
        <v>298458598652.44397</v>
      </c>
      <c r="DPU27" s="613">
        <f t="shared" ref="DPU27" si="1580">DPS27*$C$27</f>
        <v>301443184638.96838</v>
      </c>
      <c r="DPW27" s="613">
        <f t="shared" ref="DPW27" si="1581">DPU27*$C$27</f>
        <v>304457616485.35809</v>
      </c>
      <c r="DPY27" s="613">
        <f t="shared" ref="DPY27" si="1582">DPW27*$C$27</f>
        <v>307502192650.21167</v>
      </c>
      <c r="DQA27" s="613">
        <f t="shared" ref="DQA27" si="1583">DPY27*$C$27</f>
        <v>310577214576.71381</v>
      </c>
      <c r="DQC27" s="613">
        <f t="shared" ref="DQC27" si="1584">DQA27*$C$27</f>
        <v>313682986722.48096</v>
      </c>
      <c r="DQE27" s="613">
        <f t="shared" ref="DQE27" si="1585">DQC27*$C$27</f>
        <v>316819816589.70575</v>
      </c>
      <c r="DQG27" s="613">
        <f t="shared" ref="DQG27" si="1586">DQE27*$C$27</f>
        <v>319988014755.60278</v>
      </c>
      <c r="DQI27" s="613">
        <f t="shared" ref="DQI27" si="1587">DQG27*$C$27</f>
        <v>323187894903.15881</v>
      </c>
      <c r="DQK27" s="613">
        <f t="shared" ref="DQK27" si="1588">DQI27*$C$27</f>
        <v>326419773852.19043</v>
      </c>
      <c r="DQM27" s="613">
        <f t="shared" ref="DQM27" si="1589">DQK27*$C$27</f>
        <v>329683971590.71234</v>
      </c>
      <c r="DQO27" s="613">
        <f t="shared" ref="DQO27" si="1590">DQM27*$C$27</f>
        <v>332980811306.61945</v>
      </c>
      <c r="DQQ27" s="613">
        <f t="shared" ref="DQQ27" si="1591">DQO27*$C$27</f>
        <v>336310619419.68567</v>
      </c>
      <c r="DQS27" s="613">
        <f t="shared" ref="DQS27" si="1592">DQQ27*$C$27</f>
        <v>339673725613.88251</v>
      </c>
      <c r="DQU27" s="613">
        <f t="shared" ref="DQU27" si="1593">DQS27*$C$27</f>
        <v>343070462870.02136</v>
      </c>
      <c r="DQW27" s="613">
        <f t="shared" ref="DQW27" si="1594">DQU27*$C$27</f>
        <v>346501167498.72156</v>
      </c>
      <c r="DQY27" s="613">
        <f t="shared" ref="DQY27" si="1595">DQW27*$C$27</f>
        <v>349966179173.7088</v>
      </c>
      <c r="DRA27" s="613">
        <f t="shared" ref="DRA27" si="1596">DQY27*$C$27</f>
        <v>353465840965.44592</v>
      </c>
      <c r="DRC27" s="613">
        <f t="shared" ref="DRC27" si="1597">DRA27*$C$27</f>
        <v>357000499375.1004</v>
      </c>
      <c r="DRE27" s="613">
        <f t="shared" ref="DRE27" si="1598">DRC27*$C$27</f>
        <v>360570504368.85144</v>
      </c>
      <c r="DRG27" s="613">
        <f t="shared" ref="DRG27" si="1599">DRE27*$C$27</f>
        <v>364176209412.53998</v>
      </c>
      <c r="DRI27" s="613">
        <f t="shared" ref="DRI27" si="1600">DRG27*$C$27</f>
        <v>367817971506.66541</v>
      </c>
      <c r="DRK27" s="613">
        <f t="shared" ref="DRK27" si="1601">DRI27*$C$27</f>
        <v>371496151221.73206</v>
      </c>
      <c r="DRM27" s="613">
        <f t="shared" ref="DRM27" si="1602">DRK27*$C$27</f>
        <v>375211112733.9494</v>
      </c>
      <c r="DRO27" s="613">
        <f t="shared" ref="DRO27" si="1603">DRM27*$C$27</f>
        <v>378963223861.28888</v>
      </c>
      <c r="DRQ27" s="613">
        <f t="shared" ref="DRQ27" si="1604">DRO27*$C$27</f>
        <v>382752856099.90179</v>
      </c>
      <c r="DRS27" s="613">
        <f t="shared" ref="DRS27" si="1605">DRQ27*$C$27</f>
        <v>386580384660.90082</v>
      </c>
      <c r="DRU27" s="613">
        <f t="shared" ref="DRU27" si="1606">DRS27*$C$27</f>
        <v>390446188507.50983</v>
      </c>
      <c r="DRW27" s="613">
        <f t="shared" ref="DRW27" si="1607">DRU27*$C$27</f>
        <v>394350650392.5849</v>
      </c>
      <c r="DRY27" s="613">
        <f t="shared" ref="DRY27" si="1608">DRW27*$C$27</f>
        <v>398294156896.51074</v>
      </c>
      <c r="DSA27" s="613">
        <f t="shared" ref="DSA27" si="1609">DRY27*$C$27</f>
        <v>402277098465.47583</v>
      </c>
      <c r="DSC27" s="613">
        <f t="shared" ref="DSC27" si="1610">DSA27*$C$27</f>
        <v>406299869450.13062</v>
      </c>
      <c r="DSE27" s="613">
        <f t="shared" ref="DSE27" si="1611">DSC27*$C$27</f>
        <v>410362868144.6319</v>
      </c>
      <c r="DSG27" s="613">
        <f t="shared" ref="DSG27" si="1612">DSE27*$C$27</f>
        <v>414466496826.07825</v>
      </c>
      <c r="DSI27" s="613">
        <f t="shared" ref="DSI27" si="1613">DSG27*$C$27</f>
        <v>418611161794.33905</v>
      </c>
      <c r="DSK27" s="613">
        <f t="shared" ref="DSK27" si="1614">DSI27*$C$27</f>
        <v>422797273412.28247</v>
      </c>
      <c r="DSM27" s="613">
        <f t="shared" ref="DSM27" si="1615">DSK27*$C$27</f>
        <v>427025246146.40527</v>
      </c>
      <c r="DSO27" s="613">
        <f t="shared" ref="DSO27" si="1616">DSM27*$C$27</f>
        <v>431295498607.86932</v>
      </c>
      <c r="DSQ27" s="613">
        <f t="shared" ref="DSQ27" si="1617">DSO27*$C$27</f>
        <v>435608453593.948</v>
      </c>
      <c r="DSS27" s="613">
        <f t="shared" ref="DSS27" si="1618">DSQ27*$C$27</f>
        <v>439964538129.88751</v>
      </c>
      <c r="DSU27" s="613">
        <f t="shared" ref="DSU27" si="1619">DSS27*$C$27</f>
        <v>444364183511.1864</v>
      </c>
      <c r="DSW27" s="613">
        <f t="shared" ref="DSW27" si="1620">DSU27*$C$27</f>
        <v>448807825346.29828</v>
      </c>
      <c r="DSY27" s="613">
        <f t="shared" ref="DSY27" si="1621">DSW27*$C$27</f>
        <v>453295903599.76129</v>
      </c>
      <c r="DTA27" s="613">
        <f t="shared" ref="DTA27" si="1622">DSY27*$C$27</f>
        <v>457828862635.75891</v>
      </c>
      <c r="DTC27" s="613">
        <f t="shared" ref="DTC27" si="1623">DTA27*$C$27</f>
        <v>462407151262.11652</v>
      </c>
      <c r="DTE27" s="613">
        <f t="shared" ref="DTE27" si="1624">DTC27*$C$27</f>
        <v>467031222774.73767</v>
      </c>
      <c r="DTG27" s="613">
        <f t="shared" ref="DTG27" si="1625">DTE27*$C$27</f>
        <v>471701535002.48505</v>
      </c>
      <c r="DTI27" s="613">
        <f t="shared" ref="DTI27" si="1626">DTG27*$C$27</f>
        <v>476418550352.50989</v>
      </c>
      <c r="DTK27" s="613">
        <f t="shared" ref="DTK27" si="1627">DTI27*$C$27</f>
        <v>481182735856.03497</v>
      </c>
      <c r="DTM27" s="613">
        <f t="shared" ref="DTM27" si="1628">DTK27*$C$27</f>
        <v>485994563214.59534</v>
      </c>
      <c r="DTO27" s="613">
        <f t="shared" ref="DTO27" si="1629">DTM27*$C$27</f>
        <v>490854508846.74127</v>
      </c>
      <c r="DTQ27" s="613">
        <f t="shared" ref="DTQ27" si="1630">DTO27*$C$27</f>
        <v>495763053935.20868</v>
      </c>
      <c r="DTS27" s="613">
        <f t="shared" ref="DTS27" si="1631">DTQ27*$C$27</f>
        <v>500720684474.56079</v>
      </c>
      <c r="DTU27" s="613">
        <f t="shared" ref="DTU27" si="1632">DTS27*$C$27</f>
        <v>505727891319.3064</v>
      </c>
      <c r="DTW27" s="613">
        <f t="shared" ref="DTW27" si="1633">DTU27*$C$27</f>
        <v>510785170232.49945</v>
      </c>
      <c r="DTY27" s="613">
        <f t="shared" ref="DTY27" si="1634">DTW27*$C$27</f>
        <v>515893021934.82446</v>
      </c>
      <c r="DUA27" s="613">
        <f t="shared" ref="DUA27" si="1635">DTY27*$C$27</f>
        <v>521051952154.17273</v>
      </c>
      <c r="DUC27" s="613">
        <f t="shared" ref="DUC27" si="1636">DUA27*$C$27</f>
        <v>526262471675.71448</v>
      </c>
      <c r="DUE27" s="613">
        <f t="shared" ref="DUE27" si="1637">DUC27*$C$27</f>
        <v>531525096392.47162</v>
      </c>
      <c r="DUG27" s="613">
        <f t="shared" ref="DUG27" si="1638">DUE27*$C$27</f>
        <v>536840347356.39636</v>
      </c>
      <c r="DUI27" s="613">
        <f t="shared" ref="DUI27" si="1639">DUG27*$C$27</f>
        <v>542208750829.96033</v>
      </c>
      <c r="DUK27" s="613">
        <f t="shared" ref="DUK27" si="1640">DUI27*$C$27</f>
        <v>547630838338.25995</v>
      </c>
      <c r="DUM27" s="613">
        <f t="shared" ref="DUM27" si="1641">DUK27*$C$27</f>
        <v>553107146721.64258</v>
      </c>
      <c r="DUO27" s="613">
        <f t="shared" ref="DUO27" si="1642">DUM27*$C$27</f>
        <v>558638218188.85901</v>
      </c>
      <c r="DUQ27" s="613">
        <f t="shared" ref="DUQ27" si="1643">DUO27*$C$27</f>
        <v>564224600370.74756</v>
      </c>
      <c r="DUS27" s="613">
        <f t="shared" ref="DUS27" si="1644">DUQ27*$C$27</f>
        <v>569866846374.45508</v>
      </c>
      <c r="DUU27" s="613">
        <f t="shared" ref="DUU27" si="1645">DUS27*$C$27</f>
        <v>575565514838.19958</v>
      </c>
      <c r="DUW27" s="613">
        <f t="shared" ref="DUW27" si="1646">DUU27*$C$27</f>
        <v>581321169986.58154</v>
      </c>
      <c r="DUY27" s="613">
        <f t="shared" ref="DUY27" si="1647">DUW27*$C$27</f>
        <v>587134381686.44739</v>
      </c>
      <c r="DVA27" s="613">
        <f t="shared" ref="DVA27" si="1648">DUY27*$C$27</f>
        <v>593005725503.31189</v>
      </c>
      <c r="DVC27" s="613">
        <f t="shared" ref="DVC27" si="1649">DVA27*$C$27</f>
        <v>598935782758.34497</v>
      </c>
      <c r="DVE27" s="613">
        <f t="shared" ref="DVE27" si="1650">DVC27*$C$27</f>
        <v>604925140585.92847</v>
      </c>
      <c r="DVG27" s="613">
        <f t="shared" ref="DVG27" si="1651">DVE27*$C$27</f>
        <v>610974391991.78772</v>
      </c>
      <c r="DVI27" s="613">
        <f t="shared" ref="DVI27" si="1652">DVG27*$C$27</f>
        <v>617084135911.70557</v>
      </c>
      <c r="DVK27" s="613">
        <f t="shared" ref="DVK27" si="1653">DVI27*$C$27</f>
        <v>623254977270.82263</v>
      </c>
      <c r="DVM27" s="613">
        <f t="shared" ref="DVM27" si="1654">DVK27*$C$27</f>
        <v>629487527043.53088</v>
      </c>
      <c r="DVO27" s="613">
        <f t="shared" ref="DVO27" si="1655">DVM27*$C$27</f>
        <v>635782402313.96619</v>
      </c>
      <c r="DVQ27" s="613">
        <f t="shared" ref="DVQ27" si="1656">DVO27*$C$27</f>
        <v>642140226337.10583</v>
      </c>
      <c r="DVS27" s="613">
        <f t="shared" ref="DVS27" si="1657">DVQ27*$C$27</f>
        <v>648561628600.47693</v>
      </c>
      <c r="DVU27" s="613">
        <f t="shared" ref="DVU27" si="1658">DVS27*$C$27</f>
        <v>655047244886.48169</v>
      </c>
      <c r="DVW27" s="613">
        <f t="shared" ref="DVW27" si="1659">DVU27*$C$27</f>
        <v>661597717335.34656</v>
      </c>
      <c r="DVY27" s="613">
        <f t="shared" ref="DVY27" si="1660">DVW27*$C$27</f>
        <v>668213694508.70007</v>
      </c>
      <c r="DWA27" s="613">
        <f t="shared" ref="DWA27" si="1661">DVY27*$C$27</f>
        <v>674895831453.78711</v>
      </c>
      <c r="DWC27" s="613">
        <f t="shared" ref="DWC27" si="1662">DWA27*$C$27</f>
        <v>681644789768.32495</v>
      </c>
      <c r="DWE27" s="613">
        <f t="shared" ref="DWE27" si="1663">DWC27*$C$27</f>
        <v>688461237666.00818</v>
      </c>
      <c r="DWG27" s="613">
        <f t="shared" ref="DWG27" si="1664">DWE27*$C$27</f>
        <v>695345850042.66821</v>
      </c>
      <c r="DWI27" s="613">
        <f t="shared" ref="DWI27" si="1665">DWG27*$C$27</f>
        <v>702299308543.09485</v>
      </c>
      <c r="DWK27" s="613">
        <f t="shared" ref="DWK27" si="1666">DWI27*$C$27</f>
        <v>709322301628.52576</v>
      </c>
      <c r="DWM27" s="613">
        <f t="shared" ref="DWM27" si="1667">DWK27*$C$27</f>
        <v>716415524644.81104</v>
      </c>
      <c r="DWO27" s="613">
        <f t="shared" ref="DWO27" si="1668">DWM27*$C$27</f>
        <v>723579679891.25916</v>
      </c>
      <c r="DWQ27" s="613">
        <f t="shared" ref="DWQ27" si="1669">DWO27*$C$27</f>
        <v>730815476690.17175</v>
      </c>
      <c r="DWS27" s="613">
        <f t="shared" ref="DWS27" si="1670">DWQ27*$C$27</f>
        <v>738123631457.07349</v>
      </c>
      <c r="DWU27" s="613">
        <f t="shared" ref="DWU27" si="1671">DWS27*$C$27</f>
        <v>745504867771.64429</v>
      </c>
      <c r="DWW27" s="613">
        <f t="shared" ref="DWW27" si="1672">DWU27*$C$27</f>
        <v>752959916449.36072</v>
      </c>
      <c r="DWY27" s="613">
        <f t="shared" ref="DWY27" si="1673">DWW27*$C$27</f>
        <v>760489515613.85437</v>
      </c>
      <c r="DXA27" s="613">
        <f t="shared" ref="DXA27" si="1674">DWY27*$C$27</f>
        <v>768094410769.99292</v>
      </c>
      <c r="DXC27" s="613">
        <f t="shared" ref="DXC27" si="1675">DXA27*$C$27</f>
        <v>775775354877.69287</v>
      </c>
      <c r="DXE27" s="613">
        <f t="shared" ref="DXE27" si="1676">DXC27*$C$27</f>
        <v>783533108426.46985</v>
      </c>
      <c r="DXG27" s="613">
        <f t="shared" ref="DXG27" si="1677">DXE27*$C$27</f>
        <v>791368439510.7345</v>
      </c>
      <c r="DXI27" s="613">
        <f t="shared" ref="DXI27" si="1678">DXG27*$C$27</f>
        <v>799282123905.8418</v>
      </c>
      <c r="DXK27" s="613">
        <f t="shared" ref="DXK27" si="1679">DXI27*$C$27</f>
        <v>807274945144.90027</v>
      </c>
      <c r="DXM27" s="613">
        <f t="shared" ref="DXM27" si="1680">DXK27*$C$27</f>
        <v>815347694596.34924</v>
      </c>
      <c r="DXO27" s="613">
        <f t="shared" ref="DXO27" si="1681">DXM27*$C$27</f>
        <v>823501171542.31274</v>
      </c>
      <c r="DXQ27" s="613">
        <f t="shared" ref="DXQ27" si="1682">DXO27*$C$27</f>
        <v>831736183257.73584</v>
      </c>
      <c r="DXS27" s="613">
        <f t="shared" ref="DXS27" si="1683">DXQ27*$C$27</f>
        <v>840053545090.31323</v>
      </c>
      <c r="DXU27" s="613">
        <f t="shared" ref="DXU27" si="1684">DXS27*$C$27</f>
        <v>848454080541.21643</v>
      </c>
      <c r="DXW27" s="613">
        <f t="shared" ref="DXW27" si="1685">DXU27*$C$27</f>
        <v>856938621346.62866</v>
      </c>
      <c r="DXY27" s="613">
        <f t="shared" ref="DXY27" si="1686">DXW27*$C$27</f>
        <v>865508007560.09497</v>
      </c>
      <c r="DYA27" s="613">
        <f t="shared" ref="DYA27" si="1687">DXY27*$C$27</f>
        <v>874163087635.69592</v>
      </c>
      <c r="DYC27" s="613">
        <f t="shared" ref="DYC27" si="1688">DYA27*$C$27</f>
        <v>882904718512.05286</v>
      </c>
      <c r="DYE27" s="613">
        <f t="shared" ref="DYE27" si="1689">DYC27*$C$27</f>
        <v>891733765697.17334</v>
      </c>
      <c r="DYG27" s="613">
        <f t="shared" ref="DYG27" si="1690">DYE27*$C$27</f>
        <v>900651103354.14514</v>
      </c>
      <c r="DYI27" s="613">
        <f t="shared" ref="DYI27" si="1691">DYG27*$C$27</f>
        <v>909657614387.68665</v>
      </c>
      <c r="DYK27" s="613">
        <f t="shared" ref="DYK27" si="1692">DYI27*$C$27</f>
        <v>918754190531.56348</v>
      </c>
      <c r="DYM27" s="613">
        <f t="shared" ref="DYM27" si="1693">DYK27*$C$27</f>
        <v>927941732436.87915</v>
      </c>
      <c r="DYO27" s="613">
        <f t="shared" ref="DYO27" si="1694">DYM27*$C$27</f>
        <v>937221149761.24792</v>
      </c>
      <c r="DYQ27" s="613">
        <f t="shared" ref="DYQ27" si="1695">DYO27*$C$27</f>
        <v>946593361258.86035</v>
      </c>
      <c r="DYS27" s="613">
        <f t="shared" ref="DYS27" si="1696">DYQ27*$C$27</f>
        <v>956059294871.44897</v>
      </c>
      <c r="DYU27" s="613">
        <f t="shared" ref="DYU27" si="1697">DYS27*$C$27</f>
        <v>965619887820.16345</v>
      </c>
      <c r="DYW27" s="613">
        <f t="shared" ref="DYW27" si="1698">DYU27*$C$27</f>
        <v>975276086698.36511</v>
      </c>
      <c r="DYY27" s="613">
        <f t="shared" ref="DYY27" si="1699">DYW27*$C$27</f>
        <v>985028847565.34875</v>
      </c>
      <c r="DZA27" s="613">
        <f t="shared" ref="DZA27" si="1700">DYY27*$C$27</f>
        <v>994879136041.0022</v>
      </c>
      <c r="DZC27" s="613">
        <f t="shared" ref="DZC27" si="1701">DZA27*$C$27</f>
        <v>1004827927401.4122</v>
      </c>
      <c r="DZE27" s="613">
        <f t="shared" ref="DZE27" si="1702">DZC27*$C$27</f>
        <v>1014876206675.4264</v>
      </c>
      <c r="DZG27" s="613">
        <f t="shared" ref="DZG27" si="1703">DZE27*$C$27</f>
        <v>1025024968742.1807</v>
      </c>
      <c r="DZI27" s="613">
        <f t="shared" ref="DZI27" si="1704">DZG27*$C$27</f>
        <v>1035275218429.6025</v>
      </c>
      <c r="DZK27" s="613">
        <f t="shared" ref="DZK27" si="1705">DZI27*$C$27</f>
        <v>1045627970613.8986</v>
      </c>
      <c r="DZM27" s="613">
        <f t="shared" ref="DZM27" si="1706">DZK27*$C$27</f>
        <v>1056084250320.0376</v>
      </c>
      <c r="DZO27" s="613">
        <f t="shared" ref="DZO27" si="1707">DZM27*$C$27</f>
        <v>1066645092823.238</v>
      </c>
      <c r="DZQ27" s="613">
        <f t="shared" ref="DZQ27" si="1708">DZO27*$C$27</f>
        <v>1077311543751.4705</v>
      </c>
      <c r="DZS27" s="613">
        <f t="shared" ref="DZS27" si="1709">DZQ27*$C$27</f>
        <v>1088084659188.9852</v>
      </c>
      <c r="DZU27" s="613">
        <f t="shared" ref="DZU27" si="1710">DZS27*$C$27</f>
        <v>1098965505780.8751</v>
      </c>
      <c r="DZW27" s="613">
        <f t="shared" ref="DZW27" si="1711">DZU27*$C$27</f>
        <v>1109955160838.6838</v>
      </c>
      <c r="DZY27" s="613">
        <f t="shared" ref="DZY27" si="1712">DZW27*$C$27</f>
        <v>1121054712447.0708</v>
      </c>
      <c r="EAA27" s="613">
        <f t="shared" ref="EAA27" si="1713">DZY27*$C$27</f>
        <v>1132265259571.5415</v>
      </c>
      <c r="EAC27" s="613">
        <f t="shared" ref="EAC27" si="1714">EAA27*$C$27</f>
        <v>1143587912167.2568</v>
      </c>
      <c r="EAE27" s="613">
        <f t="shared" ref="EAE27" si="1715">EAC27*$C$27</f>
        <v>1155023791288.9294</v>
      </c>
      <c r="EAG27" s="613">
        <f t="shared" ref="EAG27" si="1716">EAE27*$C$27</f>
        <v>1166574029201.8188</v>
      </c>
      <c r="EAI27" s="613">
        <f t="shared" ref="EAI27" si="1717">EAG27*$C$27</f>
        <v>1178239769493.8372</v>
      </c>
      <c r="EAK27" s="613">
        <f t="shared" ref="EAK27" si="1718">EAI27*$C$27</f>
        <v>1190022167188.7756</v>
      </c>
      <c r="EAM27" s="613">
        <f t="shared" ref="EAM27" si="1719">EAK27*$C$27</f>
        <v>1201922388860.6633</v>
      </c>
      <c r="EAO27" s="613">
        <f t="shared" ref="EAO27" si="1720">EAM27*$C$27</f>
        <v>1213941612749.27</v>
      </c>
      <c r="EAQ27" s="613">
        <f t="shared" ref="EAQ27" si="1721">EAO27*$C$27</f>
        <v>1226081028876.7627</v>
      </c>
      <c r="EAS27" s="613">
        <f t="shared" ref="EAS27" si="1722">EAQ27*$C$27</f>
        <v>1238341839165.5303</v>
      </c>
      <c r="EAU27" s="613">
        <f t="shared" ref="EAU27" si="1723">EAS27*$C$27</f>
        <v>1250725257557.1855</v>
      </c>
      <c r="EAW27" s="613">
        <f t="shared" ref="EAW27" si="1724">EAU27*$C$27</f>
        <v>1263232510132.7573</v>
      </c>
      <c r="EAY27" s="613">
        <f t="shared" ref="EAY27" si="1725">EAW27*$C$27</f>
        <v>1275864835234.085</v>
      </c>
      <c r="EBA27" s="613">
        <f t="shared" ref="EBA27" si="1726">EAY27*$C$27</f>
        <v>1288623483586.4258</v>
      </c>
      <c r="EBC27" s="613">
        <f t="shared" ref="EBC27" si="1727">EBA27*$C$27</f>
        <v>1301509718422.29</v>
      </c>
      <c r="EBE27" s="613">
        <f t="shared" ref="EBE27" si="1728">EBC27*$C$27</f>
        <v>1314524815606.5129</v>
      </c>
      <c r="EBG27" s="613">
        <f t="shared" ref="EBG27" si="1729">EBE27*$C$27</f>
        <v>1327670063762.5781</v>
      </c>
      <c r="EBI27" s="613">
        <f t="shared" ref="EBI27" si="1730">EBG27*$C$27</f>
        <v>1340946764400.2039</v>
      </c>
      <c r="EBK27" s="613">
        <f t="shared" ref="EBK27" si="1731">EBI27*$C$27</f>
        <v>1354356232044.2058</v>
      </c>
      <c r="EBM27" s="613">
        <f t="shared" ref="EBM27" si="1732">EBK27*$C$27</f>
        <v>1367899794364.6479</v>
      </c>
      <c r="EBO27" s="613">
        <f t="shared" ref="EBO27" si="1733">EBM27*$C$27</f>
        <v>1381578792308.2944</v>
      </c>
      <c r="EBQ27" s="613">
        <f t="shared" ref="EBQ27" si="1734">EBO27*$C$27</f>
        <v>1395394580231.3774</v>
      </c>
      <c r="EBS27" s="613">
        <f t="shared" ref="EBS27" si="1735">EBQ27*$C$27</f>
        <v>1409348526033.6912</v>
      </c>
      <c r="EBU27" s="613">
        <f t="shared" ref="EBU27" si="1736">EBS27*$C$27</f>
        <v>1423442011294.0281</v>
      </c>
      <c r="EBW27" s="613">
        <f t="shared" ref="EBW27" si="1737">EBU27*$C$27</f>
        <v>1437676431406.9683</v>
      </c>
      <c r="EBY27" s="613">
        <f t="shared" ref="EBY27" si="1738">EBW27*$C$27</f>
        <v>1452053195721.0378</v>
      </c>
      <c r="ECA27" s="613">
        <f t="shared" ref="ECA27" si="1739">EBY27*$C$27</f>
        <v>1466573727678.2483</v>
      </c>
      <c r="ECC27" s="613">
        <f t="shared" ref="ECC27" si="1740">ECA27*$C$27</f>
        <v>1481239464955.0308</v>
      </c>
      <c r="ECE27" s="613">
        <f t="shared" ref="ECE27" si="1741">ECC27*$C$27</f>
        <v>1496051859604.5811</v>
      </c>
      <c r="ECG27" s="613">
        <f t="shared" ref="ECG27" si="1742">ECE27*$C$27</f>
        <v>1511012378200.627</v>
      </c>
      <c r="ECI27" s="613">
        <f t="shared" ref="ECI27" si="1743">ECG27*$C$27</f>
        <v>1526122501982.6333</v>
      </c>
      <c r="ECK27" s="613">
        <f t="shared" ref="ECK27" si="1744">ECI27*$C$27</f>
        <v>1541383727002.4597</v>
      </c>
      <c r="ECM27" s="613">
        <f t="shared" ref="ECM27" si="1745">ECK27*$C$27</f>
        <v>1556797564272.4844</v>
      </c>
      <c r="ECO27" s="613">
        <f t="shared" ref="ECO27" si="1746">ECM27*$C$27</f>
        <v>1572365539915.2092</v>
      </c>
      <c r="ECQ27" s="613">
        <f t="shared" ref="ECQ27" si="1747">ECO27*$C$27</f>
        <v>1588089195314.3613</v>
      </c>
      <c r="ECS27" s="613">
        <f t="shared" ref="ECS27" si="1748">ECQ27*$C$27</f>
        <v>1603970087267.5049</v>
      </c>
      <c r="ECU27" s="613">
        <f t="shared" ref="ECU27" si="1749">ECS27*$C$27</f>
        <v>1620009788140.1799</v>
      </c>
      <c r="ECW27" s="613">
        <f t="shared" ref="ECW27" si="1750">ECU27*$C$27</f>
        <v>1636209886021.5818</v>
      </c>
      <c r="ECY27" s="613">
        <f t="shared" ref="ECY27" si="1751">ECW27*$C$27</f>
        <v>1652571984881.7976</v>
      </c>
      <c r="EDA27" s="613">
        <f t="shared" ref="EDA27" si="1752">ECY27*$C$27</f>
        <v>1669097704730.6155</v>
      </c>
      <c r="EDC27" s="613">
        <f t="shared" ref="EDC27" si="1753">EDA27*$C$27</f>
        <v>1685788681777.9216</v>
      </c>
      <c r="EDE27" s="613">
        <f t="shared" ref="EDE27" si="1754">EDC27*$C$27</f>
        <v>1702646568595.7009</v>
      </c>
      <c r="EDG27" s="613">
        <f t="shared" ref="EDG27" si="1755">EDE27*$C$27</f>
        <v>1719673034281.658</v>
      </c>
      <c r="EDI27" s="613">
        <f t="shared" ref="EDI27" si="1756">EDG27*$C$27</f>
        <v>1736869764624.4746</v>
      </c>
      <c r="EDK27" s="613">
        <f t="shared" ref="EDK27" si="1757">EDI27*$C$27</f>
        <v>1754238462270.7195</v>
      </c>
      <c r="EDM27" s="613">
        <f t="shared" ref="EDM27" si="1758">EDK27*$C$27</f>
        <v>1771780846893.4268</v>
      </c>
      <c r="EDO27" s="613">
        <f t="shared" ref="EDO27" si="1759">EDM27*$C$27</f>
        <v>1789498655362.3611</v>
      </c>
      <c r="EDQ27" s="613">
        <f t="shared" ref="EDQ27" si="1760">EDO27*$C$27</f>
        <v>1807393641915.9846</v>
      </c>
      <c r="EDS27" s="613">
        <f t="shared" ref="EDS27" si="1761">EDQ27*$C$27</f>
        <v>1825467578335.1445</v>
      </c>
      <c r="EDU27" s="613">
        <f t="shared" ref="EDU27" si="1762">EDS27*$C$27</f>
        <v>1843722254118.4961</v>
      </c>
      <c r="EDW27" s="613">
        <f t="shared" ref="EDW27" si="1763">EDU27*$C$27</f>
        <v>1862159476659.6812</v>
      </c>
      <c r="EDY27" s="613">
        <f t="shared" ref="EDY27" si="1764">EDW27*$C$27</f>
        <v>1880781071426.2781</v>
      </c>
      <c r="EEA27" s="613">
        <f t="shared" ref="EEA27" si="1765">EDY27*$C$27</f>
        <v>1899588882140.5408</v>
      </c>
      <c r="EEC27" s="613">
        <f t="shared" ref="EEC27" si="1766">EEA27*$C$27</f>
        <v>1918584770961.9463</v>
      </c>
      <c r="EEE27" s="613">
        <f t="shared" ref="EEE27" si="1767">EEC27*$C$27</f>
        <v>1937770618671.5657</v>
      </c>
      <c r="EEG27" s="613">
        <f t="shared" ref="EEG27" si="1768">EEE27*$C$27</f>
        <v>1957148324858.2813</v>
      </c>
      <c r="EEI27" s="613">
        <f t="shared" ref="EEI27" si="1769">EEG27*$C$27</f>
        <v>1976719808106.864</v>
      </c>
      <c r="EEK27" s="613">
        <f t="shared" ref="EEK27" si="1770">EEI27*$C$27</f>
        <v>1996487006187.9326</v>
      </c>
      <c r="EEM27" s="613">
        <f t="shared" ref="EEM27" si="1771">EEK27*$C$27</f>
        <v>2016451876249.812</v>
      </c>
      <c r="EEO27" s="613">
        <f t="shared" ref="EEO27" si="1772">EEM27*$C$27</f>
        <v>2036616395012.3101</v>
      </c>
      <c r="EEQ27" s="613">
        <f t="shared" ref="EEQ27" si="1773">EEO27*$C$27</f>
        <v>2056982558962.4331</v>
      </c>
      <c r="EES27" s="613">
        <f t="shared" ref="EES27" si="1774">EEQ27*$C$27</f>
        <v>2077552384552.0574</v>
      </c>
      <c r="EEU27" s="613">
        <f t="shared" ref="EEU27" si="1775">EES27*$C$27</f>
        <v>2098327908397.5779</v>
      </c>
      <c r="EEW27" s="613">
        <f t="shared" ref="EEW27" si="1776">EEU27*$C$27</f>
        <v>2119311187481.5537</v>
      </c>
      <c r="EEY27" s="613">
        <f t="shared" ref="EEY27" si="1777">EEW27*$C$27</f>
        <v>2140504299356.3694</v>
      </c>
      <c r="EFA27" s="613">
        <f t="shared" ref="EFA27" si="1778">EEY27*$C$27</f>
        <v>2161909342349.9331</v>
      </c>
      <c r="EFC27" s="613">
        <f t="shared" ref="EFC27" si="1779">EFA27*$C$27</f>
        <v>2183528435773.4324</v>
      </c>
      <c r="EFE27" s="613">
        <f t="shared" ref="EFE27" si="1780">EFC27*$C$27</f>
        <v>2205363720131.1665</v>
      </c>
      <c r="EFG27" s="613">
        <f t="shared" ref="EFG27" si="1781">EFE27*$C$27</f>
        <v>2227417357332.478</v>
      </c>
      <c r="EFI27" s="613">
        <f t="shared" ref="EFI27" si="1782">EFG27*$C$27</f>
        <v>2249691530905.8027</v>
      </c>
      <c r="EFK27" s="613">
        <f t="shared" ref="EFK27" si="1783">EFI27*$C$27</f>
        <v>2272188446214.8608</v>
      </c>
      <c r="EFM27" s="613">
        <f t="shared" ref="EFM27" si="1784">EFK27*$C$27</f>
        <v>2294910330677.0093</v>
      </c>
      <c r="EFO27" s="613">
        <f t="shared" ref="EFO27" si="1785">EFM27*$C$27</f>
        <v>2317859433983.7793</v>
      </c>
      <c r="EFQ27" s="613">
        <f t="shared" ref="EFQ27" si="1786">EFO27*$C$27</f>
        <v>2341038028323.6172</v>
      </c>
      <c r="EFS27" s="613">
        <f t="shared" ref="EFS27" si="1787">EFQ27*$C$27</f>
        <v>2364448408606.8535</v>
      </c>
      <c r="EFU27" s="613">
        <f t="shared" ref="EFU27" si="1788">EFS27*$C$27</f>
        <v>2388092892692.9219</v>
      </c>
      <c r="EFW27" s="613">
        <f t="shared" ref="EFW27" si="1789">EFU27*$C$27</f>
        <v>2411973821619.8511</v>
      </c>
      <c r="EFY27" s="613">
        <f t="shared" ref="EFY27" si="1790">EFW27*$C$27</f>
        <v>2436093559836.0498</v>
      </c>
      <c r="EGA27" s="613">
        <f t="shared" ref="EGA27" si="1791">EFY27*$C$27</f>
        <v>2460454495434.4102</v>
      </c>
      <c r="EGC27" s="613">
        <f t="shared" ref="EGC27" si="1792">EGA27*$C$27</f>
        <v>2485059040388.7544</v>
      </c>
      <c r="EGE27" s="613">
        <f t="shared" ref="EGE27" si="1793">EGC27*$C$27</f>
        <v>2509909630792.6421</v>
      </c>
      <c r="EGG27" s="613">
        <f t="shared" ref="EGG27" si="1794">EGE27*$C$27</f>
        <v>2535008727100.5684</v>
      </c>
      <c r="EGI27" s="613">
        <f t="shared" ref="EGI27" si="1795">EGG27*$C$27</f>
        <v>2560358814371.5742</v>
      </c>
      <c r="EGK27" s="613">
        <f t="shared" ref="EGK27" si="1796">EGI27*$C$27</f>
        <v>2585962402515.29</v>
      </c>
      <c r="EGM27" s="613">
        <f t="shared" ref="EGM27" si="1797">EGK27*$C$27</f>
        <v>2611822026540.4429</v>
      </c>
      <c r="EGO27" s="613">
        <f t="shared" ref="EGO27" si="1798">EGM27*$C$27</f>
        <v>2637940246805.8472</v>
      </c>
      <c r="EGQ27" s="613">
        <f t="shared" ref="EGQ27" si="1799">EGO27*$C$27</f>
        <v>2664319649273.9058</v>
      </c>
      <c r="EGS27" s="613">
        <f t="shared" ref="EGS27" si="1800">EGQ27*$C$27</f>
        <v>2690962845766.645</v>
      </c>
      <c r="EGU27" s="613">
        <f t="shared" ref="EGU27" si="1801">EGS27*$C$27</f>
        <v>2717872474224.3115</v>
      </c>
      <c r="EGW27" s="613">
        <f t="shared" ref="EGW27" si="1802">EGU27*$C$27</f>
        <v>2745051198966.5547</v>
      </c>
      <c r="EGY27" s="613">
        <f t="shared" ref="EGY27" si="1803">EGW27*$C$27</f>
        <v>2772501710956.2202</v>
      </c>
      <c r="EHA27" s="613">
        <f t="shared" ref="EHA27" si="1804">EGY27*$C$27</f>
        <v>2800226728065.7822</v>
      </c>
      <c r="EHC27" s="613">
        <f t="shared" ref="EHC27" si="1805">EHA27*$C$27</f>
        <v>2828228995346.4399</v>
      </c>
      <c r="EHE27" s="613">
        <f t="shared" ref="EHE27" si="1806">EHC27*$C$27</f>
        <v>2856511285299.9043</v>
      </c>
      <c r="EHG27" s="613">
        <f t="shared" ref="EHG27" si="1807">EHE27*$C$27</f>
        <v>2885076398152.9033</v>
      </c>
      <c r="EHI27" s="613">
        <f t="shared" ref="EHI27" si="1808">EHG27*$C$27</f>
        <v>2913927162134.4326</v>
      </c>
      <c r="EHK27" s="613">
        <f t="shared" ref="EHK27" si="1809">EHI27*$C$27</f>
        <v>2943066433755.7769</v>
      </c>
      <c r="EHM27" s="613">
        <f t="shared" ref="EHM27" si="1810">EHK27*$C$27</f>
        <v>2972497098093.3345</v>
      </c>
      <c r="EHO27" s="613">
        <f t="shared" ref="EHO27" si="1811">EHM27*$C$27</f>
        <v>3002222069074.2681</v>
      </c>
      <c r="EHQ27" s="613">
        <f t="shared" ref="EHQ27" si="1812">EHO27*$C$27</f>
        <v>3032244289765.0107</v>
      </c>
      <c r="EHS27" s="613">
        <f t="shared" ref="EHS27" si="1813">EHQ27*$C$27</f>
        <v>3062566732662.6606</v>
      </c>
      <c r="EHU27" s="613">
        <f t="shared" ref="EHU27" si="1814">EHS27*$C$27</f>
        <v>3093192399989.2871</v>
      </c>
      <c r="EHW27" s="613">
        <f t="shared" ref="EHW27" si="1815">EHU27*$C$27</f>
        <v>3124124323989.1802</v>
      </c>
      <c r="EHY27" s="613">
        <f t="shared" ref="EHY27" si="1816">EHW27*$C$27</f>
        <v>3155365567229.0718</v>
      </c>
      <c r="EIA27" s="613">
        <f t="shared" ref="EIA27" si="1817">EHY27*$C$27</f>
        <v>3186919222901.3623</v>
      </c>
      <c r="EIC27" s="613">
        <f t="shared" ref="EIC27" si="1818">EIA27*$C$27</f>
        <v>3218788415130.376</v>
      </c>
      <c r="EIE27" s="613">
        <f t="shared" ref="EIE27" si="1819">EIC27*$C$27</f>
        <v>3250976299281.6797</v>
      </c>
      <c r="EIG27" s="613">
        <f t="shared" ref="EIG27" si="1820">EIE27*$C$27</f>
        <v>3283486062274.4966</v>
      </c>
      <c r="EII27" s="613">
        <f t="shared" ref="EII27" si="1821">EIG27*$C$27</f>
        <v>3316320922897.2417</v>
      </c>
      <c r="EIK27" s="613">
        <f t="shared" ref="EIK27" si="1822">EII27*$C$27</f>
        <v>3349484132126.2144</v>
      </c>
      <c r="EIM27" s="613">
        <f t="shared" ref="EIM27" si="1823">EIK27*$C$27</f>
        <v>3382978973447.4766</v>
      </c>
      <c r="EIO27" s="613">
        <f t="shared" ref="EIO27" si="1824">EIM27*$C$27</f>
        <v>3416808763181.9512</v>
      </c>
      <c r="EIQ27" s="613">
        <f t="shared" ref="EIQ27" si="1825">EIO27*$C$27</f>
        <v>3450976850813.7705</v>
      </c>
      <c r="EIS27" s="613">
        <f t="shared" ref="EIS27" si="1826">EIQ27*$C$27</f>
        <v>3485486619321.9082</v>
      </c>
      <c r="EIU27" s="613">
        <f t="shared" ref="EIU27" si="1827">EIS27*$C$27</f>
        <v>3520341485515.1274</v>
      </c>
      <c r="EIW27" s="613">
        <f t="shared" ref="EIW27" si="1828">EIU27*$C$27</f>
        <v>3555544900370.2788</v>
      </c>
      <c r="EIY27" s="613">
        <f t="shared" ref="EIY27" si="1829">EIW27*$C$27</f>
        <v>3591100349373.9814</v>
      </c>
      <c r="EJA27" s="613">
        <f t="shared" ref="EJA27" si="1830">EIY27*$C$27</f>
        <v>3627011352867.7212</v>
      </c>
      <c r="EJC27" s="613">
        <f t="shared" ref="EJC27" si="1831">EJA27*$C$27</f>
        <v>3663281466396.3984</v>
      </c>
      <c r="EJE27" s="613">
        <f t="shared" ref="EJE27" si="1832">EJC27*$C$27</f>
        <v>3699914281060.3623</v>
      </c>
      <c r="EJG27" s="613">
        <f t="shared" ref="EJG27" si="1833">EJE27*$C$27</f>
        <v>3736913423870.9658</v>
      </c>
      <c r="EJI27" s="613">
        <f t="shared" ref="EJI27" si="1834">EJG27*$C$27</f>
        <v>3774282558109.6753</v>
      </c>
      <c r="EJK27" s="613">
        <f t="shared" ref="EJK27" si="1835">EJI27*$C$27</f>
        <v>3812025383690.772</v>
      </c>
      <c r="EJM27" s="613">
        <f t="shared" ref="EJM27" si="1836">EJK27*$C$27</f>
        <v>3850145637527.6797</v>
      </c>
      <c r="EJO27" s="613">
        <f t="shared" ref="EJO27" si="1837">EJM27*$C$27</f>
        <v>3888647093902.9565</v>
      </c>
      <c r="EJQ27" s="613">
        <f t="shared" ref="EJQ27" si="1838">EJO27*$C$27</f>
        <v>3927533564841.9863</v>
      </c>
      <c r="EJS27" s="613">
        <f t="shared" ref="EJS27" si="1839">EJQ27*$C$27</f>
        <v>3966808900490.4063</v>
      </c>
      <c r="EJU27" s="613">
        <f t="shared" ref="EJU27" si="1840">EJS27*$C$27</f>
        <v>4006476989495.3105</v>
      </c>
      <c r="EJW27" s="613">
        <f t="shared" ref="EJW27" si="1841">EJU27*$C$27</f>
        <v>4046541759390.2637</v>
      </c>
      <c r="EJY27" s="613">
        <f t="shared" ref="EJY27" si="1842">EJW27*$C$27</f>
        <v>4087007176984.1665</v>
      </c>
      <c r="EKA27" s="613">
        <f t="shared" ref="EKA27" si="1843">EJY27*$C$27</f>
        <v>4127877248754.0083</v>
      </c>
      <c r="EKC27" s="613">
        <f t="shared" ref="EKC27" si="1844">EKA27*$C$27</f>
        <v>4169156021241.5483</v>
      </c>
      <c r="EKE27" s="613">
        <f t="shared" ref="EKE27" si="1845">EKC27*$C$27</f>
        <v>4210847581453.9639</v>
      </c>
      <c r="EKG27" s="613">
        <f t="shared" ref="EKG27" si="1846">EKE27*$C$27</f>
        <v>4252956057268.5034</v>
      </c>
      <c r="EKI27" s="613">
        <f t="shared" ref="EKI27" si="1847">EKG27*$C$27</f>
        <v>4295485617841.1885</v>
      </c>
      <c r="EKK27" s="613">
        <f t="shared" ref="EKK27" si="1848">EKI27*$C$27</f>
        <v>4338440474019.6006</v>
      </c>
      <c r="EKM27" s="613">
        <f t="shared" ref="EKM27" si="1849">EKK27*$C$27</f>
        <v>4381824878759.7964</v>
      </c>
      <c r="EKO27" s="613">
        <f t="shared" ref="EKO27" si="1850">EKM27*$C$27</f>
        <v>4425643127547.3945</v>
      </c>
      <c r="EKQ27" s="613">
        <f t="shared" ref="EKQ27" si="1851">EKO27*$C$27</f>
        <v>4469899558822.8682</v>
      </c>
      <c r="EKS27" s="613">
        <f t="shared" ref="EKS27" si="1852">EKQ27*$C$27</f>
        <v>4514598554411.0967</v>
      </c>
      <c r="EKU27" s="613">
        <f t="shared" ref="EKU27" si="1853">EKS27*$C$27</f>
        <v>4559744539955.208</v>
      </c>
      <c r="EKW27" s="613">
        <f t="shared" ref="EKW27" si="1854">EKU27*$C$27</f>
        <v>4605341985354.7598</v>
      </c>
      <c r="EKY27" s="613">
        <f t="shared" ref="EKY27" si="1855">EKW27*$C$27</f>
        <v>4651395405208.3076</v>
      </c>
      <c r="ELA27" s="613">
        <f t="shared" ref="ELA27" si="1856">EKY27*$C$27</f>
        <v>4697909359260.3906</v>
      </c>
      <c r="ELC27" s="613">
        <f t="shared" ref="ELC27" si="1857">ELA27*$C$27</f>
        <v>4744888452852.9941</v>
      </c>
      <c r="ELE27" s="613">
        <f t="shared" ref="ELE27" si="1858">ELC27*$C$27</f>
        <v>4792337337381.5244</v>
      </c>
      <c r="ELG27" s="613">
        <f t="shared" ref="ELG27" si="1859">ELE27*$C$27</f>
        <v>4840260710755.3398</v>
      </c>
      <c r="ELI27" s="613">
        <f t="shared" ref="ELI27" si="1860">ELG27*$C$27</f>
        <v>4888663317862.8936</v>
      </c>
      <c r="ELK27" s="613">
        <f t="shared" ref="ELK27" si="1861">ELI27*$C$27</f>
        <v>4937549951041.5225</v>
      </c>
      <c r="ELM27" s="613">
        <f t="shared" ref="ELM27" si="1862">ELK27*$C$27</f>
        <v>4986925450551.9375</v>
      </c>
      <c r="ELO27" s="613">
        <f t="shared" ref="ELO27" si="1863">ELM27*$C$27</f>
        <v>5036794705057.457</v>
      </c>
      <c r="ELQ27" s="613">
        <f t="shared" ref="ELQ27" si="1864">ELO27*$C$27</f>
        <v>5087162652108.0313</v>
      </c>
      <c r="ELS27" s="613">
        <f t="shared" ref="ELS27" si="1865">ELQ27*$C$27</f>
        <v>5138034278629.1113</v>
      </c>
      <c r="ELU27" s="613">
        <f t="shared" ref="ELU27" si="1866">ELS27*$C$27</f>
        <v>5189414621415.4023</v>
      </c>
      <c r="ELW27" s="613">
        <f t="shared" ref="ELW27" si="1867">ELU27*$C$27</f>
        <v>5241308767629.5566</v>
      </c>
      <c r="ELY27" s="613">
        <f t="shared" ref="ELY27" si="1868">ELW27*$C$27</f>
        <v>5293721855305.8525</v>
      </c>
      <c r="EMA27" s="613">
        <f t="shared" ref="EMA27" si="1869">ELY27*$C$27</f>
        <v>5346659073858.9111</v>
      </c>
      <c r="EMC27" s="613">
        <f t="shared" ref="EMC27" si="1870">EMA27*$C$27</f>
        <v>5400125664597.5</v>
      </c>
      <c r="EME27" s="613">
        <f t="shared" ref="EME27" si="1871">EMC27*$C$27</f>
        <v>5454126921243.4746</v>
      </c>
      <c r="EMG27" s="613">
        <f t="shared" ref="EMG27" si="1872">EME27*$C$27</f>
        <v>5508668190455.9092</v>
      </c>
      <c r="EMI27" s="613">
        <f t="shared" ref="EMI27" si="1873">EMG27*$C$27</f>
        <v>5563754872360.4688</v>
      </c>
      <c r="EMK27" s="613">
        <f t="shared" ref="EMK27" si="1874">EMI27*$C$27</f>
        <v>5619392421084.0732</v>
      </c>
      <c r="EMM27" s="613">
        <f t="shared" ref="EMM27" si="1875">EMK27*$C$27</f>
        <v>5675586345294.9141</v>
      </c>
      <c r="EMO27" s="613">
        <f t="shared" ref="EMO27" si="1876">EMM27*$C$27</f>
        <v>5732342208747.8633</v>
      </c>
      <c r="EMQ27" s="613">
        <f t="shared" ref="EMQ27" si="1877">EMO27*$C$27</f>
        <v>5789665630835.3418</v>
      </c>
      <c r="EMS27" s="613">
        <f t="shared" ref="EMS27" si="1878">EMQ27*$C$27</f>
        <v>5847562287143.6953</v>
      </c>
      <c r="EMU27" s="613">
        <f t="shared" ref="EMU27" si="1879">EMS27*$C$27</f>
        <v>5906037910015.1318</v>
      </c>
      <c r="EMW27" s="613">
        <f t="shared" ref="EMW27" si="1880">EMU27*$C$27</f>
        <v>5965098289115.2832</v>
      </c>
      <c r="EMY27" s="613">
        <f t="shared" ref="EMY27" si="1881">EMW27*$C$27</f>
        <v>6024749272006.4365</v>
      </c>
      <c r="ENA27" s="613">
        <f t="shared" ref="ENA27" si="1882">EMY27*$C$27</f>
        <v>6084996764726.501</v>
      </c>
      <c r="ENC27" s="613">
        <f t="shared" ref="ENC27" si="1883">ENA27*$C$27</f>
        <v>6145846732373.7656</v>
      </c>
      <c r="ENE27" s="613">
        <f t="shared" ref="ENE27" si="1884">ENC27*$C$27</f>
        <v>6207305199697.5029</v>
      </c>
      <c r="ENG27" s="613">
        <f t="shared" ref="ENG27" si="1885">ENE27*$C$27</f>
        <v>6269378251694.4775</v>
      </c>
      <c r="ENI27" s="613">
        <f t="shared" ref="ENI27" si="1886">ENG27*$C$27</f>
        <v>6332072034211.4229</v>
      </c>
      <c r="ENK27" s="613">
        <f t="shared" ref="ENK27" si="1887">ENI27*$C$27</f>
        <v>6395392754553.5371</v>
      </c>
      <c r="ENM27" s="613">
        <f t="shared" ref="ENM27" si="1888">ENK27*$C$27</f>
        <v>6459346682099.0723</v>
      </c>
      <c r="ENO27" s="613">
        <f t="shared" ref="ENO27" si="1889">ENM27*$C$27</f>
        <v>6523940148920.0635</v>
      </c>
      <c r="ENQ27" s="613">
        <f t="shared" ref="ENQ27" si="1890">ENO27*$C$27</f>
        <v>6589179550409.2646</v>
      </c>
      <c r="ENS27" s="613">
        <f t="shared" ref="ENS27" si="1891">ENQ27*$C$27</f>
        <v>6655071345913.3574</v>
      </c>
      <c r="ENU27" s="613">
        <f t="shared" ref="ENU27" si="1892">ENS27*$C$27</f>
        <v>6721622059372.4912</v>
      </c>
      <c r="ENW27" s="613">
        <f t="shared" ref="ENW27" si="1893">ENU27*$C$27</f>
        <v>6788838279966.2158</v>
      </c>
      <c r="ENY27" s="613">
        <f t="shared" ref="ENY27" si="1894">ENW27*$C$27</f>
        <v>6856726662765.8779</v>
      </c>
      <c r="EOA27" s="613">
        <f t="shared" ref="EOA27" si="1895">ENY27*$C$27</f>
        <v>6925293929393.5371</v>
      </c>
      <c r="EOC27" s="613">
        <f t="shared" ref="EOC27" si="1896">EOA27*$C$27</f>
        <v>6994546868687.4727</v>
      </c>
      <c r="EOE27" s="613">
        <f t="shared" ref="EOE27" si="1897">EOC27*$C$27</f>
        <v>7064492337374.3477</v>
      </c>
      <c r="EOG27" s="613">
        <f t="shared" ref="EOG27" si="1898">EOE27*$C$27</f>
        <v>7135137260748.0908</v>
      </c>
      <c r="EOI27" s="613">
        <f t="shared" ref="EOI27" si="1899">EOG27*$C$27</f>
        <v>7206488633355.5723</v>
      </c>
      <c r="EOK27" s="613">
        <f t="shared" ref="EOK27" si="1900">EOI27*$C$27</f>
        <v>7278553519689.1279</v>
      </c>
      <c r="EOM27" s="613">
        <f t="shared" ref="EOM27" si="1901">EOK27*$C$27</f>
        <v>7351339054886.0195</v>
      </c>
      <c r="EOO27" s="613">
        <f t="shared" ref="EOO27" si="1902">EOM27*$C$27</f>
        <v>7424852445434.8799</v>
      </c>
      <c r="EOQ27" s="613">
        <f t="shared" ref="EOQ27" si="1903">EOO27*$C$27</f>
        <v>7499100969889.2285</v>
      </c>
      <c r="EOS27" s="613">
        <f t="shared" ref="EOS27" si="1904">EOQ27*$C$27</f>
        <v>7574091979588.1211</v>
      </c>
      <c r="EOU27" s="613">
        <f t="shared" ref="EOU27" si="1905">EOS27*$C$27</f>
        <v>7649832899384.002</v>
      </c>
      <c r="EOW27" s="613">
        <f t="shared" ref="EOW27" si="1906">EOU27*$C$27</f>
        <v>7726331228377.8418</v>
      </c>
      <c r="EOY27" s="613">
        <f t="shared" ref="EOY27" si="1907">EOW27*$C$27</f>
        <v>7803594540661.6201</v>
      </c>
      <c r="EPA27" s="613">
        <f t="shared" ref="EPA27" si="1908">EOY27*$C$27</f>
        <v>7881630486068.2363</v>
      </c>
      <c r="EPC27" s="613">
        <f t="shared" ref="EPC27" si="1909">EPA27*$C$27</f>
        <v>7960446790928.9189</v>
      </c>
      <c r="EPE27" s="613">
        <f t="shared" ref="EPE27" si="1910">EPC27*$C$27</f>
        <v>8040051258838.208</v>
      </c>
      <c r="EPG27" s="613">
        <f t="shared" ref="EPG27" si="1911">EPE27*$C$27</f>
        <v>8120451771426.5898</v>
      </c>
      <c r="EPI27" s="613">
        <f t="shared" ref="EPI27" si="1912">EPG27*$C$27</f>
        <v>8201656289140.8555</v>
      </c>
      <c r="EPK27" s="613">
        <f t="shared" ref="EPK27" si="1913">EPI27*$C$27</f>
        <v>8283672852032.2637</v>
      </c>
      <c r="EPM27" s="613">
        <f t="shared" ref="EPM27" si="1914">EPK27*$C$27</f>
        <v>8366509580552.5859</v>
      </c>
      <c r="EPO27" s="613">
        <f t="shared" ref="EPO27" si="1915">EPM27*$C$27</f>
        <v>8450174676358.1123</v>
      </c>
      <c r="EPQ27" s="613">
        <f t="shared" ref="EPQ27" si="1916">EPO27*$C$27</f>
        <v>8534676423121.6934</v>
      </c>
      <c r="EPS27" s="613">
        <f t="shared" ref="EPS27" si="1917">EPQ27*$C$27</f>
        <v>8620023187352.9102</v>
      </c>
      <c r="EPU27" s="613">
        <f t="shared" ref="EPU27" si="1918">EPS27*$C$27</f>
        <v>8706223419226.4395</v>
      </c>
      <c r="EPW27" s="613">
        <f t="shared" ref="EPW27" si="1919">EPU27*$C$27</f>
        <v>8793285653418.7041</v>
      </c>
      <c r="EPY27" s="613">
        <f t="shared" ref="EPY27" si="1920">EPW27*$C$27</f>
        <v>8881218509952.8906</v>
      </c>
      <c r="EQA27" s="613">
        <f t="shared" ref="EQA27" si="1921">EPY27*$C$27</f>
        <v>8970030695052.4199</v>
      </c>
      <c r="EQC27" s="613">
        <f t="shared" ref="EQC27" si="1922">EQA27*$C$27</f>
        <v>9059731002002.9434</v>
      </c>
      <c r="EQE27" s="613">
        <f t="shared" ref="EQE27" si="1923">EQC27*$C$27</f>
        <v>9150328312022.9727</v>
      </c>
      <c r="EQG27" s="613">
        <f t="shared" ref="EQG27" si="1924">EQE27*$C$27</f>
        <v>9241831595143.2031</v>
      </c>
      <c r="EQI27" s="613">
        <f t="shared" ref="EQI27" si="1925">EQG27*$C$27</f>
        <v>9334249911094.6348</v>
      </c>
      <c r="EQK27" s="613">
        <f t="shared" ref="EQK27" si="1926">EQI27*$C$27</f>
        <v>9427592410205.582</v>
      </c>
      <c r="EQM27" s="613">
        <f t="shared" ref="EQM27" si="1927">EQK27*$C$27</f>
        <v>9521868334307.6387</v>
      </c>
      <c r="EQO27" s="613">
        <f t="shared" ref="EQO27" si="1928">EQM27*$C$27</f>
        <v>9617087017650.7148</v>
      </c>
      <c r="EQQ27" s="613">
        <f t="shared" ref="EQQ27" si="1929">EQO27*$C$27</f>
        <v>9713257887827.2227</v>
      </c>
      <c r="EQS27" s="613">
        <f t="shared" ref="EQS27" si="1930">EQQ27*$C$27</f>
        <v>9810390466705.4941</v>
      </c>
      <c r="EQU27" s="613">
        <f t="shared" ref="EQU27" si="1931">EQS27*$C$27</f>
        <v>9908494371372.5488</v>
      </c>
      <c r="EQW27" s="613">
        <f t="shared" ref="EQW27" si="1932">EQU27*$C$27</f>
        <v>10007579315086.273</v>
      </c>
      <c r="EQY27" s="613">
        <f t="shared" ref="EQY27" si="1933">EQW27*$C$27</f>
        <v>10107655108237.137</v>
      </c>
      <c r="ERA27" s="613">
        <f t="shared" ref="ERA27" si="1934">EQY27*$C$27</f>
        <v>10208731659319.508</v>
      </c>
      <c r="ERC27" s="613">
        <f t="shared" ref="ERC27" si="1935">ERA27*$C$27</f>
        <v>10310818975912.703</v>
      </c>
      <c r="ERE27" s="613">
        <f t="shared" ref="ERE27" si="1936">ERC27*$C$27</f>
        <v>10413927165671.83</v>
      </c>
      <c r="ERG27" s="613">
        <f t="shared" ref="ERG27" si="1937">ERE27*$C$27</f>
        <v>10518066437328.549</v>
      </c>
      <c r="ERI27" s="613">
        <f t="shared" ref="ERI27" si="1938">ERG27*$C$27</f>
        <v>10623247101701.834</v>
      </c>
      <c r="ERK27" s="613">
        <f t="shared" ref="ERK27" si="1939">ERI27*$C$27</f>
        <v>10729479572718.852</v>
      </c>
      <c r="ERM27" s="613">
        <f t="shared" ref="ERM27" si="1940">ERK27*$C$27</f>
        <v>10836774368446.041</v>
      </c>
      <c r="ERO27" s="613">
        <f t="shared" ref="ERO27" si="1941">ERM27*$C$27</f>
        <v>10945142112130.502</v>
      </c>
      <c r="ERQ27" s="613">
        <f t="shared" ref="ERQ27" si="1942">ERO27*$C$27</f>
        <v>11054593533251.807</v>
      </c>
      <c r="ERS27" s="613">
        <f t="shared" ref="ERS27" si="1943">ERQ27*$C$27</f>
        <v>11165139468584.324</v>
      </c>
      <c r="ERU27" s="613">
        <f t="shared" ref="ERU27" si="1944">ERS27*$C$27</f>
        <v>11276790863270.168</v>
      </c>
      <c r="ERW27" s="613">
        <f t="shared" ref="ERW27" si="1945">ERU27*$C$27</f>
        <v>11389558771902.869</v>
      </c>
      <c r="ERY27" s="613">
        <f t="shared" ref="ERY27" si="1946">ERW27*$C$27</f>
        <v>11503454359621.898</v>
      </c>
      <c r="ESA27" s="613">
        <f t="shared" ref="ESA27" si="1947">ERY27*$C$27</f>
        <v>11618488903218.117</v>
      </c>
      <c r="ESC27" s="613">
        <f t="shared" ref="ESC27" si="1948">ESA27*$C$27</f>
        <v>11734673792250.299</v>
      </c>
      <c r="ESE27" s="613">
        <f t="shared" ref="ESE27" si="1949">ESC27*$C$27</f>
        <v>11852020530172.803</v>
      </c>
      <c r="ESG27" s="613">
        <f t="shared" ref="ESG27" si="1950">ESE27*$C$27</f>
        <v>11970540735474.531</v>
      </c>
      <c r="ESI27" s="613">
        <f t="shared" ref="ESI27" si="1951">ESG27*$C$27</f>
        <v>12090246142829.277</v>
      </c>
      <c r="ESK27" s="613">
        <f t="shared" ref="ESK27" si="1952">ESI27*$C$27</f>
        <v>12211148604257.57</v>
      </c>
      <c r="ESM27" s="613">
        <f t="shared" ref="ESM27" si="1953">ESK27*$C$27</f>
        <v>12333260090300.146</v>
      </c>
      <c r="ESO27" s="613">
        <f t="shared" ref="ESO27" si="1954">ESM27*$C$27</f>
        <v>12456592691203.148</v>
      </c>
      <c r="ESQ27" s="613">
        <f t="shared" ref="ESQ27" si="1955">ESO27*$C$27</f>
        <v>12581158618115.18</v>
      </c>
      <c r="ESS27" s="613">
        <f t="shared" ref="ESS27" si="1956">ESQ27*$C$27</f>
        <v>12706970204296.332</v>
      </c>
      <c r="ESU27" s="613">
        <f t="shared" ref="ESU27" si="1957">ESS27*$C$27</f>
        <v>12834039906339.295</v>
      </c>
      <c r="ESW27" s="613">
        <f t="shared" ref="ESW27" si="1958">ESU27*$C$27</f>
        <v>12962380305402.688</v>
      </c>
      <c r="ESY27" s="613">
        <f t="shared" ref="ESY27" si="1959">ESW27*$C$27</f>
        <v>13092004108456.715</v>
      </c>
      <c r="ETA27" s="613">
        <f t="shared" ref="ETA27" si="1960">ESY27*$C$27</f>
        <v>13222924149541.281</v>
      </c>
      <c r="ETC27" s="613">
        <f t="shared" ref="ETC27" si="1961">ETA27*$C$27</f>
        <v>13355153391036.693</v>
      </c>
      <c r="ETE27" s="613">
        <f t="shared" ref="ETE27" si="1962">ETC27*$C$27</f>
        <v>13488704924947.061</v>
      </c>
      <c r="ETG27" s="613">
        <f t="shared" ref="ETG27" si="1963">ETE27*$C$27</f>
        <v>13623591974196.531</v>
      </c>
      <c r="ETI27" s="613">
        <f t="shared" ref="ETI27" si="1964">ETG27*$C$27</f>
        <v>13759827893938.496</v>
      </c>
      <c r="ETK27" s="613">
        <f t="shared" ref="ETK27" si="1965">ETI27*$C$27</f>
        <v>13897426172877.881</v>
      </c>
      <c r="ETM27" s="613">
        <f t="shared" ref="ETM27" si="1966">ETK27*$C$27</f>
        <v>14036400434606.66</v>
      </c>
      <c r="ETO27" s="613">
        <f t="shared" ref="ETO27" si="1967">ETM27*$C$27</f>
        <v>14176764438952.727</v>
      </c>
      <c r="ETQ27" s="613">
        <f t="shared" ref="ETQ27" si="1968">ETO27*$C$27</f>
        <v>14318532083342.254</v>
      </c>
      <c r="ETS27" s="613">
        <f t="shared" ref="ETS27" si="1969">ETQ27*$C$27</f>
        <v>14461717404175.676</v>
      </c>
      <c r="ETU27" s="613">
        <f t="shared" ref="ETU27" si="1970">ETS27*$C$27</f>
        <v>14606334578217.434</v>
      </c>
      <c r="ETW27" s="613">
        <f t="shared" ref="ETW27" si="1971">ETU27*$C$27</f>
        <v>14752397923999.607</v>
      </c>
      <c r="ETY27" s="613">
        <f t="shared" ref="ETY27" si="1972">ETW27*$C$27</f>
        <v>14899921903239.604</v>
      </c>
      <c r="EUA27" s="613">
        <f t="shared" ref="EUA27" si="1973">ETY27*$C$27</f>
        <v>15048921122272</v>
      </c>
      <c r="EUC27" s="613">
        <f t="shared" ref="EUC27" si="1974">EUA27*$C$27</f>
        <v>15199410333494.721</v>
      </c>
      <c r="EUE27" s="613">
        <f t="shared" ref="EUE27" si="1975">EUC27*$C$27</f>
        <v>15351404436829.668</v>
      </c>
      <c r="EUG27" s="613">
        <f t="shared" ref="EUG27" si="1976">EUE27*$C$27</f>
        <v>15504918481197.965</v>
      </c>
      <c r="EUI27" s="613">
        <f t="shared" ref="EUI27" si="1977">EUG27*$C$27</f>
        <v>15659967666009.945</v>
      </c>
      <c r="EUK27" s="613">
        <f t="shared" ref="EUK27" si="1978">EUI27*$C$27</f>
        <v>15816567342670.045</v>
      </c>
      <c r="EUM27" s="613">
        <f t="shared" ref="EUM27" si="1979">EUK27*$C$27</f>
        <v>15974733016096.746</v>
      </c>
      <c r="EUO27" s="613">
        <f t="shared" ref="EUO27" si="1980">EUM27*$C$27</f>
        <v>16134480346257.713</v>
      </c>
      <c r="EUQ27" s="613">
        <f t="shared" ref="EUQ27" si="1981">EUO27*$C$27</f>
        <v>16295825149720.291</v>
      </c>
      <c r="EUS27" s="613">
        <f t="shared" ref="EUS27" si="1982">EUQ27*$C$27</f>
        <v>16458783401217.494</v>
      </c>
      <c r="EUU27" s="613">
        <f t="shared" ref="EUU27" si="1983">EUS27*$C$27</f>
        <v>16623371235229.67</v>
      </c>
      <c r="EUW27" s="613">
        <f t="shared" ref="EUW27" si="1984">EUU27*$C$27</f>
        <v>16789604947581.967</v>
      </c>
      <c r="EUY27" s="613">
        <f t="shared" ref="EUY27" si="1985">EUW27*$C$27</f>
        <v>16957500997057.787</v>
      </c>
      <c r="EVA27" s="613">
        <f t="shared" ref="EVA27" si="1986">EUY27*$C$27</f>
        <v>17127076007028.365</v>
      </c>
      <c r="EVC27" s="613">
        <f t="shared" ref="EVC27" si="1987">EVA27*$C$27</f>
        <v>17298346767098.648</v>
      </c>
      <c r="EVE27" s="613">
        <f t="shared" ref="EVE27" si="1988">EVC27*$C$27</f>
        <v>17471330234769.635</v>
      </c>
      <c r="EVG27" s="613">
        <f t="shared" ref="EVG27" si="1989">EVE27*$C$27</f>
        <v>17646043537117.332</v>
      </c>
      <c r="EVI27" s="613">
        <f t="shared" ref="EVI27" si="1990">EVG27*$C$27</f>
        <v>17822503972488.504</v>
      </c>
      <c r="EVK27" s="613">
        <f t="shared" ref="EVK27" si="1991">EVI27*$C$27</f>
        <v>18000729012213.391</v>
      </c>
      <c r="EVM27" s="613">
        <f t="shared" ref="EVM27" si="1992">EVK27*$C$27</f>
        <v>18180736302335.523</v>
      </c>
      <c r="EVO27" s="613">
        <f t="shared" ref="EVO27" si="1993">EVM27*$C$27</f>
        <v>18362543665358.879</v>
      </c>
      <c r="EVQ27" s="613">
        <f t="shared" ref="EVQ27" si="1994">EVO27*$C$27</f>
        <v>18546169102012.469</v>
      </c>
      <c r="EVS27" s="613">
        <f t="shared" ref="EVS27" si="1995">EVQ27*$C$27</f>
        <v>18731630793032.594</v>
      </c>
      <c r="EVU27" s="613">
        <f t="shared" ref="EVU27" si="1996">EVS27*$C$27</f>
        <v>18918947100962.918</v>
      </c>
      <c r="EVW27" s="613">
        <f t="shared" ref="EVW27" si="1997">EVU27*$C$27</f>
        <v>19108136571972.547</v>
      </c>
      <c r="EVY27" s="613">
        <f t="shared" ref="EVY27" si="1998">EVW27*$C$27</f>
        <v>19299217937692.273</v>
      </c>
      <c r="EWA27" s="613">
        <f t="shared" ref="EWA27" si="1999">EVY27*$C$27</f>
        <v>19492210117069.195</v>
      </c>
      <c r="EWC27" s="613">
        <f t="shared" ref="EWC27" si="2000">EWA27*$C$27</f>
        <v>19687132218239.887</v>
      </c>
      <c r="EWE27" s="613">
        <f t="shared" ref="EWE27" si="2001">EWC27*$C$27</f>
        <v>19884003540422.285</v>
      </c>
      <c r="EWG27" s="613">
        <f t="shared" ref="EWG27" si="2002">EWE27*$C$27</f>
        <v>20082843575826.508</v>
      </c>
      <c r="EWI27" s="613">
        <f t="shared" ref="EWI27" si="2003">EWG27*$C$27</f>
        <v>20283672011584.773</v>
      </c>
      <c r="EWK27" s="613">
        <f t="shared" ref="EWK27" si="2004">EWI27*$C$27</f>
        <v>20486508731700.621</v>
      </c>
      <c r="EWM27" s="613">
        <f t="shared" ref="EWM27" si="2005">EWK27*$C$27</f>
        <v>20691373819017.629</v>
      </c>
      <c r="EWO27" s="613">
        <f t="shared" ref="EWO27" si="2006">EWM27*$C$27</f>
        <v>20898287557207.805</v>
      </c>
      <c r="EWQ27" s="613">
        <f t="shared" ref="EWQ27" si="2007">EWO27*$C$27</f>
        <v>21107270432779.883</v>
      </c>
      <c r="EWS27" s="613">
        <f t="shared" ref="EWS27" si="2008">EWQ27*$C$27</f>
        <v>21318343137107.684</v>
      </c>
      <c r="EWU27" s="613">
        <f t="shared" ref="EWU27" si="2009">EWS27*$C$27</f>
        <v>21531526568478.762</v>
      </c>
      <c r="EWW27" s="613">
        <f t="shared" ref="EWW27" si="2010">EWU27*$C$27</f>
        <v>21746841834163.551</v>
      </c>
      <c r="EWY27" s="613">
        <f t="shared" ref="EWY27" si="2011">EWW27*$C$27</f>
        <v>21964310252505.188</v>
      </c>
      <c r="EXA27" s="613">
        <f t="shared" ref="EXA27" si="2012">EWY27*$C$27</f>
        <v>22183953355030.238</v>
      </c>
      <c r="EXC27" s="613">
        <f t="shared" ref="EXC27" si="2013">EXA27*$C$27</f>
        <v>22405792888580.539</v>
      </c>
      <c r="EXE27" s="613">
        <f t="shared" ref="EXE27" si="2014">EXC27*$C$27</f>
        <v>22629850817466.344</v>
      </c>
      <c r="EXG27" s="613">
        <f t="shared" ref="EXG27" si="2015">EXE27*$C$27</f>
        <v>22856149325641.008</v>
      </c>
      <c r="EXI27" s="613">
        <f t="shared" ref="EXI27" si="2016">EXG27*$C$27</f>
        <v>23084710818897.418</v>
      </c>
      <c r="EXK27" s="613">
        <f t="shared" ref="EXK27" si="2017">EXI27*$C$27</f>
        <v>23315557927086.391</v>
      </c>
      <c r="EXM27" s="613">
        <f t="shared" ref="EXM27" si="2018">EXK27*$C$27</f>
        <v>23548713506357.254</v>
      </c>
      <c r="EXO27" s="613">
        <f t="shared" ref="EXO27" si="2019">EXM27*$C$27</f>
        <v>23784200641420.828</v>
      </c>
      <c r="EXQ27" s="613">
        <f t="shared" ref="EXQ27" si="2020">EXO27*$C$27</f>
        <v>24022042647835.035</v>
      </c>
      <c r="EXS27" s="613">
        <f t="shared" ref="EXS27" si="2021">EXQ27*$C$27</f>
        <v>24262263074313.387</v>
      </c>
      <c r="EXU27" s="613">
        <f t="shared" ref="EXU27" si="2022">EXS27*$C$27</f>
        <v>24504885705056.52</v>
      </c>
      <c r="EXW27" s="613">
        <f t="shared" ref="EXW27" si="2023">EXU27*$C$27</f>
        <v>24749934562107.086</v>
      </c>
      <c r="EXY27" s="613">
        <f t="shared" ref="EXY27" si="2024">EXW27*$C$27</f>
        <v>24997433907728.156</v>
      </c>
      <c r="EYA27" s="613">
        <f t="shared" ref="EYA27" si="2025">EXY27*$C$27</f>
        <v>25247408246805.438</v>
      </c>
      <c r="EYC27" s="613">
        <f t="shared" ref="EYC27" si="2026">EYA27*$C$27</f>
        <v>25499882329273.492</v>
      </c>
      <c r="EYE27" s="613">
        <f t="shared" ref="EYE27" si="2027">EYC27*$C$27</f>
        <v>25754881152566.227</v>
      </c>
      <c r="EYG27" s="613">
        <f t="shared" ref="EYG27" si="2028">EYE27*$C$27</f>
        <v>26012429964091.891</v>
      </c>
      <c r="EYI27" s="613">
        <f t="shared" ref="EYI27" si="2029">EYG27*$C$27</f>
        <v>26272554263732.809</v>
      </c>
      <c r="EYK27" s="613">
        <f t="shared" ref="EYK27" si="2030">EYI27*$C$27</f>
        <v>26535279806370.137</v>
      </c>
      <c r="EYM27" s="613">
        <f t="shared" ref="EYM27" si="2031">EYK27*$C$27</f>
        <v>26800632604433.84</v>
      </c>
      <c r="EYO27" s="613">
        <f t="shared" ref="EYO27" si="2032">EYM27*$C$27</f>
        <v>27068638930478.18</v>
      </c>
      <c r="EYQ27" s="613">
        <f t="shared" ref="EYQ27" si="2033">EYO27*$C$27</f>
        <v>27339325319782.961</v>
      </c>
      <c r="EYS27" s="613">
        <f t="shared" ref="EYS27" si="2034">EYQ27*$C$27</f>
        <v>27612718572980.789</v>
      </c>
      <c r="EYU27" s="613">
        <f t="shared" ref="EYU27" si="2035">EYS27*$C$27</f>
        <v>27888845758710.598</v>
      </c>
      <c r="EYW27" s="613">
        <f t="shared" ref="EYW27" si="2036">EYU27*$C$27</f>
        <v>28167734216297.703</v>
      </c>
      <c r="EYY27" s="613">
        <f t="shared" ref="EYY27" si="2037">EYW27*$C$27</f>
        <v>28449411558460.68</v>
      </c>
      <c r="EZA27" s="613">
        <f t="shared" ref="EZA27" si="2038">EYY27*$C$27</f>
        <v>28733905674045.285</v>
      </c>
      <c r="EZC27" s="613">
        <f t="shared" ref="EZC27" si="2039">EZA27*$C$27</f>
        <v>29021244730785.738</v>
      </c>
      <c r="EZE27" s="613">
        <f t="shared" ref="EZE27" si="2040">EZC27*$C$27</f>
        <v>29311457178093.598</v>
      </c>
      <c r="EZG27" s="613">
        <f t="shared" ref="EZG27" si="2041">EZE27*$C$27</f>
        <v>29604571749874.535</v>
      </c>
      <c r="EZI27" s="613">
        <f t="shared" ref="EZI27" si="2042">EZG27*$C$27</f>
        <v>29900617467373.281</v>
      </c>
      <c r="EZK27" s="613">
        <f t="shared" ref="EZK27" si="2043">EZI27*$C$27</f>
        <v>30199623642047.016</v>
      </c>
      <c r="EZM27" s="613">
        <f t="shared" ref="EZM27" si="2044">EZK27*$C$27</f>
        <v>30501619878467.484</v>
      </c>
      <c r="EZO27" s="613">
        <f t="shared" ref="EZO27" si="2045">EZM27*$C$27</f>
        <v>30806636077252.16</v>
      </c>
      <c r="EZQ27" s="613">
        <f t="shared" ref="EZQ27" si="2046">EZO27*$C$27</f>
        <v>31114702438024.684</v>
      </c>
      <c r="EZS27" s="613">
        <f t="shared" ref="EZS27" si="2047">EZQ27*$C$27</f>
        <v>31425849462404.93</v>
      </c>
      <c r="EZU27" s="613">
        <f t="shared" ref="EZU27" si="2048">EZS27*$C$27</f>
        <v>31740107957028.98</v>
      </c>
      <c r="EZW27" s="613">
        <f t="shared" ref="EZW27" si="2049">EZU27*$C$27</f>
        <v>32057509036599.27</v>
      </c>
      <c r="EZY27" s="613">
        <f t="shared" ref="EZY27" si="2050">EZW27*$C$27</f>
        <v>32378084126965.262</v>
      </c>
      <c r="FAA27" s="613">
        <f t="shared" ref="FAA27" si="2051">EZY27*$C$27</f>
        <v>32701864968234.914</v>
      </c>
      <c r="FAC27" s="613">
        <f t="shared" ref="FAC27" si="2052">FAA27*$C$27</f>
        <v>33028883617917.262</v>
      </c>
      <c r="FAE27" s="613">
        <f t="shared" ref="FAE27" si="2053">FAC27*$C$27</f>
        <v>33359172454096.434</v>
      </c>
      <c r="FAG27" s="613">
        <f t="shared" ref="FAG27" si="2054">FAE27*$C$27</f>
        <v>33692764178637.398</v>
      </c>
      <c r="FAI27" s="613">
        <f t="shared" ref="FAI27" si="2055">FAG27*$C$27</f>
        <v>34029691820423.773</v>
      </c>
      <c r="FAK27" s="613">
        <f t="shared" ref="FAK27" si="2056">FAI27*$C$27</f>
        <v>34369988738628.012</v>
      </c>
      <c r="FAM27" s="613">
        <f t="shared" ref="FAM27" si="2057">FAK27*$C$27</f>
        <v>34713688626014.293</v>
      </c>
      <c r="FAO27" s="613">
        <f t="shared" ref="FAO27" si="2058">FAM27*$C$27</f>
        <v>35060825512274.438</v>
      </c>
      <c r="FAQ27" s="613">
        <f t="shared" ref="FAQ27" si="2059">FAO27*$C$27</f>
        <v>35411433767397.18</v>
      </c>
      <c r="FAS27" s="613">
        <f t="shared" ref="FAS27" si="2060">FAQ27*$C$27</f>
        <v>35765548105071.148</v>
      </c>
      <c r="FAU27" s="613">
        <f t="shared" ref="FAU27" si="2061">FAS27*$C$27</f>
        <v>36123203586121.859</v>
      </c>
      <c r="FAW27" s="613">
        <f t="shared" ref="FAW27" si="2062">FAU27*$C$27</f>
        <v>36484435621983.078</v>
      </c>
      <c r="FAY27" s="613">
        <f t="shared" ref="FAY27" si="2063">FAW27*$C$27</f>
        <v>36849279978202.906</v>
      </c>
      <c r="FBA27" s="613">
        <f t="shared" ref="FBA27" si="2064">FAY27*$C$27</f>
        <v>37217772777984.938</v>
      </c>
      <c r="FBC27" s="613">
        <f t="shared" ref="FBC27" si="2065">FBA27*$C$27</f>
        <v>37589950505764.789</v>
      </c>
      <c r="FBE27" s="613">
        <f t="shared" ref="FBE27" si="2066">FBC27*$C$27</f>
        <v>37965850010822.438</v>
      </c>
      <c r="FBG27" s="613">
        <f t="shared" ref="FBG27" si="2067">FBE27*$C$27</f>
        <v>38345508510930.664</v>
      </c>
      <c r="FBI27" s="613">
        <f t="shared" ref="FBI27" si="2068">FBG27*$C$27</f>
        <v>38728963596039.969</v>
      </c>
      <c r="FBK27" s="613">
        <f t="shared" ref="FBK27" si="2069">FBI27*$C$27</f>
        <v>39116253232000.367</v>
      </c>
      <c r="FBM27" s="613">
        <f t="shared" ref="FBM27" si="2070">FBK27*$C$27</f>
        <v>39507415764320.375</v>
      </c>
      <c r="FBO27" s="613">
        <f t="shared" ref="FBO27" si="2071">FBM27*$C$27</f>
        <v>39902489921963.578</v>
      </c>
      <c r="FBQ27" s="613">
        <f t="shared" ref="FBQ27" si="2072">FBO27*$C$27</f>
        <v>40301514821183.211</v>
      </c>
      <c r="FBS27" s="613">
        <f t="shared" ref="FBS27" si="2073">FBQ27*$C$27</f>
        <v>40704529969395.047</v>
      </c>
      <c r="FBU27" s="613">
        <f t="shared" ref="FBU27" si="2074">FBS27*$C$27</f>
        <v>41111575269089</v>
      </c>
      <c r="FBW27" s="613">
        <f t="shared" ref="FBW27" si="2075">FBU27*$C$27</f>
        <v>41522691021779.891</v>
      </c>
      <c r="FBY27" s="613">
        <f t="shared" ref="FBY27" si="2076">FBW27*$C$27</f>
        <v>41937917931997.688</v>
      </c>
      <c r="FCA27" s="613">
        <f t="shared" ref="FCA27" si="2077">FBY27*$C$27</f>
        <v>42357297111317.664</v>
      </c>
      <c r="FCC27" s="613">
        <f t="shared" ref="FCC27" si="2078">FCA27*$C$27</f>
        <v>42780870082430.844</v>
      </c>
      <c r="FCE27" s="613">
        <f t="shared" ref="FCE27" si="2079">FCC27*$C$27</f>
        <v>43208678783255.156</v>
      </c>
      <c r="FCG27" s="613">
        <f t="shared" ref="FCG27" si="2080">FCE27*$C$27</f>
        <v>43640765571087.711</v>
      </c>
      <c r="FCI27" s="613">
        <f t="shared" ref="FCI27" si="2081">FCG27*$C$27</f>
        <v>44077173226798.586</v>
      </c>
      <c r="FCK27" s="613">
        <f t="shared" ref="FCK27" si="2082">FCI27*$C$27</f>
        <v>44517944959066.57</v>
      </c>
      <c r="FCM27" s="613">
        <f t="shared" ref="FCM27" si="2083">FCK27*$C$27</f>
        <v>44963124408657.234</v>
      </c>
      <c r="FCO27" s="613">
        <f t="shared" ref="FCO27" si="2084">FCM27*$C$27</f>
        <v>45412755652743.805</v>
      </c>
      <c r="FCQ27" s="613">
        <f t="shared" ref="FCQ27" si="2085">FCO27*$C$27</f>
        <v>45866883209271.242</v>
      </c>
      <c r="FCS27" s="613">
        <f t="shared" ref="FCS27" si="2086">FCQ27*$C$27</f>
        <v>46325552041363.953</v>
      </c>
      <c r="FCU27" s="613">
        <f t="shared" ref="FCU27" si="2087">FCS27*$C$27</f>
        <v>46788807561777.594</v>
      </c>
      <c r="FCW27" s="613">
        <f t="shared" ref="FCW27" si="2088">FCU27*$C$27</f>
        <v>47256695637395.367</v>
      </c>
      <c r="FCY27" s="613">
        <f t="shared" ref="FCY27" si="2089">FCW27*$C$27</f>
        <v>47729262593769.32</v>
      </c>
      <c r="FDA27" s="613">
        <f t="shared" ref="FDA27" si="2090">FCY27*$C$27</f>
        <v>48206555219707.016</v>
      </c>
      <c r="FDC27" s="613">
        <f t="shared" ref="FDC27" si="2091">FDA27*$C$27</f>
        <v>48688620771904.086</v>
      </c>
      <c r="FDE27" s="613">
        <f t="shared" ref="FDE27" si="2092">FDC27*$C$27</f>
        <v>49175506979623.125</v>
      </c>
      <c r="FDG27" s="613">
        <f t="shared" ref="FDG27" si="2093">FDE27*$C$27</f>
        <v>49667262049419.359</v>
      </c>
      <c r="FDI27" s="613">
        <f t="shared" ref="FDI27" si="2094">FDG27*$C$27</f>
        <v>50163934669913.555</v>
      </c>
      <c r="FDK27" s="613">
        <f t="shared" ref="FDK27" si="2095">FDI27*$C$27</f>
        <v>50665574016612.688</v>
      </c>
      <c r="FDM27" s="613">
        <f t="shared" ref="FDM27" si="2096">FDK27*$C$27</f>
        <v>51172229756778.813</v>
      </c>
      <c r="FDO27" s="613">
        <f t="shared" ref="FDO27" si="2097">FDM27*$C$27</f>
        <v>51683952054346.602</v>
      </c>
      <c r="FDQ27" s="613">
        <f t="shared" ref="FDQ27" si="2098">FDO27*$C$27</f>
        <v>52200791574890.07</v>
      </c>
      <c r="FDS27" s="613">
        <f t="shared" ref="FDS27" si="2099">FDQ27*$C$27</f>
        <v>52722799490638.969</v>
      </c>
      <c r="FDU27" s="613">
        <f t="shared" ref="FDU27" si="2100">FDS27*$C$27</f>
        <v>53250027485545.359</v>
      </c>
      <c r="FDW27" s="613">
        <f t="shared" ref="FDW27" si="2101">FDU27*$C$27</f>
        <v>53782527760400.813</v>
      </c>
      <c r="FDY27" s="613">
        <f t="shared" ref="FDY27" si="2102">FDW27*$C$27</f>
        <v>54320353038004.82</v>
      </c>
      <c r="FEA27" s="613">
        <f t="shared" ref="FEA27" si="2103">FDY27*$C$27</f>
        <v>54863556568384.867</v>
      </c>
      <c r="FEC27" s="613">
        <f t="shared" ref="FEC27" si="2104">FEA27*$C$27</f>
        <v>55412192134068.719</v>
      </c>
      <c r="FEE27" s="613">
        <f t="shared" ref="FEE27" si="2105">FEC27*$C$27</f>
        <v>55966314055409.406</v>
      </c>
      <c r="FEG27" s="613">
        <f t="shared" ref="FEG27" si="2106">FEE27*$C$27</f>
        <v>56525977195963.5</v>
      </c>
      <c r="FEI27" s="613">
        <f t="shared" ref="FEI27" si="2107">FEG27*$C$27</f>
        <v>57091236967923.133</v>
      </c>
      <c r="FEK27" s="613">
        <f t="shared" ref="FEK27" si="2108">FEI27*$C$27</f>
        <v>57662149337602.367</v>
      </c>
      <c r="FEM27" s="613">
        <f t="shared" ref="FEM27" si="2109">FEK27*$C$27</f>
        <v>58238770830978.391</v>
      </c>
      <c r="FEO27" s="613">
        <f t="shared" ref="FEO27" si="2110">FEM27*$C$27</f>
        <v>58821158539288.172</v>
      </c>
      <c r="FEQ27" s="613">
        <f t="shared" ref="FEQ27" si="2111">FEO27*$C$27</f>
        <v>59409370124681.055</v>
      </c>
      <c r="FES27" s="613">
        <f t="shared" ref="FES27" si="2112">FEQ27*$C$27</f>
        <v>60003463825927.867</v>
      </c>
      <c r="FEU27" s="613">
        <f t="shared" ref="FEU27" si="2113">FES27*$C$27</f>
        <v>60603498464187.148</v>
      </c>
      <c r="FEW27" s="613">
        <f t="shared" ref="FEW27" si="2114">FEU27*$C$27</f>
        <v>61209533448829.023</v>
      </c>
      <c r="FEY27" s="613">
        <f t="shared" ref="FEY27" si="2115">FEW27*$C$27</f>
        <v>61821628783317.313</v>
      </c>
      <c r="FFA27" s="613">
        <f t="shared" ref="FFA27" si="2116">FEY27*$C$27</f>
        <v>62439845071150.484</v>
      </c>
      <c r="FFC27" s="613">
        <f t="shared" ref="FFC27" si="2117">FFA27*$C$27</f>
        <v>63064243521861.992</v>
      </c>
      <c r="FFE27" s="613">
        <f t="shared" ref="FFE27" si="2118">FFC27*$C$27</f>
        <v>63694885957080.609</v>
      </c>
      <c r="FFG27" s="613">
        <f t="shared" ref="FFG27" si="2119">FFE27*$C$27</f>
        <v>64331834816651.414</v>
      </c>
      <c r="FFI27" s="613">
        <f t="shared" ref="FFI27" si="2120">FFG27*$C$27</f>
        <v>64975153164817.93</v>
      </c>
      <c r="FFK27" s="613">
        <f t="shared" ref="FFK27" si="2121">FFI27*$C$27</f>
        <v>65624904696466.109</v>
      </c>
      <c r="FFM27" s="613">
        <f t="shared" ref="FFM27" si="2122">FFK27*$C$27</f>
        <v>66281153743430.773</v>
      </c>
      <c r="FFO27" s="613">
        <f t="shared" ref="FFO27" si="2123">FFM27*$C$27</f>
        <v>66943965280865.078</v>
      </c>
      <c r="FFQ27" s="613">
        <f t="shared" ref="FFQ27" si="2124">FFO27*$C$27</f>
        <v>67613404933673.727</v>
      </c>
      <c r="FFS27" s="613">
        <f t="shared" ref="FFS27" si="2125">FFQ27*$C$27</f>
        <v>68289538983010.461</v>
      </c>
      <c r="FFU27" s="613">
        <f t="shared" ref="FFU27" si="2126">FFS27*$C$27</f>
        <v>68972434372840.563</v>
      </c>
      <c r="FFW27" s="613">
        <f t="shared" ref="FFW27" si="2127">FFU27*$C$27</f>
        <v>69662158716568.969</v>
      </c>
      <c r="FFY27" s="613">
        <f t="shared" ref="FFY27" si="2128">FFW27*$C$27</f>
        <v>70358780303734.656</v>
      </c>
      <c r="FGA27" s="613">
        <f t="shared" ref="FGA27" si="2129">FFY27*$C$27</f>
        <v>71062368106772</v>
      </c>
      <c r="FGC27" s="613">
        <f t="shared" ref="FGC27" si="2130">FGA27*$C$27</f>
        <v>71772991787839.719</v>
      </c>
      <c r="FGE27" s="613">
        <f t="shared" ref="FGE27" si="2131">FGC27*$C$27</f>
        <v>72490721705718.109</v>
      </c>
      <c r="FGG27" s="613">
        <f t="shared" ref="FGG27" si="2132">FGE27*$C$27</f>
        <v>73215628922775.297</v>
      </c>
      <c r="FGI27" s="613">
        <f t="shared" ref="FGI27" si="2133">FGG27*$C$27</f>
        <v>73947785212003.047</v>
      </c>
      <c r="FGK27" s="613">
        <f t="shared" ref="FGK27" si="2134">FGI27*$C$27</f>
        <v>74687263064123.078</v>
      </c>
      <c r="FGM27" s="613">
        <f t="shared" ref="FGM27" si="2135">FGK27*$C$27</f>
        <v>75434135694764.313</v>
      </c>
      <c r="FGO27" s="613">
        <f t="shared" ref="FGO27" si="2136">FGM27*$C$27</f>
        <v>76188477051711.953</v>
      </c>
      <c r="FGQ27" s="613">
        <f t="shared" ref="FGQ27" si="2137">FGO27*$C$27</f>
        <v>76950361822229.078</v>
      </c>
      <c r="FGS27" s="613">
        <f t="shared" ref="FGS27" si="2138">FGQ27*$C$27</f>
        <v>77719865440451.375</v>
      </c>
      <c r="FGU27" s="613">
        <f t="shared" ref="FGU27" si="2139">FGS27*$C$27</f>
        <v>78497064094855.891</v>
      </c>
      <c r="FGW27" s="613">
        <f t="shared" ref="FGW27" si="2140">FGU27*$C$27</f>
        <v>79282034735804.453</v>
      </c>
      <c r="FGY27" s="613">
        <f t="shared" ref="FGY27" si="2141">FGW27*$C$27</f>
        <v>80074855083162.5</v>
      </c>
      <c r="FHA27" s="613">
        <f t="shared" ref="FHA27" si="2142">FGY27*$C$27</f>
        <v>80875603633994.125</v>
      </c>
      <c r="FHC27" s="613">
        <f t="shared" ref="FHC27" si="2143">FHA27*$C$27</f>
        <v>81684359670334.063</v>
      </c>
      <c r="FHE27" s="613">
        <f t="shared" ref="FHE27" si="2144">FHC27*$C$27</f>
        <v>82501203267037.406</v>
      </c>
      <c r="FHG27" s="613">
        <f t="shared" ref="FHG27" si="2145">FHE27*$C$27</f>
        <v>83326215299707.781</v>
      </c>
      <c r="FHI27" s="613">
        <f t="shared" ref="FHI27" si="2146">FHG27*$C$27</f>
        <v>84159477452704.859</v>
      </c>
      <c r="FHK27" s="613">
        <f t="shared" ref="FHK27" si="2147">FHI27*$C$27</f>
        <v>85001072227231.906</v>
      </c>
      <c r="FHM27" s="613">
        <f t="shared" ref="FHM27" si="2148">FHK27*$C$27</f>
        <v>85851082949504.219</v>
      </c>
      <c r="FHO27" s="613">
        <f t="shared" ref="FHO27" si="2149">FHM27*$C$27</f>
        <v>86709593778999.266</v>
      </c>
      <c r="FHQ27" s="613">
        <f t="shared" ref="FHQ27" si="2150">FHO27*$C$27</f>
        <v>87576689716789.266</v>
      </c>
      <c r="FHS27" s="613">
        <f t="shared" ref="FHS27" si="2151">FHQ27*$C$27</f>
        <v>88452456613957.156</v>
      </c>
      <c r="FHU27" s="613">
        <f t="shared" ref="FHU27" si="2152">FHS27*$C$27</f>
        <v>89336981180096.734</v>
      </c>
      <c r="FHW27" s="613">
        <f t="shared" ref="FHW27" si="2153">FHU27*$C$27</f>
        <v>90230350991897.703</v>
      </c>
      <c r="FHY27" s="613">
        <f t="shared" ref="FHY27" si="2154">FHW27*$C$27</f>
        <v>91132654501816.688</v>
      </c>
      <c r="FIA27" s="613">
        <f t="shared" ref="FIA27" si="2155">FHY27*$C$27</f>
        <v>92043981046834.859</v>
      </c>
      <c r="FIC27" s="613">
        <f t="shared" ref="FIC27" si="2156">FIA27*$C$27</f>
        <v>92964420857303.203</v>
      </c>
      <c r="FIE27" s="613">
        <f t="shared" ref="FIE27" si="2157">FIC27*$C$27</f>
        <v>93894065065876.234</v>
      </c>
      <c r="FIG27" s="613">
        <f t="shared" ref="FIG27" si="2158">FIE27*$C$27</f>
        <v>94833005716535</v>
      </c>
      <c r="FII27" s="613">
        <f t="shared" ref="FII27" si="2159">FIG27*$C$27</f>
        <v>95781335773700.344</v>
      </c>
      <c r="FIK27" s="613">
        <f t="shared" ref="FIK27" si="2160">FII27*$C$27</f>
        <v>96739149131437.344</v>
      </c>
      <c r="FIM27" s="613">
        <f t="shared" ref="FIM27" si="2161">FIK27*$C$27</f>
        <v>97706540622751.719</v>
      </c>
      <c r="FIO27" s="613">
        <f t="shared" ref="FIO27" si="2162">FIM27*$C$27</f>
        <v>98683606028979.234</v>
      </c>
      <c r="FIQ27" s="613">
        <f t="shared" ref="FIQ27" si="2163">FIO27*$C$27</f>
        <v>99670442089269.031</v>
      </c>
      <c r="FIS27" s="613">
        <f t="shared" ref="FIS27" si="2164">FIQ27*$C$27</f>
        <v>100667146510161.72</v>
      </c>
      <c r="FIU27" s="613">
        <f t="shared" ref="FIU27" si="2165">FIS27*$C$27</f>
        <v>101673817975263.34</v>
      </c>
      <c r="FIW27" s="613">
        <f t="shared" ref="FIW27" si="2166">FIU27*$C$27</f>
        <v>102690556155015.98</v>
      </c>
      <c r="FIY27" s="613">
        <f t="shared" ref="FIY27" si="2167">FIW27*$C$27</f>
        <v>103717461716566.14</v>
      </c>
      <c r="FJA27" s="613">
        <f t="shared" ref="FJA27" si="2168">FIY27*$C$27</f>
        <v>104754636333731.8</v>
      </c>
      <c r="FJC27" s="613">
        <f t="shared" ref="FJC27" si="2169">FJA27*$C$27</f>
        <v>105802182697069.11</v>
      </c>
      <c r="FJE27" s="613">
        <f t="shared" ref="FJE27" si="2170">FJC27*$C$27</f>
        <v>106860204524039.8</v>
      </c>
      <c r="FJG27" s="613">
        <f t="shared" ref="FJG27" si="2171">FJE27*$C$27</f>
        <v>107928806569280.2</v>
      </c>
      <c r="FJI27" s="613">
        <f t="shared" ref="FJI27" si="2172">FJG27*$C$27</f>
        <v>109008094634973</v>
      </c>
      <c r="FJK27" s="613">
        <f t="shared" ref="FJK27" si="2173">FJI27*$C$27</f>
        <v>110098175581322.73</v>
      </c>
      <c r="FJM27" s="613">
        <f t="shared" ref="FJM27" si="2174">FJK27*$C$27</f>
        <v>111199157337135.97</v>
      </c>
      <c r="FJO27" s="613">
        <f t="shared" ref="FJO27" si="2175">FJM27*$C$27</f>
        <v>112311148910507.33</v>
      </c>
      <c r="FJQ27" s="613">
        <f t="shared" ref="FJQ27" si="2176">FJO27*$C$27</f>
        <v>113434260399612.41</v>
      </c>
      <c r="FJS27" s="613">
        <f t="shared" ref="FJS27" si="2177">FJQ27*$C$27</f>
        <v>114568603003608.53</v>
      </c>
      <c r="FJU27" s="613">
        <f t="shared" ref="FJU27" si="2178">FJS27*$C$27</f>
        <v>115714289033644.63</v>
      </c>
      <c r="FJW27" s="613">
        <f t="shared" ref="FJW27" si="2179">FJU27*$C$27</f>
        <v>116871431923981.08</v>
      </c>
      <c r="FJY27" s="613">
        <f t="shared" ref="FJY27" si="2180">FJW27*$C$27</f>
        <v>118040146243220.89</v>
      </c>
      <c r="FKA27" s="613">
        <f t="shared" ref="FKA27" si="2181">FJY27*$C$27</f>
        <v>119220547705653.09</v>
      </c>
      <c r="FKC27" s="613">
        <f t="shared" ref="FKC27" si="2182">FKA27*$C$27</f>
        <v>120412753182709.63</v>
      </c>
      <c r="FKE27" s="613">
        <f t="shared" ref="FKE27" si="2183">FKC27*$C$27</f>
        <v>121616880714536.72</v>
      </c>
      <c r="FKG27" s="613">
        <f t="shared" ref="FKG27" si="2184">FKE27*$C$27</f>
        <v>122833049521682.09</v>
      </c>
      <c r="FKI27" s="613">
        <f t="shared" ref="FKI27" si="2185">FKG27*$C$27</f>
        <v>124061380016898.92</v>
      </c>
      <c r="FKK27" s="613">
        <f t="shared" ref="FKK27" si="2186">FKI27*$C$27</f>
        <v>125301993817067.91</v>
      </c>
      <c r="FKM27" s="613">
        <f t="shared" ref="FKM27" si="2187">FKK27*$C$27</f>
        <v>126555013755238.59</v>
      </c>
      <c r="FKO27" s="613">
        <f t="shared" ref="FKO27" si="2188">FKM27*$C$27</f>
        <v>127820563892790.98</v>
      </c>
      <c r="FKQ27" s="613">
        <f t="shared" ref="FKQ27" si="2189">FKO27*$C$27</f>
        <v>129098769531718.89</v>
      </c>
      <c r="FKS27" s="613">
        <f t="shared" ref="FKS27" si="2190">FKQ27*$C$27</f>
        <v>130389757227036.08</v>
      </c>
      <c r="FKU27" s="613">
        <f t="shared" ref="FKU27" si="2191">FKS27*$C$27</f>
        <v>131693654799306.44</v>
      </c>
      <c r="FKW27" s="613">
        <f t="shared" ref="FKW27" si="2192">FKU27*$C$27</f>
        <v>133010591347299.5</v>
      </c>
      <c r="FKY27" s="613">
        <f t="shared" ref="FKY27" si="2193">FKW27*$C$27</f>
        <v>134340697260772.5</v>
      </c>
      <c r="FLA27" s="613">
        <f t="shared" ref="FLA27" si="2194">FKY27*$C$27</f>
        <v>135684104233380.22</v>
      </c>
      <c r="FLC27" s="613">
        <f t="shared" ref="FLC27" si="2195">FLA27*$C$27</f>
        <v>137040945275714.02</v>
      </c>
      <c r="FLE27" s="613">
        <f t="shared" ref="FLE27" si="2196">FLC27*$C$27</f>
        <v>138411354728471.16</v>
      </c>
      <c r="FLG27" s="613">
        <f t="shared" ref="FLG27" si="2197">FLE27*$C$27</f>
        <v>139795468275755.88</v>
      </c>
      <c r="FLI27" s="613">
        <f t="shared" ref="FLI27" si="2198">FLG27*$C$27</f>
        <v>141193422958513.44</v>
      </c>
      <c r="FLK27" s="613">
        <f t="shared" ref="FLK27" si="2199">FLI27*$C$27</f>
        <v>142605357188098.56</v>
      </c>
      <c r="FLM27" s="613">
        <f t="shared" ref="FLM27" si="2200">FLK27*$C$27</f>
        <v>144031410759979.56</v>
      </c>
      <c r="FLO27" s="613">
        <f t="shared" ref="FLO27" si="2201">FLM27*$C$27</f>
        <v>145471724867579.38</v>
      </c>
      <c r="FLQ27" s="613">
        <f t="shared" ref="FLQ27" si="2202">FLO27*$C$27</f>
        <v>146926442116255.16</v>
      </c>
      <c r="FLS27" s="613">
        <f t="shared" ref="FLS27" si="2203">FLQ27*$C$27</f>
        <v>148395706537417.72</v>
      </c>
      <c r="FLU27" s="613">
        <f t="shared" ref="FLU27" si="2204">FLS27*$C$27</f>
        <v>149879663602791.91</v>
      </c>
      <c r="FLW27" s="613">
        <f t="shared" ref="FLW27" si="2205">FLU27*$C$27</f>
        <v>151378460238819.81</v>
      </c>
      <c r="FLY27" s="613">
        <f t="shared" ref="FLY27" si="2206">FLW27*$C$27</f>
        <v>152892244841208</v>
      </c>
      <c r="FMA27" s="613">
        <f t="shared" ref="FMA27" si="2207">FLY27*$C$27</f>
        <v>154421167289620.09</v>
      </c>
      <c r="FMC27" s="613">
        <f t="shared" ref="FMC27" si="2208">FMA27*$C$27</f>
        <v>155965378962516.28</v>
      </c>
      <c r="FME27" s="613">
        <f t="shared" ref="FME27" si="2209">FMC27*$C$27</f>
        <v>157525032752141.44</v>
      </c>
      <c r="FMG27" s="613">
        <f t="shared" ref="FMG27" si="2210">FME27*$C$27</f>
        <v>159100283079662.84</v>
      </c>
      <c r="FMI27" s="613">
        <f t="shared" ref="FMI27" si="2211">FMG27*$C$27</f>
        <v>160691285910459.47</v>
      </c>
      <c r="FMK27" s="613">
        <f t="shared" ref="FMK27" si="2212">FMI27*$C$27</f>
        <v>162298198769564.06</v>
      </c>
      <c r="FMM27" s="613">
        <f t="shared" ref="FMM27" si="2213">FMK27*$C$27</f>
        <v>163921180757259.72</v>
      </c>
      <c r="FMO27" s="613">
        <f t="shared" ref="FMO27" si="2214">FMM27*$C$27</f>
        <v>165560392564832.31</v>
      </c>
      <c r="FMQ27" s="613">
        <f t="shared" ref="FMQ27" si="2215">FMO27*$C$27</f>
        <v>167215996490480.63</v>
      </c>
      <c r="FMS27" s="613">
        <f t="shared" ref="FMS27" si="2216">FMQ27*$C$27</f>
        <v>168888156455385.44</v>
      </c>
      <c r="FMU27" s="613">
        <f t="shared" ref="FMU27" si="2217">FMS27*$C$27</f>
        <v>170577038019939.28</v>
      </c>
      <c r="FMW27" s="613">
        <f t="shared" ref="FMW27" si="2218">FMU27*$C$27</f>
        <v>172282808400138.69</v>
      </c>
      <c r="FMY27" s="613">
        <f t="shared" ref="FMY27" si="2219">FMW27*$C$27</f>
        <v>174005636484140.06</v>
      </c>
      <c r="FNA27" s="613">
        <f t="shared" ref="FNA27" si="2220">FMY27*$C$27</f>
        <v>175745692848981.47</v>
      </c>
      <c r="FNC27" s="613">
        <f t="shared" ref="FNC27" si="2221">FNA27*$C$27</f>
        <v>177503149777471.28</v>
      </c>
      <c r="FNE27" s="613">
        <f t="shared" ref="FNE27" si="2222">FNC27*$C$27</f>
        <v>179278181275246</v>
      </c>
      <c r="FNG27" s="613">
        <f t="shared" ref="FNG27" si="2223">FNE27*$C$27</f>
        <v>181070963087998.47</v>
      </c>
      <c r="FNI27" s="613">
        <f t="shared" ref="FNI27" si="2224">FNG27*$C$27</f>
        <v>182881672718878.47</v>
      </c>
      <c r="FNK27" s="613">
        <f t="shared" ref="FNK27" si="2225">FNI27*$C$27</f>
        <v>184710489446067.25</v>
      </c>
      <c r="FNM27" s="613">
        <f t="shared" ref="FNM27" si="2226">FNK27*$C$27</f>
        <v>186557594340527.94</v>
      </c>
      <c r="FNO27" s="613">
        <f t="shared" ref="FNO27" si="2227">FNM27*$C$27</f>
        <v>188423170283933.22</v>
      </c>
      <c r="FNQ27" s="613">
        <f t="shared" ref="FNQ27" si="2228">FNO27*$C$27</f>
        <v>190307401986772.56</v>
      </c>
      <c r="FNS27" s="613">
        <f t="shared" ref="FNS27" si="2229">FNQ27*$C$27</f>
        <v>192210476006640.28</v>
      </c>
      <c r="FNU27" s="613">
        <f t="shared" ref="FNU27" si="2230">FNS27*$C$27</f>
        <v>194132580766706.69</v>
      </c>
      <c r="FNW27" s="613">
        <f t="shared" ref="FNW27" si="2231">FNU27*$C$27</f>
        <v>196073906574373.75</v>
      </c>
      <c r="FNY27" s="613">
        <f t="shared" ref="FNY27" si="2232">FNW27*$C$27</f>
        <v>198034645640117.5</v>
      </c>
      <c r="FOA27" s="613">
        <f t="shared" ref="FOA27" si="2233">FNY27*$C$27</f>
        <v>200014992096518.69</v>
      </c>
      <c r="FOC27" s="613">
        <f t="shared" ref="FOC27" si="2234">FOA27*$C$27</f>
        <v>202015142017483.88</v>
      </c>
      <c r="FOE27" s="613">
        <f t="shared" ref="FOE27" si="2235">FOC27*$C$27</f>
        <v>204035293437658.72</v>
      </c>
      <c r="FOG27" s="613">
        <f t="shared" ref="FOG27" si="2236">FOE27*$C$27</f>
        <v>206075646372035.31</v>
      </c>
      <c r="FOI27" s="613">
        <f t="shared" ref="FOI27" si="2237">FOG27*$C$27</f>
        <v>208136402835755.66</v>
      </c>
      <c r="FOK27" s="613">
        <f t="shared" ref="FOK27" si="2238">FOI27*$C$27</f>
        <v>210217766864113.22</v>
      </c>
      <c r="FOM27" s="613">
        <f t="shared" ref="FOM27" si="2239">FOK27*$C$27</f>
        <v>212319944532754.34</v>
      </c>
      <c r="FOO27" s="613">
        <f t="shared" ref="FOO27" si="2240">FOM27*$C$27</f>
        <v>214443143978081.88</v>
      </c>
      <c r="FOQ27" s="613">
        <f t="shared" ref="FOQ27" si="2241">FOO27*$C$27</f>
        <v>216587575417862.69</v>
      </c>
      <c r="FOS27" s="613">
        <f t="shared" ref="FOS27" si="2242">FOQ27*$C$27</f>
        <v>218753451172041.31</v>
      </c>
      <c r="FOU27" s="613">
        <f t="shared" ref="FOU27" si="2243">FOS27*$C$27</f>
        <v>220940985683761.72</v>
      </c>
      <c r="FOW27" s="613">
        <f t="shared" ref="FOW27" si="2244">FOU27*$C$27</f>
        <v>223150395540599.34</v>
      </c>
      <c r="FOY27" s="613">
        <f t="shared" ref="FOY27" si="2245">FOW27*$C$27</f>
        <v>225381899496005.34</v>
      </c>
      <c r="FPA27" s="613">
        <f t="shared" ref="FPA27" si="2246">FOY27*$C$27</f>
        <v>227635718490965.41</v>
      </c>
      <c r="FPC27" s="613">
        <f t="shared" ref="FPC27" si="2247">FPA27*$C$27</f>
        <v>229912075675875.06</v>
      </c>
      <c r="FPE27" s="613">
        <f t="shared" ref="FPE27" si="2248">FPC27*$C$27</f>
        <v>232211196432633.81</v>
      </c>
      <c r="FPG27" s="613">
        <f t="shared" ref="FPG27" si="2249">FPE27*$C$27</f>
        <v>234533308396960.16</v>
      </c>
      <c r="FPI27" s="613">
        <f t="shared" ref="FPI27" si="2250">FPG27*$C$27</f>
        <v>236878641480929.75</v>
      </c>
      <c r="FPK27" s="613">
        <f t="shared" ref="FPK27" si="2251">FPI27*$C$27</f>
        <v>239247427895739.06</v>
      </c>
      <c r="FPM27" s="613">
        <f t="shared" ref="FPM27" si="2252">FPK27*$C$27</f>
        <v>241639902174696.47</v>
      </c>
      <c r="FPO27" s="613">
        <f t="shared" ref="FPO27" si="2253">FPM27*$C$27</f>
        <v>244056301196443.44</v>
      </c>
      <c r="FPQ27" s="613">
        <f t="shared" ref="FPQ27" si="2254">FPO27*$C$27</f>
        <v>246496864208407.88</v>
      </c>
      <c r="FPS27" s="613">
        <f t="shared" ref="FPS27" si="2255">FPQ27*$C$27</f>
        <v>248961832850491.97</v>
      </c>
      <c r="FPU27" s="613">
        <f t="shared" ref="FPU27" si="2256">FPS27*$C$27</f>
        <v>251451451178996.91</v>
      </c>
      <c r="FPW27" s="613">
        <f t="shared" ref="FPW27" si="2257">FPU27*$C$27</f>
        <v>253965965690786.88</v>
      </c>
      <c r="FPY27" s="613">
        <f t="shared" ref="FPY27" si="2258">FPW27*$C$27</f>
        <v>256505625347694.75</v>
      </c>
      <c r="FQA27" s="613">
        <f t="shared" ref="FQA27" si="2259">FPY27*$C$27</f>
        <v>259070681601171.69</v>
      </c>
      <c r="FQC27" s="613">
        <f t="shared" ref="FQC27" si="2260">FQA27*$C$27</f>
        <v>261661388417183.41</v>
      </c>
      <c r="FQE27" s="613">
        <f t="shared" ref="FQE27" si="2261">FQC27*$C$27</f>
        <v>264278002301355.25</v>
      </c>
      <c r="FQG27" s="613">
        <f t="shared" ref="FQG27" si="2262">FQE27*$C$27</f>
        <v>266920782324368.81</v>
      </c>
      <c r="FQI27" s="613">
        <f t="shared" ref="FQI27" si="2263">FQG27*$C$27</f>
        <v>269589990147612.5</v>
      </c>
      <c r="FQK27" s="613">
        <f t="shared" ref="FQK27" si="2264">FQI27*$C$27</f>
        <v>272285890049088.63</v>
      </c>
      <c r="FQM27" s="613">
        <f t="shared" ref="FQM27" si="2265">FQK27*$C$27</f>
        <v>275008748949579.5</v>
      </c>
      <c r="FQO27" s="613">
        <f t="shared" ref="FQO27" si="2266">FQM27*$C$27</f>
        <v>277758836439075.31</v>
      </c>
      <c r="FQQ27" s="613">
        <f t="shared" ref="FQQ27" si="2267">FQO27*$C$27</f>
        <v>280536424803466.06</v>
      </c>
      <c r="FQS27" s="613">
        <f t="shared" ref="FQS27" si="2268">FQQ27*$C$27</f>
        <v>283341789051500.75</v>
      </c>
      <c r="FQU27" s="613">
        <f t="shared" ref="FQU27" si="2269">FQS27*$C$27</f>
        <v>286175206942015.75</v>
      </c>
      <c r="FQW27" s="613">
        <f t="shared" ref="FQW27" si="2270">FQU27*$C$27</f>
        <v>289036959011435.94</v>
      </c>
      <c r="FQY27" s="613">
        <f t="shared" ref="FQY27" si="2271">FQW27*$C$27</f>
        <v>291927328601550.31</v>
      </c>
      <c r="FRA27" s="613">
        <f t="shared" ref="FRA27" si="2272">FQY27*$C$27</f>
        <v>294846601887565.81</v>
      </c>
      <c r="FRC27" s="613">
        <f t="shared" ref="FRC27" si="2273">FRA27*$C$27</f>
        <v>297795067906441.5</v>
      </c>
      <c r="FRE27" s="613">
        <f t="shared" ref="FRE27" si="2274">FRC27*$C$27</f>
        <v>300773018585505.94</v>
      </c>
      <c r="FRG27" s="613">
        <f t="shared" ref="FRG27" si="2275">FRE27*$C$27</f>
        <v>303780748771361</v>
      </c>
      <c r="FRI27" s="613">
        <f t="shared" ref="FRI27" si="2276">FRG27*$C$27</f>
        <v>306818556259074.63</v>
      </c>
      <c r="FRK27" s="613">
        <f t="shared" ref="FRK27" si="2277">FRI27*$C$27</f>
        <v>309886741821665.38</v>
      </c>
      <c r="FRM27" s="613">
        <f t="shared" ref="FRM27" si="2278">FRK27*$C$27</f>
        <v>312985609239882.06</v>
      </c>
      <c r="FRO27" s="613">
        <f t="shared" ref="FRO27" si="2279">FRM27*$C$27</f>
        <v>316115465332280.88</v>
      </c>
      <c r="FRQ27" s="613">
        <f t="shared" ref="FRQ27" si="2280">FRO27*$C$27</f>
        <v>319276619985603.69</v>
      </c>
      <c r="FRS27" s="613">
        <f t="shared" ref="FRS27" si="2281">FRQ27*$C$27</f>
        <v>322469386185459.75</v>
      </c>
      <c r="FRU27" s="613">
        <f t="shared" ref="FRU27" si="2282">FRS27*$C$27</f>
        <v>325694080047314.38</v>
      </c>
      <c r="FRW27" s="613">
        <f t="shared" ref="FRW27" si="2283">FRU27*$C$27</f>
        <v>328951020847787.5</v>
      </c>
      <c r="FRY27" s="613">
        <f t="shared" ref="FRY27" si="2284">FRW27*$C$27</f>
        <v>332240531056265.38</v>
      </c>
      <c r="FSA27" s="613">
        <f t="shared" ref="FSA27" si="2285">FRY27*$C$27</f>
        <v>335562936366828.06</v>
      </c>
      <c r="FSC27" s="613">
        <f t="shared" ref="FSC27" si="2286">FSA27*$C$27</f>
        <v>338918565730496.38</v>
      </c>
      <c r="FSE27" s="613">
        <f t="shared" ref="FSE27" si="2287">FSC27*$C$27</f>
        <v>342307751387801.31</v>
      </c>
      <c r="FSG27" s="613">
        <f t="shared" ref="FSG27" si="2288">FSE27*$C$27</f>
        <v>345730828901679.31</v>
      </c>
      <c r="FSI27" s="613">
        <f t="shared" ref="FSI27" si="2289">FSG27*$C$27</f>
        <v>349188137190696.13</v>
      </c>
      <c r="FSK27" s="613">
        <f t="shared" ref="FSK27" si="2290">FSI27*$C$27</f>
        <v>352680018562603.06</v>
      </c>
      <c r="FSM27" s="613">
        <f t="shared" ref="FSM27" si="2291">FSK27*$C$27</f>
        <v>356206818748229.13</v>
      </c>
      <c r="FSO27" s="613">
        <f t="shared" ref="FSO27" si="2292">FSM27*$C$27</f>
        <v>359768886935711.44</v>
      </c>
      <c r="FSQ27" s="613">
        <f t="shared" ref="FSQ27" si="2293">FSO27*$C$27</f>
        <v>363366575805068.56</v>
      </c>
      <c r="FSS27" s="613">
        <f t="shared" ref="FSS27" si="2294">FSQ27*$C$27</f>
        <v>367000241563119.25</v>
      </c>
      <c r="FSU27" s="613">
        <f t="shared" ref="FSU27" si="2295">FSS27*$C$27</f>
        <v>370670243978750.44</v>
      </c>
      <c r="FSW27" s="613">
        <f t="shared" ref="FSW27" si="2296">FSU27*$C$27</f>
        <v>374376946418537.94</v>
      </c>
      <c r="FSY27" s="613">
        <f t="shared" ref="FSY27" si="2297">FSW27*$C$27</f>
        <v>378120715882723.31</v>
      </c>
      <c r="FTA27" s="613">
        <f t="shared" ref="FTA27" si="2298">FSY27*$C$27</f>
        <v>381901923041550.56</v>
      </c>
      <c r="FTC27" s="613">
        <f t="shared" ref="FTC27" si="2299">FTA27*$C$27</f>
        <v>385720942271966.06</v>
      </c>
      <c r="FTE27" s="613">
        <f t="shared" ref="FTE27" si="2300">FTC27*$C$27</f>
        <v>389578151694685.75</v>
      </c>
      <c r="FTG27" s="613">
        <f t="shared" ref="FTG27" si="2301">FTE27*$C$27</f>
        <v>393473933211632.63</v>
      </c>
      <c r="FTI27" s="613">
        <f t="shared" ref="FTI27" si="2302">FTG27*$C$27</f>
        <v>397408672543748.94</v>
      </c>
      <c r="FTK27" s="613">
        <f t="shared" ref="FTK27" si="2303">FTI27*$C$27</f>
        <v>401382759269186.44</v>
      </c>
      <c r="FTM27" s="613">
        <f t="shared" ref="FTM27" si="2304">FTK27*$C$27</f>
        <v>405396586861878.31</v>
      </c>
      <c r="FTO27" s="613">
        <f t="shared" ref="FTO27" si="2305">FTM27*$C$27</f>
        <v>409450552730497.13</v>
      </c>
      <c r="FTQ27" s="613">
        <f t="shared" ref="FTQ27" si="2306">FTO27*$C$27</f>
        <v>413545058257802.13</v>
      </c>
      <c r="FTS27" s="613">
        <f t="shared" ref="FTS27" si="2307">FTQ27*$C$27</f>
        <v>417680508840380.13</v>
      </c>
      <c r="FTU27" s="613">
        <f t="shared" ref="FTU27" si="2308">FTS27*$C$27</f>
        <v>421857313928783.94</v>
      </c>
      <c r="FTW27" s="613">
        <f t="shared" ref="FTW27" si="2309">FTU27*$C$27</f>
        <v>426075887068071.75</v>
      </c>
      <c r="FTY27" s="613">
        <f t="shared" ref="FTY27" si="2310">FTW27*$C$27</f>
        <v>430336645938752.5</v>
      </c>
      <c r="FUA27" s="613">
        <f t="shared" ref="FUA27" si="2311">FTY27*$C$27</f>
        <v>434640012398140</v>
      </c>
      <c r="FUC27" s="613">
        <f t="shared" ref="FUC27" si="2312">FUA27*$C$27</f>
        <v>438986412522121.38</v>
      </c>
      <c r="FUE27" s="613">
        <f t="shared" ref="FUE27" si="2313">FUC27*$C$27</f>
        <v>443376276647342.56</v>
      </c>
      <c r="FUG27" s="613">
        <f t="shared" ref="FUG27" si="2314">FUE27*$C$27</f>
        <v>447810039413816</v>
      </c>
      <c r="FUI27" s="613">
        <f t="shared" ref="FUI27" si="2315">FUG27*$C$27</f>
        <v>452288139807954.19</v>
      </c>
      <c r="FUK27" s="613">
        <f t="shared" ref="FUK27" si="2316">FUI27*$C$27</f>
        <v>456811021206033.75</v>
      </c>
      <c r="FUM27" s="613">
        <f t="shared" ref="FUM27" si="2317">FUK27*$C$27</f>
        <v>461379131418094.06</v>
      </c>
      <c r="FUO27" s="613">
        <f t="shared" ref="FUO27" si="2318">FUM27*$C$27</f>
        <v>465992922732275</v>
      </c>
      <c r="FUQ27" s="613">
        <f t="shared" ref="FUQ27" si="2319">FUO27*$C$27</f>
        <v>470652851959597.75</v>
      </c>
      <c r="FUS27" s="613">
        <f t="shared" ref="FUS27" si="2320">FUQ27*$C$27</f>
        <v>475359380479193.75</v>
      </c>
      <c r="FUU27" s="613">
        <f t="shared" ref="FUU27" si="2321">FUS27*$C$27</f>
        <v>480112974283985.69</v>
      </c>
      <c r="FUW27" s="613">
        <f t="shared" ref="FUW27" si="2322">FUU27*$C$27</f>
        <v>484914104026825.56</v>
      </c>
      <c r="FUY27" s="613">
        <f t="shared" ref="FUY27" si="2323">FUW27*$C$27</f>
        <v>489763245067093.81</v>
      </c>
      <c r="FVA27" s="613">
        <f t="shared" ref="FVA27" si="2324">FUY27*$C$27</f>
        <v>494660877517764.75</v>
      </c>
      <c r="FVC27" s="613">
        <f t="shared" ref="FVC27" si="2325">FVA27*$C$27</f>
        <v>499607486292942.38</v>
      </c>
      <c r="FVE27" s="613">
        <f t="shared" ref="FVE27" si="2326">FVC27*$C$27</f>
        <v>504603561155871.81</v>
      </c>
      <c r="FVG27" s="613">
        <f t="shared" ref="FVG27" si="2327">FVE27*$C$27</f>
        <v>509649596767430.56</v>
      </c>
      <c r="FVI27" s="613">
        <f t="shared" ref="FVI27" si="2328">FVG27*$C$27</f>
        <v>514746092735104.88</v>
      </c>
      <c r="FVK27" s="613">
        <f t="shared" ref="FVK27" si="2329">FVI27*$C$27</f>
        <v>519893553662455.94</v>
      </c>
      <c r="FVM27" s="613">
        <f t="shared" ref="FVM27" si="2330">FVK27*$C$27</f>
        <v>525092489199080.5</v>
      </c>
      <c r="FVO27" s="613">
        <f t="shared" ref="FVO27" si="2331">FVM27*$C$27</f>
        <v>530343414091071.31</v>
      </c>
      <c r="FVQ27" s="613">
        <f t="shared" ref="FVQ27" si="2332">FVO27*$C$27</f>
        <v>535646848231982</v>
      </c>
      <c r="FVS27" s="613">
        <f t="shared" ref="FVS27" si="2333">FVQ27*$C$27</f>
        <v>541003316714301.81</v>
      </c>
      <c r="FVU27" s="613">
        <f t="shared" ref="FVU27" si="2334">FVS27*$C$27</f>
        <v>546413349881444.81</v>
      </c>
      <c r="FVW27" s="613">
        <f t="shared" ref="FVW27" si="2335">FVU27*$C$27</f>
        <v>551877483380259.25</v>
      </c>
      <c r="FVY27" s="613">
        <f t="shared" ref="FVY27" si="2336">FVW27*$C$27</f>
        <v>557396258214061.88</v>
      </c>
      <c r="FWA27" s="613">
        <f t="shared" ref="FWA27" si="2337">FVY27*$C$27</f>
        <v>562970220796202.5</v>
      </c>
      <c r="FWC27" s="613">
        <f t="shared" ref="FWC27" si="2338">FWA27*$C$27</f>
        <v>568599923004164.5</v>
      </c>
      <c r="FWE27" s="613">
        <f t="shared" ref="FWE27" si="2339">FWC27*$C$27</f>
        <v>574285922234206.13</v>
      </c>
      <c r="FWG27" s="613">
        <f t="shared" ref="FWG27" si="2340">FWE27*$C$27</f>
        <v>580028781456548.25</v>
      </c>
      <c r="FWI27" s="613">
        <f t="shared" ref="FWI27" si="2341">FWG27*$C$27</f>
        <v>585829069271113.75</v>
      </c>
      <c r="FWK27" s="613">
        <f t="shared" ref="FWK27" si="2342">FWI27*$C$27</f>
        <v>591687359963824.88</v>
      </c>
      <c r="FWM27" s="613">
        <f t="shared" ref="FWM27" si="2343">FWK27*$C$27</f>
        <v>597604233563463.13</v>
      </c>
      <c r="FWO27" s="613">
        <f t="shared" ref="FWO27" si="2344">FWM27*$C$27</f>
        <v>603580275899097.75</v>
      </c>
      <c r="FWQ27" s="613">
        <f t="shared" ref="FWQ27" si="2345">FWO27*$C$27</f>
        <v>609616078658088.75</v>
      </c>
      <c r="FWS27" s="613">
        <f t="shared" ref="FWS27" si="2346">FWQ27*$C$27</f>
        <v>615712239444669.63</v>
      </c>
      <c r="FWU27" s="613">
        <f t="shared" ref="FWU27" si="2347">FWS27*$C$27</f>
        <v>621869361839116.38</v>
      </c>
      <c r="FWW27" s="613">
        <f t="shared" ref="FWW27" si="2348">FWU27*$C$27</f>
        <v>628088055457507.5</v>
      </c>
      <c r="FWY27" s="613">
        <f t="shared" ref="FWY27" si="2349">FWW27*$C$27</f>
        <v>634368936012082.63</v>
      </c>
      <c r="FXA27" s="613">
        <f t="shared" ref="FXA27" si="2350">FWY27*$C$27</f>
        <v>640712625372203.5</v>
      </c>
      <c r="FXC27" s="613">
        <f t="shared" ref="FXC27" si="2351">FXA27*$C$27</f>
        <v>647119751625925.5</v>
      </c>
      <c r="FXE27" s="613">
        <f t="shared" ref="FXE27" si="2352">FXC27*$C$27</f>
        <v>653590949142184.75</v>
      </c>
      <c r="FXG27" s="613">
        <f t="shared" ref="FXG27" si="2353">FXE27*$C$27</f>
        <v>660126858633606.63</v>
      </c>
      <c r="FXI27" s="613">
        <f t="shared" ref="FXI27" si="2354">FXG27*$C$27</f>
        <v>666728127219942.75</v>
      </c>
      <c r="FXK27" s="613">
        <f t="shared" ref="FXK27" si="2355">FXI27*$C$27</f>
        <v>673395408492142.13</v>
      </c>
      <c r="FXM27" s="613">
        <f t="shared" ref="FXM27" si="2356">FXK27*$C$27</f>
        <v>680129362577063.5</v>
      </c>
      <c r="FXO27" s="613">
        <f t="shared" ref="FXO27" si="2357">FXM27*$C$27</f>
        <v>686930656202834.13</v>
      </c>
      <c r="FXQ27" s="613">
        <f t="shared" ref="FXQ27" si="2358">FXO27*$C$27</f>
        <v>693799962764862.5</v>
      </c>
      <c r="FXS27" s="613">
        <f t="shared" ref="FXS27" si="2359">FXQ27*$C$27</f>
        <v>700737962392511.13</v>
      </c>
      <c r="FXU27" s="613">
        <f t="shared" ref="FXU27" si="2360">FXS27*$C$27</f>
        <v>707745342016436.25</v>
      </c>
      <c r="FXW27" s="613">
        <f t="shared" ref="FXW27" si="2361">FXU27*$C$27</f>
        <v>714822795436600.63</v>
      </c>
      <c r="FXY27" s="613">
        <f t="shared" ref="FXY27" si="2362">FXW27*$C$27</f>
        <v>721971023390966.63</v>
      </c>
      <c r="FYA27" s="613">
        <f t="shared" ref="FYA27" si="2363">FXY27*$C$27</f>
        <v>729190733624876.25</v>
      </c>
      <c r="FYC27" s="613">
        <f t="shared" ref="FYC27" si="2364">FYA27*$C$27</f>
        <v>736482640961125</v>
      </c>
      <c r="FYE27" s="613">
        <f t="shared" ref="FYE27" si="2365">FYC27*$C$27</f>
        <v>743847467370736.25</v>
      </c>
      <c r="FYG27" s="613">
        <f t="shared" ref="FYG27" si="2366">FYE27*$C$27</f>
        <v>751285942044443.63</v>
      </c>
      <c r="FYI27" s="613">
        <f t="shared" ref="FYI27" si="2367">FYG27*$C$27</f>
        <v>758798801464888.13</v>
      </c>
      <c r="FYK27" s="613">
        <f t="shared" ref="FYK27" si="2368">FYI27*$C$27</f>
        <v>766386789479537</v>
      </c>
      <c r="FYM27" s="613">
        <f t="shared" ref="FYM27" si="2369">FYK27*$C$27</f>
        <v>774050657374332.38</v>
      </c>
      <c r="FYO27" s="613">
        <f t="shared" ref="FYO27" si="2370">FYM27*$C$27</f>
        <v>781791163948075.75</v>
      </c>
      <c r="FYQ27" s="613">
        <f t="shared" ref="FYQ27" si="2371">FYO27*$C$27</f>
        <v>789609075587556.5</v>
      </c>
      <c r="FYS27" s="613">
        <f t="shared" ref="FYS27" si="2372">FYQ27*$C$27</f>
        <v>797505166343432.13</v>
      </c>
      <c r="FYU27" s="613">
        <f t="shared" ref="FYU27" si="2373">FYS27*$C$27</f>
        <v>805480218006866.5</v>
      </c>
      <c r="FYW27" s="613">
        <f t="shared" ref="FYW27" si="2374">FYU27*$C$27</f>
        <v>813535020186935.13</v>
      </c>
      <c r="FYY27" s="613">
        <f t="shared" ref="FYY27" si="2375">FYW27*$C$27</f>
        <v>821670370388804.5</v>
      </c>
      <c r="FZA27" s="613">
        <f t="shared" ref="FZA27" si="2376">FYY27*$C$27</f>
        <v>829887074092692.5</v>
      </c>
      <c r="FZC27" s="613">
        <f t="shared" ref="FZC27" si="2377">FZA27*$C$27</f>
        <v>838185944833619.38</v>
      </c>
      <c r="FZE27" s="613">
        <f t="shared" ref="FZE27" si="2378">FZC27*$C$27</f>
        <v>846567804281955.63</v>
      </c>
      <c r="FZG27" s="613">
        <f t="shared" ref="FZG27" si="2379">FZE27*$C$27</f>
        <v>855033482324775.25</v>
      </c>
      <c r="FZI27" s="613">
        <f t="shared" ref="FZI27" si="2380">FZG27*$C$27</f>
        <v>863583817148023</v>
      </c>
      <c r="FZK27" s="613">
        <f t="shared" ref="FZK27" si="2381">FZI27*$C$27</f>
        <v>872219655319503.25</v>
      </c>
      <c r="FZM27" s="613">
        <f t="shared" ref="FZM27" si="2382">FZK27*$C$27</f>
        <v>880941851872698.25</v>
      </c>
      <c r="FZO27" s="613">
        <f t="shared" ref="FZO27" si="2383">FZM27*$C$27</f>
        <v>889751270391425.25</v>
      </c>
      <c r="FZQ27" s="613">
        <f t="shared" ref="FZQ27" si="2384">FZO27*$C$27</f>
        <v>898648783095339.5</v>
      </c>
      <c r="FZS27" s="613">
        <f t="shared" ref="FZS27" si="2385">FZQ27*$C$27</f>
        <v>907635270926292.88</v>
      </c>
      <c r="FZU27" s="613">
        <f t="shared" ref="FZU27" si="2386">FZS27*$C$27</f>
        <v>916711623635555.75</v>
      </c>
      <c r="FZW27" s="613">
        <f t="shared" ref="FZW27" si="2387">FZU27*$C$27</f>
        <v>925878739871911.38</v>
      </c>
      <c r="FZY27" s="613">
        <f t="shared" ref="FZY27" si="2388">FZW27*$C$27</f>
        <v>935137527270630.5</v>
      </c>
      <c r="GAA27" s="613">
        <f t="shared" ref="GAA27" si="2389">FZY27*$C$27</f>
        <v>944488902543336.88</v>
      </c>
      <c r="GAC27" s="613">
        <f t="shared" ref="GAC27" si="2390">GAA27*$C$27</f>
        <v>953933791568770.25</v>
      </c>
      <c r="GAE27" s="613">
        <f t="shared" ref="GAE27" si="2391">GAC27*$C$27</f>
        <v>963473129484458</v>
      </c>
      <c r="GAG27" s="613">
        <f t="shared" ref="GAG27" si="2392">GAE27*$C$27</f>
        <v>973107860779302.63</v>
      </c>
      <c r="GAI27" s="613">
        <f t="shared" ref="GAI27" si="2393">GAG27*$C$27</f>
        <v>982838939387095.63</v>
      </c>
      <c r="GAK27" s="613">
        <f t="shared" ref="GAK27" si="2394">GAI27*$C$27</f>
        <v>992667328780966.63</v>
      </c>
      <c r="GAM27" s="613">
        <f t="shared" ref="GAM27" si="2395">GAK27*$C$27</f>
        <v>1002594002068776.3</v>
      </c>
      <c r="GAO27" s="613">
        <f t="shared" ref="GAO27" si="2396">GAM27*$C$27</f>
        <v>1012619942089464</v>
      </c>
      <c r="GAQ27" s="613">
        <f t="shared" ref="GAQ27" si="2397">GAO27*$C$27</f>
        <v>1022746141510358.6</v>
      </c>
      <c r="GAS27" s="613">
        <f t="shared" ref="GAS27" si="2398">GAQ27*$C$27</f>
        <v>1032973602925462.3</v>
      </c>
      <c r="GAU27" s="613">
        <f t="shared" ref="GAU27" si="2399">GAS27*$C$27</f>
        <v>1043303338954716.9</v>
      </c>
      <c r="GAW27" s="613">
        <f t="shared" ref="GAW27" si="2400">GAU27*$C$27</f>
        <v>1053736372344264</v>
      </c>
      <c r="GAY27" s="613">
        <f t="shared" ref="GAY27" si="2401">GAW27*$C$27</f>
        <v>1064273736067706.6</v>
      </c>
      <c r="GBA27" s="613">
        <f t="shared" ref="GBA27" si="2402">GAY27*$C$27</f>
        <v>1074916473428383.8</v>
      </c>
      <c r="GBC27" s="613">
        <f t="shared" ref="GBC27" si="2403">GBA27*$C$27</f>
        <v>1085665638162667.6</v>
      </c>
      <c r="GBE27" s="613">
        <f t="shared" ref="GBE27" si="2404">GBC27*$C$27</f>
        <v>1096522294544294.3</v>
      </c>
      <c r="GBG27" s="613">
        <f t="shared" ref="GBG27" si="2405">GBE27*$C$27</f>
        <v>1107487517489737.3</v>
      </c>
      <c r="GBI27" s="613">
        <f t="shared" ref="GBI27" si="2406">GBG27*$C$27</f>
        <v>1118562392664634.6</v>
      </c>
      <c r="GBK27" s="613">
        <f t="shared" ref="GBK27" si="2407">GBI27*$C$27</f>
        <v>1129748016591281</v>
      </c>
      <c r="GBM27" s="613">
        <f t="shared" ref="GBM27" si="2408">GBK27*$C$27</f>
        <v>1141045496757193.8</v>
      </c>
      <c r="GBO27" s="613">
        <f t="shared" ref="GBO27" si="2409">GBM27*$C$27</f>
        <v>1152455951724765.8</v>
      </c>
      <c r="GBQ27" s="613">
        <f t="shared" ref="GBQ27" si="2410">GBO27*$C$27</f>
        <v>1163980511242013.5</v>
      </c>
      <c r="GBS27" s="613">
        <f t="shared" ref="GBS27" si="2411">GBQ27*$C$27</f>
        <v>1175620316354433.8</v>
      </c>
      <c r="GBU27" s="613">
        <f t="shared" ref="GBU27" si="2412">GBS27*$C$27</f>
        <v>1187376519517978</v>
      </c>
      <c r="GBW27" s="613">
        <f t="shared" ref="GBW27" si="2413">GBU27*$C$27</f>
        <v>1199250284713157.8</v>
      </c>
      <c r="GBY27" s="613">
        <f t="shared" ref="GBY27" si="2414">GBW27*$C$27</f>
        <v>1211242787560289.3</v>
      </c>
      <c r="GCA27" s="613">
        <f t="shared" ref="GCA27" si="2415">GBY27*$C$27</f>
        <v>1223355215435892.3</v>
      </c>
      <c r="GCC27" s="613">
        <f t="shared" ref="GCC27" si="2416">GCA27*$C$27</f>
        <v>1235588767590251.3</v>
      </c>
      <c r="GCE27" s="613">
        <f t="shared" ref="GCE27" si="2417">GCC27*$C$27</f>
        <v>1247944655266153.8</v>
      </c>
      <c r="GCG27" s="613">
        <f t="shared" ref="GCG27" si="2418">GCE27*$C$27</f>
        <v>1260424101818815.3</v>
      </c>
      <c r="GCI27" s="613">
        <f t="shared" ref="GCI27" si="2419">GCG27*$C$27</f>
        <v>1273028342837003.5</v>
      </c>
      <c r="GCK27" s="613">
        <f t="shared" ref="GCK27" si="2420">GCI27*$C$27</f>
        <v>1285758626265373.5</v>
      </c>
      <c r="GCM27" s="613">
        <f t="shared" ref="GCM27" si="2421">GCK27*$C$27</f>
        <v>1298616212528027.3</v>
      </c>
      <c r="GCO27" s="613">
        <f t="shared" ref="GCO27" si="2422">GCM27*$C$27</f>
        <v>1311602374653307.5</v>
      </c>
      <c r="GCQ27" s="613">
        <f t="shared" ref="GCQ27" si="2423">GCO27*$C$27</f>
        <v>1324718398399840.5</v>
      </c>
      <c r="GCS27" s="613">
        <f t="shared" ref="GCS27" si="2424">GCQ27*$C$27</f>
        <v>1337965582383839</v>
      </c>
      <c r="GCU27" s="613">
        <f t="shared" ref="GCU27" si="2425">GCS27*$C$27</f>
        <v>1351345238207677.5</v>
      </c>
      <c r="GCW27" s="613">
        <f t="shared" ref="GCW27" si="2426">GCU27*$C$27</f>
        <v>1364858690589754.3</v>
      </c>
      <c r="GCY27" s="613">
        <f t="shared" ref="GCY27" si="2427">GCW27*$C$27</f>
        <v>1378507277495651.8</v>
      </c>
      <c r="GDA27" s="613">
        <f t="shared" ref="GDA27" si="2428">GCY27*$C$27</f>
        <v>1392292350270608.3</v>
      </c>
      <c r="GDC27" s="613">
        <f t="shared" ref="GDC27" si="2429">GDA27*$C$27</f>
        <v>1406215273773314.3</v>
      </c>
      <c r="GDE27" s="613">
        <f t="shared" ref="GDE27" si="2430">GDC27*$C$27</f>
        <v>1420277426511047.5</v>
      </c>
      <c r="GDG27" s="613">
        <f t="shared" ref="GDG27" si="2431">GDE27*$C$27</f>
        <v>1434480200776158</v>
      </c>
      <c r="GDI27" s="613">
        <f t="shared" ref="GDI27" si="2432">GDG27*$C$27</f>
        <v>1448825002783919.5</v>
      </c>
      <c r="GDK27" s="613">
        <f t="shared" ref="GDK27" si="2433">GDI27*$C$27</f>
        <v>1463313252811758.8</v>
      </c>
      <c r="GDM27" s="613">
        <f t="shared" ref="GDM27" si="2434">GDK27*$C$27</f>
        <v>1477946385339876.3</v>
      </c>
      <c r="GDO27" s="613">
        <f t="shared" ref="GDO27" si="2435">GDM27*$C$27</f>
        <v>1492725849193275</v>
      </c>
      <c r="GDQ27" s="613">
        <f t="shared" ref="GDQ27" si="2436">GDO27*$C$27</f>
        <v>1507653107685207.8</v>
      </c>
      <c r="GDS27" s="613">
        <f t="shared" ref="GDS27" si="2437">GDQ27*$C$27</f>
        <v>1522729638762059.8</v>
      </c>
      <c r="GDU27" s="613">
        <f t="shared" ref="GDU27" si="2438">GDS27*$C$27</f>
        <v>1537956935149680.3</v>
      </c>
      <c r="GDW27" s="613">
        <f t="shared" ref="GDW27" si="2439">GDU27*$C$27</f>
        <v>1553336504501177</v>
      </c>
      <c r="GDY27" s="613">
        <f t="shared" ref="GDY27" si="2440">GDW27*$C$27</f>
        <v>1568869869546188.8</v>
      </c>
      <c r="GEA27" s="613">
        <f t="shared" ref="GEA27" si="2441">GDY27*$C$27</f>
        <v>1584558568241650.8</v>
      </c>
      <c r="GEC27" s="613">
        <f t="shared" ref="GEC27" si="2442">GEA27*$C$27</f>
        <v>1600404153924067.3</v>
      </c>
      <c r="GEE27" s="613">
        <f t="shared" ref="GEE27" si="2443">GEC27*$C$27</f>
        <v>1616408195463308</v>
      </c>
      <c r="GEG27" s="613">
        <f t="shared" ref="GEG27" si="2444">GEE27*$C$27</f>
        <v>1632572277417941</v>
      </c>
      <c r="GEI27" s="613">
        <f t="shared" ref="GEI27" si="2445">GEG27*$C$27</f>
        <v>1648898000192120.5</v>
      </c>
      <c r="GEK27" s="613">
        <f t="shared" ref="GEK27" si="2446">GEI27*$C$27</f>
        <v>1665386980194041.8</v>
      </c>
      <c r="GEM27" s="613">
        <f t="shared" ref="GEM27" si="2447">GEK27*$C$27</f>
        <v>1682040849995982.3</v>
      </c>
      <c r="GEO27" s="613">
        <f t="shared" ref="GEO27" si="2448">GEM27*$C$27</f>
        <v>1698861258495942</v>
      </c>
      <c r="GEQ27" s="613">
        <f t="shared" ref="GEQ27" si="2449">GEO27*$C$27</f>
        <v>1715849871080901.5</v>
      </c>
      <c r="GES27" s="613">
        <f t="shared" ref="GES27" si="2450">GEQ27*$C$27</f>
        <v>1733008369791710.5</v>
      </c>
      <c r="GEU27" s="613">
        <f t="shared" ref="GEU27" si="2451">GES27*$C$27</f>
        <v>1750338453489627.5</v>
      </c>
      <c r="GEW27" s="613">
        <f t="shared" ref="GEW27" si="2452">GEU27*$C$27</f>
        <v>1767841838024523.8</v>
      </c>
      <c r="GEY27" s="613">
        <f t="shared" ref="GEY27" si="2453">GEW27*$C$27</f>
        <v>1785520256404769</v>
      </c>
      <c r="GFA27" s="613">
        <f t="shared" ref="GFA27" si="2454">GEY27*$C$27</f>
        <v>1803375458968816.8</v>
      </c>
      <c r="GFC27" s="613">
        <f t="shared" ref="GFC27" si="2455">GFA27*$C$27</f>
        <v>1821409213558505</v>
      </c>
      <c r="GFE27" s="613">
        <f t="shared" ref="GFE27" si="2456">GFC27*$C$27</f>
        <v>1839623305694090</v>
      </c>
      <c r="GFG27" s="613">
        <f t="shared" ref="GFG27" si="2457">GFE27*$C$27</f>
        <v>1858019538751031</v>
      </c>
      <c r="GFI27" s="613">
        <f t="shared" ref="GFI27" si="2458">GFG27*$C$27</f>
        <v>1876599734138541.3</v>
      </c>
      <c r="GFK27" s="613">
        <f t="shared" ref="GFK27" si="2459">GFI27*$C$27</f>
        <v>1895365731479926.8</v>
      </c>
      <c r="GFM27" s="613">
        <f t="shared" ref="GFM27" si="2460">GFK27*$C$27</f>
        <v>1914319388794726</v>
      </c>
      <c r="GFO27" s="613">
        <f t="shared" ref="GFO27" si="2461">GFM27*$C$27</f>
        <v>1933462582682673.3</v>
      </c>
      <c r="GFQ27" s="613">
        <f t="shared" ref="GFQ27" si="2462">GFO27*$C$27</f>
        <v>1952797208509500</v>
      </c>
      <c r="GFS27" s="613">
        <f t="shared" ref="GFS27" si="2463">GFQ27*$C$27</f>
        <v>1972325180594595</v>
      </c>
      <c r="GFU27" s="613">
        <f t="shared" ref="GFU27" si="2464">GFS27*$C$27</f>
        <v>1992048432400541</v>
      </c>
      <c r="GFW27" s="613">
        <f t="shared" ref="GFW27" si="2465">GFU27*$C$27</f>
        <v>2011968916724546.5</v>
      </c>
      <c r="GFY27" s="613">
        <f t="shared" ref="GFY27" si="2466">GFW27*$C$27</f>
        <v>2032088605891792</v>
      </c>
      <c r="GGA27" s="613">
        <f t="shared" ref="GGA27" si="2467">GFY27*$C$27</f>
        <v>2052409491950710</v>
      </c>
      <c r="GGC27" s="613">
        <f t="shared" ref="GGC27" si="2468">GGA27*$C$27</f>
        <v>2072933586870217</v>
      </c>
      <c r="GGE27" s="613">
        <f t="shared" ref="GGE27" si="2469">GGC27*$C$27</f>
        <v>2093662922738919.3</v>
      </c>
      <c r="GGG27" s="613">
        <f t="shared" ref="GGG27" si="2470">GGE27*$C$27</f>
        <v>2114599551966308.5</v>
      </c>
      <c r="GGI27" s="613">
        <f t="shared" ref="GGI27" si="2471">GGG27*$C$27</f>
        <v>2135745547485971.5</v>
      </c>
      <c r="GGK27" s="613">
        <f t="shared" ref="GGK27" si="2472">GGI27*$C$27</f>
        <v>2157103002960831.3</v>
      </c>
      <c r="GGM27" s="613">
        <f t="shared" ref="GGM27" si="2473">GGK27*$C$27</f>
        <v>2178674032990439.5</v>
      </c>
      <c r="GGO27" s="613">
        <f t="shared" ref="GGO27" si="2474">GGM27*$C$27</f>
        <v>2200460773320344</v>
      </c>
      <c r="GGQ27" s="613">
        <f t="shared" ref="GGQ27" si="2475">GGO27*$C$27</f>
        <v>2222465381053547.5</v>
      </c>
      <c r="GGS27" s="613">
        <f t="shared" ref="GGS27" si="2476">GGQ27*$C$27</f>
        <v>2244690034864083</v>
      </c>
      <c r="GGU27" s="613">
        <f t="shared" ref="GGU27" si="2477">GGS27*$C$27</f>
        <v>2267136935212724</v>
      </c>
      <c r="GGW27" s="613">
        <f t="shared" ref="GGW27" si="2478">GGU27*$C$27</f>
        <v>2289808304564851.5</v>
      </c>
      <c r="GGY27" s="613">
        <f t="shared" ref="GGY27" si="2479">GGW27*$C$27</f>
        <v>2312706387610500</v>
      </c>
      <c r="GHA27" s="613">
        <f t="shared" ref="GHA27" si="2480">GGY27*$C$27</f>
        <v>2335833451486605</v>
      </c>
      <c r="GHC27" s="613">
        <f t="shared" ref="GHC27" si="2481">GHA27*$C$27</f>
        <v>2359191786001471</v>
      </c>
      <c r="GHE27" s="613">
        <f t="shared" ref="GHE27" si="2482">GHC27*$C$27</f>
        <v>2382783703861485.5</v>
      </c>
      <c r="GHG27" s="613">
        <f t="shared" ref="GHG27" si="2483">GHE27*$C$27</f>
        <v>2406611540900100.5</v>
      </c>
      <c r="GHI27" s="613">
        <f t="shared" ref="GHI27" si="2484">GHG27*$C$27</f>
        <v>2430677656309101.5</v>
      </c>
      <c r="GHK27" s="613">
        <f t="shared" ref="GHK27" si="2485">GHI27*$C$27</f>
        <v>2454984432872192.5</v>
      </c>
      <c r="GHM27" s="613">
        <f t="shared" ref="GHM27" si="2486">GHK27*$C$27</f>
        <v>2479534277200914.5</v>
      </c>
      <c r="GHO27" s="613">
        <f t="shared" ref="GHO27" si="2487">GHM27*$C$27</f>
        <v>2504329619972923.5</v>
      </c>
      <c r="GHQ27" s="613">
        <f t="shared" ref="GHQ27" si="2488">GHO27*$C$27</f>
        <v>2529372916172653</v>
      </c>
      <c r="GHS27" s="613">
        <f t="shared" ref="GHS27" si="2489">GHQ27*$C$27</f>
        <v>2554666645334379.5</v>
      </c>
      <c r="GHU27" s="613">
        <f t="shared" ref="GHU27" si="2490">GHS27*$C$27</f>
        <v>2580213311787723.5</v>
      </c>
      <c r="GHW27" s="613">
        <f t="shared" ref="GHW27" si="2491">GHU27*$C$27</f>
        <v>2606015444905601</v>
      </c>
      <c r="GHY27" s="613">
        <f t="shared" ref="GHY27" si="2492">GHW27*$C$27</f>
        <v>2632075599354657</v>
      </c>
      <c r="GIA27" s="613">
        <f t="shared" ref="GIA27" si="2493">GHY27*$C$27</f>
        <v>2658396355348203.5</v>
      </c>
      <c r="GIC27" s="613">
        <f t="shared" ref="GIC27" si="2494">GIA27*$C$27</f>
        <v>2684980318901685.5</v>
      </c>
      <c r="GIE27" s="613">
        <f t="shared" ref="GIE27" si="2495">GIC27*$C$27</f>
        <v>2711830122090702.5</v>
      </c>
      <c r="GIG27" s="613">
        <f t="shared" ref="GIG27" si="2496">GIE27*$C$27</f>
        <v>2738948423311609.5</v>
      </c>
      <c r="GII27" s="613">
        <f t="shared" ref="GII27" si="2497">GIG27*$C$27</f>
        <v>2766337907544725.5</v>
      </c>
      <c r="GIK27" s="613">
        <f t="shared" ref="GIK27" si="2498">GII27*$C$27</f>
        <v>2794001286620173</v>
      </c>
      <c r="GIM27" s="613">
        <f t="shared" ref="GIM27" si="2499">GIK27*$C$27</f>
        <v>2821941299486375</v>
      </c>
      <c r="GIO27" s="613">
        <f t="shared" ref="GIO27" si="2500">GIM27*$C$27</f>
        <v>2850160712481239</v>
      </c>
      <c r="GIQ27" s="613">
        <f t="shared" ref="GIQ27" si="2501">GIO27*$C$27</f>
        <v>2878662319606051.5</v>
      </c>
      <c r="GIS27" s="613">
        <f t="shared" ref="GIS27" si="2502">GIQ27*$C$27</f>
        <v>2907448942802112</v>
      </c>
      <c r="GIU27" s="613">
        <f t="shared" ref="GIU27" si="2503">GIS27*$C$27</f>
        <v>2936523432230133</v>
      </c>
      <c r="GIW27" s="613">
        <f t="shared" ref="GIW27" si="2504">GIU27*$C$27</f>
        <v>2965888666552434.5</v>
      </c>
      <c r="GIY27" s="613">
        <f t="shared" ref="GIY27" si="2505">GIW27*$C$27</f>
        <v>2995547553217959</v>
      </c>
      <c r="GJA27" s="613">
        <f t="shared" ref="GJA27" si="2506">GIY27*$C$27</f>
        <v>3025503028750138.5</v>
      </c>
      <c r="GJC27" s="613">
        <f t="shared" ref="GJC27" si="2507">GJA27*$C$27</f>
        <v>3055758059037640</v>
      </c>
      <c r="GJE27" s="613">
        <f t="shared" ref="GJE27" si="2508">GJC27*$C$27</f>
        <v>3086315639628016.5</v>
      </c>
      <c r="GJG27" s="613">
        <f t="shared" ref="GJG27" si="2509">GJE27*$C$27</f>
        <v>3117178796024296.5</v>
      </c>
      <c r="GJI27" s="613">
        <f t="shared" ref="GJI27" si="2510">GJG27*$C$27</f>
        <v>3148350583984539.5</v>
      </c>
      <c r="GJK27" s="613">
        <f t="shared" ref="GJK27" si="2511">GJI27*$C$27</f>
        <v>3179834089824385</v>
      </c>
      <c r="GJM27" s="613">
        <f t="shared" ref="GJM27" si="2512">GJK27*$C$27</f>
        <v>3211632430722629</v>
      </c>
      <c r="GJO27" s="613">
        <f t="shared" ref="GJO27" si="2513">GJM27*$C$27</f>
        <v>3243748755029855.5</v>
      </c>
      <c r="GJQ27" s="613">
        <f t="shared" ref="GJQ27" si="2514">GJO27*$C$27</f>
        <v>3276186242580154</v>
      </c>
      <c r="GJS27" s="613">
        <f t="shared" ref="GJS27" si="2515">GJQ27*$C$27</f>
        <v>3308948105005955.5</v>
      </c>
      <c r="GJU27" s="613">
        <f t="shared" ref="GJU27" si="2516">GJS27*$C$27</f>
        <v>3342037586056015</v>
      </c>
      <c r="GJW27" s="613">
        <f t="shared" ref="GJW27" si="2517">GJU27*$C$27</f>
        <v>3375457961916575</v>
      </c>
      <c r="GJY27" s="613">
        <f t="shared" ref="GJY27" si="2518">GJW27*$C$27</f>
        <v>3409212541535741</v>
      </c>
      <c r="GKA27" s="613">
        <f t="shared" ref="GKA27" si="2519">GJY27*$C$27</f>
        <v>3443304666951098.5</v>
      </c>
      <c r="GKC27" s="613">
        <f t="shared" ref="GKC27" si="2520">GKA27*$C$27</f>
        <v>3477737713620609.5</v>
      </c>
      <c r="GKE27" s="613">
        <f t="shared" ref="GKE27" si="2521">GKC27*$C$27</f>
        <v>3512515090756815.5</v>
      </c>
      <c r="GKG27" s="613">
        <f t="shared" ref="GKG27" si="2522">GKE27*$C$27</f>
        <v>3547640241664383.5</v>
      </c>
      <c r="GKI27" s="613">
        <f t="shared" ref="GKI27" si="2523">GKG27*$C$27</f>
        <v>3583116644081027.5</v>
      </c>
      <c r="GKK27" s="613">
        <f t="shared" ref="GKK27" si="2524">GKI27*$C$27</f>
        <v>3618947810521838</v>
      </c>
      <c r="GKM27" s="613">
        <f t="shared" ref="GKM27" si="2525">GKK27*$C$27</f>
        <v>3655137288627056.5</v>
      </c>
      <c r="GKO27" s="613">
        <f t="shared" ref="GKO27" si="2526">GKM27*$C$27</f>
        <v>3691688661513327</v>
      </c>
      <c r="GKQ27" s="613">
        <f t="shared" ref="GKQ27" si="2527">GKO27*$C$27</f>
        <v>3728605548128460.5</v>
      </c>
      <c r="GKS27" s="613">
        <f t="shared" ref="GKS27" si="2528">GKQ27*$C$27</f>
        <v>3765891603609745</v>
      </c>
      <c r="GKU27" s="613">
        <f t="shared" ref="GKU27" si="2529">GKS27*$C$27</f>
        <v>3803550519645842.5</v>
      </c>
      <c r="GKW27" s="613">
        <f t="shared" ref="GKW27" si="2530">GKU27*$C$27</f>
        <v>3841586024842301</v>
      </c>
      <c r="GKY27" s="613">
        <f t="shared" ref="GKY27" si="2531">GKW27*$C$27</f>
        <v>3880001885090724</v>
      </c>
      <c r="GLA27" s="613">
        <f t="shared" ref="GLA27" si="2532">GKY27*$C$27</f>
        <v>3918801903941631.5</v>
      </c>
      <c r="GLC27" s="613">
        <f t="shared" ref="GLC27" si="2533">GLA27*$C$27</f>
        <v>3957989922981048</v>
      </c>
      <c r="GLE27" s="613">
        <f t="shared" ref="GLE27" si="2534">GLC27*$C$27</f>
        <v>3997569822210858.5</v>
      </c>
      <c r="GLG27" s="613">
        <f t="shared" ref="GLG27" si="2535">GLE27*$C$27</f>
        <v>4037545520432967</v>
      </c>
      <c r="GLI27" s="613">
        <f t="shared" ref="GLI27" si="2536">GLG27*$C$27</f>
        <v>4077920975637296.5</v>
      </c>
      <c r="GLK27" s="613">
        <f t="shared" ref="GLK27" si="2537">GLI27*$C$27</f>
        <v>4118700185393669.5</v>
      </c>
      <c r="GLM27" s="613">
        <f t="shared" ref="GLM27" si="2538">GLK27*$C$27</f>
        <v>4159887187247606</v>
      </c>
      <c r="GLO27" s="613">
        <f t="shared" ref="GLO27" si="2539">GLM27*$C$27</f>
        <v>4201486059120082</v>
      </c>
      <c r="GLQ27" s="613">
        <f t="shared" ref="GLQ27" si="2540">GLO27*$C$27</f>
        <v>4243500919711283</v>
      </c>
      <c r="GLS27" s="613">
        <f t="shared" ref="GLS27" si="2541">GLQ27*$C$27</f>
        <v>4285935928908396</v>
      </c>
      <c r="GLU27" s="613">
        <f t="shared" ref="GLU27" si="2542">GLS27*$C$27</f>
        <v>4328795288197480</v>
      </c>
      <c r="GLW27" s="613">
        <f t="shared" ref="GLW27" si="2543">GLU27*$C$27</f>
        <v>4372083241079455</v>
      </c>
      <c r="GLY27" s="613">
        <f t="shared" ref="GLY27" si="2544">GLW27*$C$27</f>
        <v>4415804073490249.5</v>
      </c>
      <c r="GMA27" s="613">
        <f t="shared" ref="GMA27" si="2545">GLY27*$C$27</f>
        <v>4459962114225152</v>
      </c>
      <c r="GMC27" s="613">
        <f t="shared" ref="GMC27" si="2546">GMA27*$C$27</f>
        <v>4504561735367404</v>
      </c>
      <c r="GME27" s="613">
        <f t="shared" ref="GME27" si="2547">GMC27*$C$27</f>
        <v>4549607352721078</v>
      </c>
      <c r="GMG27" s="613">
        <f t="shared" ref="GMG27" si="2548">GME27*$C$27</f>
        <v>4595103426248289</v>
      </c>
      <c r="GMI27" s="613">
        <f t="shared" ref="GMI27" si="2549">GMG27*$C$27</f>
        <v>4641054460510772</v>
      </c>
      <c r="GMK27" s="613">
        <f t="shared" ref="GMK27" si="2550">GMI27*$C$27</f>
        <v>4687465005115880</v>
      </c>
      <c r="GMM27" s="613">
        <f t="shared" ref="GMM27" si="2551">GMK27*$C$27</f>
        <v>4734339655167039</v>
      </c>
      <c r="GMO27" s="613">
        <f t="shared" ref="GMO27" si="2552">GMM27*$C$27</f>
        <v>4781683051718709</v>
      </c>
      <c r="GMQ27" s="613">
        <f t="shared" ref="GMQ27" si="2553">GMO27*$C$27</f>
        <v>4829499882235896</v>
      </c>
      <c r="GMS27" s="613">
        <f t="shared" ref="GMS27" si="2554">GMQ27*$C$27</f>
        <v>4877794881058255</v>
      </c>
      <c r="GMU27" s="613">
        <f t="shared" ref="GMU27" si="2555">GMS27*$C$27</f>
        <v>4926572829868838</v>
      </c>
      <c r="GMW27" s="613">
        <f t="shared" ref="GMW27" si="2556">GMU27*$C$27</f>
        <v>4975838558167526</v>
      </c>
      <c r="GMY27" s="613">
        <f t="shared" ref="GMY27" si="2557">GMW27*$C$27</f>
        <v>5025596943749201</v>
      </c>
      <c r="GNA27" s="613">
        <f t="shared" ref="GNA27" si="2558">GMY27*$C$27</f>
        <v>5075852913186693</v>
      </c>
      <c r="GNC27" s="613">
        <f t="shared" ref="GNC27" si="2559">GNA27*$C$27</f>
        <v>5126611442318560</v>
      </c>
      <c r="GNE27" s="613">
        <f t="shared" ref="GNE27" si="2560">GNC27*$C$27</f>
        <v>5177877556741746</v>
      </c>
      <c r="GNG27" s="613">
        <f t="shared" ref="GNG27" si="2561">GNE27*$C$27</f>
        <v>5229656332309164</v>
      </c>
      <c r="GNI27" s="613">
        <f t="shared" ref="GNI27" si="2562">GNG27*$C$27</f>
        <v>5281952895632256</v>
      </c>
      <c r="GNK27" s="613">
        <f t="shared" ref="GNK27" si="2563">GNI27*$C$27</f>
        <v>5334772424588579</v>
      </c>
      <c r="GNM27" s="613">
        <f t="shared" ref="GNM27" si="2564">GNK27*$C$27</f>
        <v>5388120148834465</v>
      </c>
      <c r="GNO27" s="613">
        <f t="shared" ref="GNO27" si="2565">GNM27*$C$27</f>
        <v>5442001350322810</v>
      </c>
      <c r="GNQ27" s="613">
        <f t="shared" ref="GNQ27" si="2566">GNO27*$C$27</f>
        <v>5496421363826038</v>
      </c>
      <c r="GNS27" s="613">
        <f t="shared" ref="GNS27" si="2567">GNQ27*$C$27</f>
        <v>5551385577464298</v>
      </c>
      <c r="GNU27" s="613">
        <f t="shared" ref="GNU27" si="2568">GNS27*$C$27</f>
        <v>5606899433238941</v>
      </c>
      <c r="GNW27" s="613">
        <f t="shared" ref="GNW27" si="2569">GNU27*$C$27</f>
        <v>5662968427571330</v>
      </c>
      <c r="GNY27" s="613">
        <f t="shared" ref="GNY27" si="2570">GNW27*$C$27</f>
        <v>5719598111847043</v>
      </c>
      <c r="GOA27" s="613">
        <f t="shared" ref="GOA27" si="2571">GNY27*$C$27</f>
        <v>5776794092965513</v>
      </c>
      <c r="GOC27" s="613">
        <f t="shared" ref="GOC27" si="2572">GOA27*$C$27</f>
        <v>5834562033895168</v>
      </c>
      <c r="GOE27" s="613">
        <f t="shared" ref="GOE27" si="2573">GOC27*$C$27</f>
        <v>5892907654234120</v>
      </c>
      <c r="GOG27" s="613">
        <f t="shared" ref="GOG27" si="2574">GOE27*$C$27</f>
        <v>5951836730776461</v>
      </c>
      <c r="GOI27" s="613">
        <f t="shared" ref="GOI27" si="2575">GOG27*$C$27</f>
        <v>6011355098084226</v>
      </c>
      <c r="GOK27" s="613">
        <f t="shared" ref="GOK27" si="2576">GOI27*$C$27</f>
        <v>6071468649065068</v>
      </c>
      <c r="GOM27" s="613">
        <f t="shared" ref="GOM27" si="2577">GOK27*$C$27</f>
        <v>6132183335555719</v>
      </c>
      <c r="GOO27" s="613">
        <f t="shared" ref="GOO27" si="2578">GOM27*$C$27</f>
        <v>6193505168911276</v>
      </c>
      <c r="GOQ27" s="613">
        <f t="shared" ref="GOQ27" si="2579">GOO27*$C$27</f>
        <v>6255440220600389</v>
      </c>
      <c r="GOS27" s="613">
        <f t="shared" ref="GOS27" si="2580">GOQ27*$C$27</f>
        <v>6317994622806393</v>
      </c>
      <c r="GOU27" s="613">
        <f t="shared" ref="GOU27" si="2581">GOS27*$C$27</f>
        <v>6381174569034457</v>
      </c>
      <c r="GOW27" s="613">
        <f t="shared" ref="GOW27" si="2582">GOU27*$C$27</f>
        <v>6444986314724802</v>
      </c>
      <c r="GOY27" s="613">
        <f t="shared" ref="GOY27" si="2583">GOW27*$C$27</f>
        <v>6509436177872050</v>
      </c>
      <c r="GPA27" s="613">
        <f t="shared" ref="GPA27" si="2584">GOY27*$C$27</f>
        <v>6574530539650771</v>
      </c>
      <c r="GPC27" s="613">
        <f t="shared" ref="GPC27" si="2585">GPA27*$C$27</f>
        <v>6640275845047279</v>
      </c>
      <c r="GPE27" s="613">
        <f t="shared" ref="GPE27" si="2586">GPC27*$C$27</f>
        <v>6706678603497752</v>
      </c>
      <c r="GPG27" s="613">
        <f t="shared" ref="GPG27" si="2587">GPE27*$C$27</f>
        <v>6773745389532730</v>
      </c>
      <c r="GPI27" s="613">
        <f t="shared" ref="GPI27" si="2588">GPG27*$C$27</f>
        <v>6841482843428057</v>
      </c>
      <c r="GPK27" s="613">
        <f t="shared" ref="GPK27" si="2589">GPI27*$C$27</f>
        <v>6909897671862338</v>
      </c>
      <c r="GPM27" s="613">
        <f t="shared" ref="GPM27" si="2590">GPK27*$C$27</f>
        <v>6978996648580961</v>
      </c>
      <c r="GPO27" s="613">
        <f t="shared" ref="GPO27" si="2591">GPM27*$C$27</f>
        <v>7048786615066771</v>
      </c>
      <c r="GPQ27" s="613">
        <f t="shared" ref="GPQ27" si="2592">GPO27*$C$27</f>
        <v>7119274481217439</v>
      </c>
      <c r="GPS27" s="613">
        <f t="shared" ref="GPS27" si="2593">GPQ27*$C$27</f>
        <v>7190467226029613</v>
      </c>
      <c r="GPU27" s="613">
        <f t="shared" ref="GPU27" si="2594">GPS27*$C$27</f>
        <v>7262371898289909</v>
      </c>
      <c r="GPW27" s="613">
        <f t="shared" ref="GPW27" si="2595">GPU27*$C$27</f>
        <v>7334995617272808</v>
      </c>
      <c r="GPY27" s="613">
        <f t="shared" ref="GPY27" si="2596">GPW27*$C$27</f>
        <v>7408345573445536</v>
      </c>
      <c r="GQA27" s="613">
        <f t="shared" ref="GQA27" si="2597">GPY27*$C$27</f>
        <v>7482429029179991</v>
      </c>
      <c r="GQC27" s="613">
        <f t="shared" ref="GQC27" si="2598">GQA27*$C$27</f>
        <v>7557253319471791</v>
      </c>
      <c r="GQE27" s="613">
        <f t="shared" ref="GQE27" si="2599">GQC27*$C$27</f>
        <v>7632825852666509</v>
      </c>
      <c r="GQG27" s="613">
        <f t="shared" ref="GQG27" si="2600">GQE27*$C$27</f>
        <v>7709154111193174</v>
      </c>
      <c r="GQI27" s="613">
        <f t="shared" ref="GQI27" si="2601">GQG27*$C$27</f>
        <v>7786245652305106</v>
      </c>
      <c r="GQK27" s="613">
        <f t="shared" ref="GQK27" si="2602">GQI27*$C$27</f>
        <v>7864108108828157</v>
      </c>
      <c r="GQM27" s="613">
        <f t="shared" ref="GQM27" si="2603">GQK27*$C$27</f>
        <v>7942749189916439</v>
      </c>
      <c r="GQO27" s="613">
        <f t="shared" ref="GQO27" si="2604">GQM27*$C$27</f>
        <v>8022176681815603</v>
      </c>
      <c r="GQQ27" s="613">
        <f t="shared" ref="GQQ27" si="2605">GQO27*$C$27</f>
        <v>8102398448633759</v>
      </c>
      <c r="GQS27" s="613">
        <f t="shared" ref="GQS27" si="2606">GQQ27*$C$27</f>
        <v>8183422433120097</v>
      </c>
      <c r="GQU27" s="613">
        <f t="shared" ref="GQU27" si="2607">GQS27*$C$27</f>
        <v>8265256657451298</v>
      </c>
      <c r="GQW27" s="613">
        <f t="shared" ref="GQW27" si="2608">GQU27*$C$27</f>
        <v>8347909224025811</v>
      </c>
      <c r="GQY27" s="613">
        <f t="shared" ref="GQY27" si="2609">GQW27*$C$27</f>
        <v>8431388316266069</v>
      </c>
      <c r="GRA27" s="613">
        <f t="shared" ref="GRA27" si="2610">GQY27*$C$27</f>
        <v>8515702199428730</v>
      </c>
      <c r="GRC27" s="613">
        <f t="shared" ref="GRC27" si="2611">GRA27*$C$27</f>
        <v>8600859221423017</v>
      </c>
      <c r="GRE27" s="613">
        <f t="shared" ref="GRE27" si="2612">GRC27*$C$27</f>
        <v>8686867813637247</v>
      </c>
      <c r="GRG27" s="613">
        <f t="shared" ref="GRG27" si="2613">GRE27*$C$27</f>
        <v>8773736491773620</v>
      </c>
      <c r="GRI27" s="613">
        <f t="shared" ref="GRI27" si="2614">GRG27*$C$27</f>
        <v>8861473856691356</v>
      </c>
      <c r="GRK27" s="613">
        <f t="shared" ref="GRK27" si="2615">GRI27*$C$27</f>
        <v>8950088595258270</v>
      </c>
      <c r="GRM27" s="613">
        <f t="shared" ref="GRM27" si="2616">GRK27*$C$27</f>
        <v>9039589481210852</v>
      </c>
      <c r="GRO27" s="613">
        <f t="shared" ref="GRO27" si="2617">GRM27*$C$27</f>
        <v>9129985376022960</v>
      </c>
      <c r="GRQ27" s="613">
        <f t="shared" ref="GRQ27" si="2618">GRO27*$C$27</f>
        <v>9221285229783190</v>
      </c>
      <c r="GRS27" s="613">
        <f t="shared" ref="GRS27" si="2619">GRQ27*$C$27</f>
        <v>9313498082081022</v>
      </c>
      <c r="GRU27" s="613">
        <f t="shared" ref="GRU27" si="2620">GRS27*$C$27</f>
        <v>9406633062901832</v>
      </c>
      <c r="GRW27" s="613">
        <f t="shared" ref="GRW27" si="2621">GRU27*$C$27</f>
        <v>9500699393530850</v>
      </c>
      <c r="GRY27" s="613">
        <f t="shared" ref="GRY27" si="2622">GRW27*$C$27</f>
        <v>9595706387466158</v>
      </c>
      <c r="GSA27" s="613">
        <f t="shared" ref="GSA27" si="2623">GRY27*$C$27</f>
        <v>9691663451340820</v>
      </c>
      <c r="GSC27" s="613">
        <f t="shared" ref="GSC27" si="2624">GSA27*$C$27</f>
        <v>9788580085854228</v>
      </c>
      <c r="GSE27" s="613">
        <f t="shared" ref="GSE27" si="2625">GSC27*$C$27</f>
        <v>9886465886712770</v>
      </c>
      <c r="GSG27" s="613">
        <f t="shared" ref="GSG27" si="2626">GSE27*$C$27</f>
        <v>9985330545579898</v>
      </c>
      <c r="GSI27" s="613">
        <f t="shared" ref="GSI27" si="2627">GSG27*$C$27</f>
        <v>1.0085183851035698E+16</v>
      </c>
      <c r="GSK27" s="613">
        <f t="shared" ref="GSK27" si="2628">GSI27*$C$27</f>
        <v>1.0186035689546056E+16</v>
      </c>
      <c r="GSM27" s="613">
        <f t="shared" ref="GSM27" si="2629">GSK27*$C$27</f>
        <v>1.0287896046441516E+16</v>
      </c>
      <c r="GSO27" s="613">
        <f t="shared" ref="GSO27" si="2630">GSM27*$C$27</f>
        <v>1.0390775006905932E+16</v>
      </c>
      <c r="GSQ27" s="613">
        <f t="shared" ref="GSQ27" si="2631">GSO27*$C$27</f>
        <v>1.0494682756974992E+16</v>
      </c>
      <c r="GSS27" s="613">
        <f t="shared" ref="GSS27" si="2632">GSQ27*$C$27</f>
        <v>1.0599629584544742E+16</v>
      </c>
      <c r="GSU27" s="613">
        <f t="shared" ref="GSU27" si="2633">GSS27*$C$27</f>
        <v>1.070562588039019E+16</v>
      </c>
      <c r="GSW27" s="613">
        <f t="shared" ref="GSW27" si="2634">GSU27*$C$27</f>
        <v>1.0812682139194092E+16</v>
      </c>
      <c r="GSY27" s="613">
        <f t="shared" ref="GSY27" si="2635">GSW27*$C$27</f>
        <v>1.0920808960586034E+16</v>
      </c>
      <c r="GTA27" s="613">
        <f t="shared" ref="GTA27" si="2636">GSY27*$C$27</f>
        <v>1.1030017050191894E+16</v>
      </c>
      <c r="GTC27" s="613">
        <f t="shared" ref="GTC27" si="2637">GTA27*$C$27</f>
        <v>1.1140317220693814E+16</v>
      </c>
      <c r="GTE27" s="613">
        <f t="shared" ref="GTE27" si="2638">GTC27*$C$27</f>
        <v>1.1251720392900752E+16</v>
      </c>
      <c r="GTG27" s="613">
        <f t="shared" ref="GTG27" si="2639">GTE27*$C$27</f>
        <v>1.136423759682976E+16</v>
      </c>
      <c r="GTI27" s="613">
        <f t="shared" ref="GTI27" si="2640">GTG27*$C$27</f>
        <v>1.1477879972798058E+16</v>
      </c>
      <c r="GTK27" s="613">
        <f t="shared" ref="GTK27" si="2641">GTI27*$C$27</f>
        <v>1.1592658772526038E+16</v>
      </c>
      <c r="GTM27" s="613">
        <f t="shared" ref="GTM27" si="2642">GTK27*$C$27</f>
        <v>1.1708585360251298E+16</v>
      </c>
      <c r="GTO27" s="613">
        <f t="shared" ref="GTO27" si="2643">GTM27*$C$27</f>
        <v>1.1825671213853812E+16</v>
      </c>
      <c r="GTQ27" s="613">
        <f t="shared" ref="GTQ27" si="2644">GTO27*$C$27</f>
        <v>1.194392792599235E+16</v>
      </c>
      <c r="GTS27" s="613">
        <f t="shared" ref="GTS27" si="2645">GTQ27*$C$27</f>
        <v>1.2063367205252274E+16</v>
      </c>
      <c r="GTU27" s="613">
        <f t="shared" ref="GTU27" si="2646">GTS27*$C$27</f>
        <v>1.2184000877304796E+16</v>
      </c>
      <c r="GTW27" s="613">
        <f t="shared" ref="GTW27" si="2647">GTU27*$C$27</f>
        <v>1.2305840886077844E+16</v>
      </c>
      <c r="GTY27" s="613">
        <f t="shared" ref="GTY27" si="2648">GTW27*$C$27</f>
        <v>1.2428899294938622E+16</v>
      </c>
      <c r="GUA27" s="613">
        <f t="shared" ref="GUA27" si="2649">GTY27*$C$27</f>
        <v>1.2553188287888008E+16</v>
      </c>
      <c r="GUC27" s="613">
        <f t="shared" ref="GUC27" si="2650">GUA27*$C$27</f>
        <v>1.2678720170766888E+16</v>
      </c>
      <c r="GUE27" s="613">
        <f t="shared" ref="GUE27" si="2651">GUC27*$C$27</f>
        <v>1.2805507372474556E+16</v>
      </c>
      <c r="GUG27" s="613">
        <f t="shared" ref="GUG27" si="2652">GUE27*$C$27</f>
        <v>1.2933562446199302E+16</v>
      </c>
      <c r="GUI27" s="613">
        <f t="shared" ref="GUI27" si="2653">GUG27*$C$27</f>
        <v>1.3062898070661296E+16</v>
      </c>
      <c r="GUK27" s="613">
        <f t="shared" ref="GUK27" si="2654">GUI27*$C$27</f>
        <v>1.319352705136791E+16</v>
      </c>
      <c r="GUM27" s="613">
        <f t="shared" ref="GUM27" si="2655">GUK27*$C$27</f>
        <v>1.332546232188159E+16</v>
      </c>
      <c r="GUO27" s="613">
        <f t="shared" ref="GUO27" si="2656">GUM27*$C$27</f>
        <v>1.3458716945100406E+16</v>
      </c>
      <c r="GUQ27" s="613">
        <f t="shared" ref="GUQ27" si="2657">GUO27*$C$27</f>
        <v>1.359330411455141E+16</v>
      </c>
      <c r="GUS27" s="613">
        <f t="shared" ref="GUS27" si="2658">GUQ27*$C$27</f>
        <v>1.3729237155696924E+16</v>
      </c>
      <c r="GUU27" s="613">
        <f t="shared" ref="GUU27" si="2659">GUS27*$C$27</f>
        <v>1.3866529527253894E+16</v>
      </c>
      <c r="GUW27" s="613">
        <f t="shared" ref="GUW27" si="2660">GUU27*$C$27</f>
        <v>1.4005194822526434E+16</v>
      </c>
      <c r="GUY27" s="613">
        <f t="shared" ref="GUY27" si="2661">GUW27*$C$27</f>
        <v>1.4145246770751698E+16</v>
      </c>
      <c r="GVA27" s="613">
        <f t="shared" ref="GVA27" si="2662">GUY27*$C$27</f>
        <v>1.4286699238459216E+16</v>
      </c>
      <c r="GVC27" s="613">
        <f t="shared" ref="GVC27" si="2663">GVA27*$C$27</f>
        <v>1.4429566230843808E+16</v>
      </c>
      <c r="GVE27" s="613">
        <f t="shared" ref="GVE27" si="2664">GVC27*$C$27</f>
        <v>1.4573861893152246E+16</v>
      </c>
      <c r="GVG27" s="613">
        <f t="shared" ref="GVG27" si="2665">GVE27*$C$27</f>
        <v>1.4719600512083768E+16</v>
      </c>
      <c r="GVI27" s="613">
        <f t="shared" ref="GVI27" si="2666">GVG27*$C$27</f>
        <v>1.4866796517204606E+16</v>
      </c>
      <c r="GVK27" s="613">
        <f t="shared" ref="GVK27" si="2667">GVI27*$C$27</f>
        <v>1.5015464482376652E+16</v>
      </c>
      <c r="GVM27" s="613">
        <f t="shared" ref="GVM27" si="2668">GVK27*$C$27</f>
        <v>1.5165619127200418E+16</v>
      </c>
      <c r="GVO27" s="613">
        <f t="shared" ref="GVO27" si="2669">GVM27*$C$27</f>
        <v>1.5317275318472422E+16</v>
      </c>
      <c r="GVQ27" s="613">
        <f t="shared" ref="GVQ27" si="2670">GVO27*$C$27</f>
        <v>1.5470448071657146E+16</v>
      </c>
      <c r="GVS27" s="613">
        <f t="shared" ref="GVS27" si="2671">GVQ27*$C$27</f>
        <v>1.5625152552373718E+16</v>
      </c>
      <c r="GVU27" s="613">
        <f t="shared" ref="GVU27" si="2672">GVS27*$C$27</f>
        <v>1.5781404077897456E+16</v>
      </c>
      <c r="GVW27" s="613">
        <f t="shared" ref="GVW27" si="2673">GVU27*$C$27</f>
        <v>1.593921811867643E+16</v>
      </c>
      <c r="GVY27" s="613">
        <f t="shared" ref="GVY27" si="2674">GVW27*$C$27</f>
        <v>1.6098610299863194E+16</v>
      </c>
      <c r="GWA27" s="613">
        <f t="shared" ref="GWA27" si="2675">GVY27*$C$27</f>
        <v>1.6259596402861826E+16</v>
      </c>
      <c r="GWC27" s="613">
        <f t="shared" ref="GWC27" si="2676">GWA27*$C$27</f>
        <v>1.6422192366890444E+16</v>
      </c>
      <c r="GWE27" s="613">
        <f t="shared" ref="GWE27" si="2677">GWC27*$C$27</f>
        <v>1.6586414290559348E+16</v>
      </c>
      <c r="GWG27" s="613">
        <f t="shared" ref="GWG27" si="2678">GWE27*$C$27</f>
        <v>1.6752278433464942E+16</v>
      </c>
      <c r="GWI27" s="613">
        <f t="shared" ref="GWI27" si="2679">GWG27*$C$27</f>
        <v>1.6919801217799592E+16</v>
      </c>
      <c r="GWK27" s="613">
        <f t="shared" ref="GWK27" si="2680">GWI27*$C$27</f>
        <v>1.7088999229977588E+16</v>
      </c>
      <c r="GWM27" s="613">
        <f t="shared" ref="GWM27" si="2681">GWK27*$C$27</f>
        <v>1.7259889222277364E+16</v>
      </c>
      <c r="GWO27" s="613">
        <f t="shared" ref="GWO27" si="2682">GWM27*$C$27</f>
        <v>1.7432488114500138E+16</v>
      </c>
      <c r="GWQ27" s="613">
        <f t="shared" ref="GWQ27" si="2683">GWO27*$C$27</f>
        <v>1.760681299564514E+16</v>
      </c>
      <c r="GWS27" s="613">
        <f t="shared" ref="GWS27" si="2684">GWQ27*$C$27</f>
        <v>1.7782881125601592E+16</v>
      </c>
      <c r="GWU27" s="613">
        <f t="shared" ref="GWU27" si="2685">GWS27*$C$27</f>
        <v>1.7960709936857608E+16</v>
      </c>
      <c r="GWW27" s="613">
        <f t="shared" ref="GWW27" si="2686">GWU27*$C$27</f>
        <v>1.8140317036226184E+16</v>
      </c>
      <c r="GWY27" s="613">
        <f t="shared" ref="GWY27" si="2687">GWW27*$C$27</f>
        <v>1.8321720206588448E+16</v>
      </c>
      <c r="GXA27" s="613">
        <f t="shared" ref="GXA27" si="2688">GWY27*$C$27</f>
        <v>1.8504937408654332E+16</v>
      </c>
      <c r="GXC27" s="613">
        <f t="shared" ref="GXC27" si="2689">GXA27*$C$27</f>
        <v>1.8689986782740876E+16</v>
      </c>
      <c r="GXE27" s="613">
        <f t="shared" ref="GXE27" si="2690">GXC27*$C$27</f>
        <v>1.8876886650568284E+16</v>
      </c>
      <c r="GXG27" s="613">
        <f t="shared" ref="GXG27" si="2691">GXE27*$C$27</f>
        <v>1.9065655517073968E+16</v>
      </c>
      <c r="GXI27" s="613">
        <f t="shared" ref="GXI27" si="2692">GXG27*$C$27</f>
        <v>1.9256312072244708E+16</v>
      </c>
      <c r="GXK27" s="613">
        <f t="shared" ref="GXK27" si="2693">GXI27*$C$27</f>
        <v>1.9448875192967156E+16</v>
      </c>
      <c r="GXM27" s="613">
        <f t="shared" ref="GXM27" si="2694">GXK27*$C$27</f>
        <v>1.9643363944896828E+16</v>
      </c>
      <c r="GXO27" s="613">
        <f t="shared" ref="GXO27" si="2695">GXM27*$C$27</f>
        <v>1.9839797584345796E+16</v>
      </c>
      <c r="GXQ27" s="613">
        <f t="shared" ref="GXQ27" si="2696">GXO27*$C$27</f>
        <v>2.0038195560189256E+16</v>
      </c>
      <c r="GXS27" s="613">
        <f t="shared" ref="GXS27" si="2697">GXQ27*$C$27</f>
        <v>2.0238577515791148E+16</v>
      </c>
      <c r="GXU27" s="613">
        <f t="shared" ref="GXU27" si="2698">GXS27*$C$27</f>
        <v>2.044096329094906E+16</v>
      </c>
      <c r="GXW27" s="613">
        <f t="shared" ref="GXW27" si="2699">GXU27*$C$27</f>
        <v>2.0645372923858552E+16</v>
      </c>
      <c r="GXY27" s="613">
        <f t="shared" ref="GXY27" si="2700">GXW27*$C$27</f>
        <v>2.0851826653097136E+16</v>
      </c>
      <c r="GYA27" s="613">
        <f t="shared" ref="GYA27" si="2701">GXY27*$C$27</f>
        <v>2.1060344919628108E+16</v>
      </c>
      <c r="GYC27" s="613">
        <f t="shared" ref="GYC27" si="2702">GYA27*$C$27</f>
        <v>2.1270948368824388E+16</v>
      </c>
      <c r="GYE27" s="613">
        <f t="shared" ref="GYE27" si="2703">GYC27*$C$27</f>
        <v>2.1483657852512632E+16</v>
      </c>
      <c r="GYG27" s="613">
        <f t="shared" ref="GYG27" si="2704">GYE27*$C$27</f>
        <v>2.169849443103776E+16</v>
      </c>
      <c r="GYI27" s="613">
        <f t="shared" ref="GYI27" si="2705">GYG27*$C$27</f>
        <v>2.1915479375348136E+16</v>
      </c>
      <c r="GYK27" s="613">
        <f t="shared" ref="GYK27" si="2706">GYI27*$C$27</f>
        <v>2.2134634169101616E+16</v>
      </c>
      <c r="GYM27" s="613">
        <f t="shared" ref="GYM27" si="2707">GYK27*$C$27</f>
        <v>2.2355980510792632E+16</v>
      </c>
      <c r="GYO27" s="613">
        <f t="shared" ref="GYO27" si="2708">GYM27*$C$27</f>
        <v>2.257954031590056E+16</v>
      </c>
      <c r="GYQ27" s="613">
        <f t="shared" ref="GYQ27" si="2709">GYO27*$C$27</f>
        <v>2.2805335719059564E+16</v>
      </c>
      <c r="GYS27" s="613">
        <f t="shared" ref="GYS27" si="2710">GYQ27*$C$27</f>
        <v>2.303338907625016E+16</v>
      </c>
      <c r="GYU27" s="613">
        <f t="shared" ref="GYU27" si="2711">GYS27*$C$27</f>
        <v>2.326372296701266E+16</v>
      </c>
      <c r="GYW27" s="613">
        <f t="shared" ref="GYW27" si="2712">GYU27*$C$27</f>
        <v>2.3496360196682788E+16</v>
      </c>
      <c r="GYY27" s="613">
        <f t="shared" ref="GYY27" si="2713">GYW27*$C$27</f>
        <v>2.3731323798649616E+16</v>
      </c>
      <c r="GZA27" s="613">
        <f t="shared" ref="GZA27" si="2714">GYY27*$C$27</f>
        <v>2.3968637036636112E+16</v>
      </c>
      <c r="GZC27" s="613">
        <f t="shared" ref="GZC27" si="2715">GZA27*$C$27</f>
        <v>2.4208323407002472E+16</v>
      </c>
      <c r="GZE27" s="613">
        <f t="shared" ref="GZE27" si="2716">GZC27*$C$27</f>
        <v>2.4450406641072496E+16</v>
      </c>
      <c r="GZG27" s="613">
        <f t="shared" ref="GZG27" si="2717">GZE27*$C$27</f>
        <v>2.469491070748322E+16</v>
      </c>
      <c r="GZI27" s="613">
        <f t="shared" ref="GZI27" si="2718">GZG27*$C$27</f>
        <v>2.4941859814558052E+16</v>
      </c>
      <c r="GZK27" s="613">
        <f t="shared" ref="GZK27" si="2719">GZI27*$C$27</f>
        <v>2.5191278412703632E+16</v>
      </c>
      <c r="GZM27" s="613">
        <f t="shared" ref="GZM27" si="2720">GZK27*$C$27</f>
        <v>2.5443191196830668E+16</v>
      </c>
      <c r="GZO27" s="613">
        <f t="shared" ref="GZO27" si="2721">GZM27*$C$27</f>
        <v>2.5697623108798976E+16</v>
      </c>
      <c r="GZQ27" s="613">
        <f t="shared" ref="GZQ27" si="2722">GZO27*$C$27</f>
        <v>2.5954599339886964E+16</v>
      </c>
      <c r="GZS27" s="613">
        <f t="shared" ref="GZS27" si="2723">GZQ27*$C$27</f>
        <v>2.6214145333285832E+16</v>
      </c>
      <c r="GZU27" s="613">
        <f t="shared" ref="GZU27" si="2724">GZS27*$C$27</f>
        <v>2.6476286786618692E+16</v>
      </c>
      <c r="GZW27" s="613">
        <f t="shared" ref="GZW27" si="2725">GZU27*$C$27</f>
        <v>2.674104965448488E+16</v>
      </c>
      <c r="GZY27" s="613">
        <f t="shared" ref="GZY27" si="2726">GZW27*$C$27</f>
        <v>2.7008460151029728E+16</v>
      </c>
      <c r="HAA27" s="613">
        <f t="shared" ref="HAA27" si="2727">GZY27*$C$27</f>
        <v>2.7278544752540024E+16</v>
      </c>
      <c r="HAC27" s="613">
        <f t="shared" ref="HAC27" si="2728">HAA27*$C$27</f>
        <v>2.7551330200065424E+16</v>
      </c>
      <c r="HAE27" s="613">
        <f t="shared" ref="HAE27" si="2729">HAC27*$C$27</f>
        <v>2.782684350206608E+16</v>
      </c>
      <c r="HAG27" s="613">
        <f t="shared" ref="HAG27" si="2730">HAE27*$C$27</f>
        <v>2.810511193708674E+16</v>
      </c>
      <c r="HAI27" s="613">
        <f t="shared" ref="HAI27" si="2731">HAG27*$C$27</f>
        <v>2.8386163056457608E+16</v>
      </c>
      <c r="HAK27" s="613">
        <f t="shared" ref="HAK27" si="2732">HAI27*$C$27</f>
        <v>2.8670024687022184E+16</v>
      </c>
      <c r="HAM27" s="613">
        <f t="shared" ref="HAM27" si="2733">HAK27*$C$27</f>
        <v>2.8956724933892408E+16</v>
      </c>
      <c r="HAO27" s="613">
        <f t="shared" ref="HAO27" si="2734">HAM27*$C$27</f>
        <v>2.9246292183231332E+16</v>
      </c>
      <c r="HAQ27" s="613">
        <f t="shared" ref="HAQ27" si="2735">HAO27*$C$27</f>
        <v>2.9538755105063644E+16</v>
      </c>
      <c r="HAS27" s="613">
        <f t="shared" ref="HAS27" si="2736">HAQ27*$C$27</f>
        <v>2.983414265611428E+16</v>
      </c>
      <c r="HAU27" s="613">
        <f t="shared" ref="HAU27" si="2737">HAS27*$C$27</f>
        <v>3.0132484082675424E+16</v>
      </c>
      <c r="HAW27" s="613">
        <f t="shared" ref="HAW27" si="2738">HAU27*$C$27</f>
        <v>3.043380892350218E+16</v>
      </c>
      <c r="HAY27" s="613">
        <f t="shared" ref="HAY27" si="2739">HAW27*$C$27</f>
        <v>3.0738147012737204E+16</v>
      </c>
      <c r="HBA27" s="613">
        <f t="shared" ref="HBA27" si="2740">HAY27*$C$27</f>
        <v>3.1045528482864576E+16</v>
      </c>
      <c r="HBC27" s="613">
        <f t="shared" ref="HBC27" si="2741">HBA27*$C$27</f>
        <v>3.1355983767693224E+16</v>
      </c>
      <c r="HBE27" s="613">
        <f t="shared" ref="HBE27" si="2742">HBC27*$C$27</f>
        <v>3.1669543605370156E+16</v>
      </c>
      <c r="HBG27" s="613">
        <f t="shared" ref="HBG27" si="2743">HBE27*$C$27</f>
        <v>3.1986239041423856E+16</v>
      </c>
      <c r="HBI27" s="613">
        <f t="shared" ref="HBI27" si="2744">HBG27*$C$27</f>
        <v>3.2306101431838096E+16</v>
      </c>
      <c r="HBK27" s="613">
        <f t="shared" ref="HBK27" si="2745">HBI27*$C$27</f>
        <v>3.2629162446156476E+16</v>
      </c>
      <c r="HBM27" s="613">
        <f t="shared" ref="HBM27" si="2746">HBK27*$C$27</f>
        <v>3.295545407061804E+16</v>
      </c>
      <c r="HBO27" s="613">
        <f t="shared" ref="HBO27" si="2747">HBM27*$C$27</f>
        <v>3.328500861132422E+16</v>
      </c>
      <c r="HBQ27" s="613">
        <f t="shared" ref="HBQ27" si="2748">HBO27*$C$27</f>
        <v>3.3617858697437464E+16</v>
      </c>
      <c r="HBS27" s="613">
        <f t="shared" ref="HBS27" si="2749">HBQ27*$C$27</f>
        <v>3.395403728441184E+16</v>
      </c>
      <c r="HBU27" s="613">
        <f t="shared" ref="HBU27" si="2750">HBS27*$C$27</f>
        <v>3.429357765725596E+16</v>
      </c>
      <c r="HBW27" s="613">
        <f t="shared" ref="HBW27" si="2751">HBU27*$C$27</f>
        <v>3.463651343382852E+16</v>
      </c>
      <c r="HBY27" s="613">
        <f t="shared" ref="HBY27" si="2752">HBW27*$C$27</f>
        <v>3.4982878568166804E+16</v>
      </c>
      <c r="HCA27" s="613">
        <f t="shared" ref="HCA27" si="2753">HBY27*$C$27</f>
        <v>3.5332707353848472E+16</v>
      </c>
      <c r="HCC27" s="613">
        <f t="shared" ref="HCC27" si="2754">HCA27*$C$27</f>
        <v>3.5686034427386956E+16</v>
      </c>
      <c r="HCE27" s="613">
        <f t="shared" ref="HCE27" si="2755">HCC27*$C$27</f>
        <v>3.6042894771660824E+16</v>
      </c>
      <c r="HCG27" s="613">
        <f t="shared" ref="HCG27" si="2756">HCE27*$C$27</f>
        <v>3.6403323719377432E+16</v>
      </c>
      <c r="HCI27" s="613">
        <f t="shared" ref="HCI27" si="2757">HCG27*$C$27</f>
        <v>3.6767356956571208E+16</v>
      </c>
      <c r="HCK27" s="613">
        <f t="shared" ref="HCK27" si="2758">HCI27*$C$27</f>
        <v>3.713503052613692E+16</v>
      </c>
      <c r="HCM27" s="613">
        <f t="shared" ref="HCM27" si="2759">HCK27*$C$27</f>
        <v>3.7506380831398288E+16</v>
      </c>
      <c r="HCO27" s="613">
        <f t="shared" ref="HCO27" si="2760">HCM27*$C$27</f>
        <v>3.7881444639712272E+16</v>
      </c>
      <c r="HCQ27" s="613">
        <f t="shared" ref="HCQ27" si="2761">HCO27*$C$27</f>
        <v>3.8260259086109392E+16</v>
      </c>
      <c r="HCS27" s="613">
        <f t="shared" ref="HCS27" si="2762">HCQ27*$C$27</f>
        <v>3.8642861676970488E+16</v>
      </c>
      <c r="HCU27" s="613">
        <f t="shared" ref="HCU27" si="2763">HCS27*$C$27</f>
        <v>3.9029290293740192E+16</v>
      </c>
      <c r="HCW27" s="613">
        <f t="shared" ref="HCW27" si="2764">HCU27*$C$27</f>
        <v>3.9419583196677592E+16</v>
      </c>
      <c r="HCY27" s="613">
        <f t="shared" ref="HCY27" si="2765">HCW27*$C$27</f>
        <v>3.9813779028644368E+16</v>
      </c>
      <c r="HDA27" s="613">
        <f t="shared" ref="HDA27" si="2766">HCY27*$C$27</f>
        <v>4.0211916818930816E+16</v>
      </c>
      <c r="HDC27" s="613">
        <f t="shared" ref="HDC27" si="2767">HDA27*$C$27</f>
        <v>4.0614035987120128E+16</v>
      </c>
      <c r="HDE27" s="613">
        <f t="shared" ref="HDE27" si="2768">HDC27*$C$27</f>
        <v>4.1020176346991328E+16</v>
      </c>
      <c r="HDG27" s="613">
        <f t="shared" ref="HDG27" si="2769">HDE27*$C$27</f>
        <v>4.143037811046124E+16</v>
      </c>
      <c r="HDI27" s="613">
        <f t="shared" ref="HDI27" si="2770">HDG27*$C$27</f>
        <v>4.1844681891565856E+16</v>
      </c>
      <c r="HDK27" s="613">
        <f t="shared" ref="HDK27" si="2771">HDI27*$C$27</f>
        <v>4.2263128710481512E+16</v>
      </c>
      <c r="HDM27" s="613">
        <f t="shared" ref="HDM27" si="2772">HDK27*$C$27</f>
        <v>4.2685759997586328E+16</v>
      </c>
      <c r="HDO27" s="613">
        <f t="shared" ref="HDO27" si="2773">HDM27*$C$27</f>
        <v>4.3112617597562192E+16</v>
      </c>
      <c r="HDQ27" s="613">
        <f t="shared" ref="HDQ27" si="2774">HDO27*$C$27</f>
        <v>4.3543743773537816E+16</v>
      </c>
      <c r="HDS27" s="613">
        <f t="shared" ref="HDS27" si="2775">HDQ27*$C$27</f>
        <v>4.3979181211273192E+16</v>
      </c>
      <c r="HDU27" s="613">
        <f t="shared" ref="HDU27" si="2776">HDS27*$C$27</f>
        <v>4.4418973023385928E+16</v>
      </c>
      <c r="HDW27" s="613">
        <f t="shared" ref="HDW27" si="2777">HDU27*$C$27</f>
        <v>4.4863162753619784E+16</v>
      </c>
      <c r="HDY27" s="613">
        <f t="shared" ref="HDY27" si="2778">HDW27*$C$27</f>
        <v>4.5311794381155984E+16</v>
      </c>
      <c r="HEA27" s="613">
        <f t="shared" ref="HEA27" si="2779">HDY27*$C$27</f>
        <v>4.5764912324967544E+16</v>
      </c>
      <c r="HEC27" s="613">
        <f t="shared" ref="HEC27" si="2780">HEA27*$C$27</f>
        <v>4.6222561448217216E+16</v>
      </c>
      <c r="HEE27" s="613">
        <f t="shared" ref="HEE27" si="2781">HEC27*$C$27</f>
        <v>4.6684787062699392E+16</v>
      </c>
      <c r="HEG27" s="613">
        <f t="shared" ref="HEG27" si="2782">HEE27*$C$27</f>
        <v>4.7151634933326384E+16</v>
      </c>
      <c r="HEI27" s="613">
        <f t="shared" ref="HEI27" si="2783">HEG27*$C$27</f>
        <v>4.7623151282659648E+16</v>
      </c>
      <c r="HEK27" s="613">
        <f t="shared" ref="HEK27" si="2784">HEI27*$C$27</f>
        <v>4.8099382795486248E+16</v>
      </c>
      <c r="HEM27" s="613">
        <f t="shared" ref="HEM27" si="2785">HEK27*$C$27</f>
        <v>4.8580376623441112E+16</v>
      </c>
      <c r="HEO27" s="613">
        <f t="shared" ref="HEO27" si="2786">HEM27*$C$27</f>
        <v>4.906618038967552E+16</v>
      </c>
      <c r="HEQ27" s="613">
        <f t="shared" ref="HEQ27" si="2787">HEO27*$C$27</f>
        <v>4.9556842193572272E+16</v>
      </c>
      <c r="HES27" s="613">
        <f t="shared" ref="HES27" si="2788">HEQ27*$C$27</f>
        <v>5.0052410615507992E+16</v>
      </c>
      <c r="HEU27" s="613">
        <f t="shared" ref="HEU27" si="2789">HES27*$C$27</f>
        <v>5.0552934721663072E+16</v>
      </c>
      <c r="HEW27" s="613">
        <f t="shared" ref="HEW27" si="2790">HEU27*$C$27</f>
        <v>5.1058464068879704E+16</v>
      </c>
      <c r="HEY27" s="613">
        <f t="shared" ref="HEY27" si="2791">HEW27*$C$27</f>
        <v>5.1569048709568504E+16</v>
      </c>
      <c r="HFA27" s="613">
        <f t="shared" ref="HFA27" si="2792">HEY27*$C$27</f>
        <v>5.2084739196664192E+16</v>
      </c>
      <c r="HFC27" s="613">
        <f t="shared" ref="HFC27" si="2793">HFA27*$C$27</f>
        <v>5.2605586588630832E+16</v>
      </c>
      <c r="HFE27" s="613">
        <f t="shared" ref="HFE27" si="2794">HFC27*$C$27</f>
        <v>5.3131642454517144E+16</v>
      </c>
      <c r="HFG27" s="613">
        <f t="shared" ref="HFG27" si="2795">HFE27*$C$27</f>
        <v>5.3662958879062312E+16</v>
      </c>
      <c r="HFI27" s="613">
        <f t="shared" ref="HFI27" si="2796">HFG27*$C$27</f>
        <v>5.4199588467852936E+16</v>
      </c>
      <c r="HFK27" s="613">
        <f t="shared" ref="HFK27" si="2797">HFI27*$C$27</f>
        <v>5.4741584352531464E+16</v>
      </c>
      <c r="HFM27" s="613">
        <f t="shared" ref="HFM27" si="2798">HFK27*$C$27</f>
        <v>5.5289000196056776E+16</v>
      </c>
      <c r="HFO27" s="613">
        <f t="shared" ref="HFO27" si="2799">HFM27*$C$27</f>
        <v>5.5841890198017344E+16</v>
      </c>
      <c r="HFQ27" s="613">
        <f t="shared" ref="HFQ27" si="2800">HFO27*$C$27</f>
        <v>5.640030909999752E+16</v>
      </c>
      <c r="HFS27" s="613">
        <f t="shared" ref="HFS27" si="2801">HFQ27*$C$27</f>
        <v>5.6964312190997496E+16</v>
      </c>
      <c r="HFU27" s="613">
        <f t="shared" ref="HFU27" si="2802">HFS27*$C$27</f>
        <v>5.7533955312907472E+16</v>
      </c>
      <c r="HFW27" s="613">
        <f t="shared" ref="HFW27" si="2803">HFU27*$C$27</f>
        <v>5.8109294866036544E+16</v>
      </c>
      <c r="HFY27" s="613">
        <f t="shared" ref="HFY27" si="2804">HFW27*$C$27</f>
        <v>5.8690387814696912E+16</v>
      </c>
      <c r="HGA27" s="613">
        <f t="shared" ref="HGA27" si="2805">HFY27*$C$27</f>
        <v>5.927729169284388E+16</v>
      </c>
      <c r="HGC27" s="613">
        <f t="shared" ref="HGC27" si="2806">HGA27*$C$27</f>
        <v>5.987006460977232E+16</v>
      </c>
      <c r="HGE27" s="613">
        <f t="shared" ref="HGE27" si="2807">HGC27*$C$27</f>
        <v>6.046876525587004E+16</v>
      </c>
      <c r="HGG27" s="613">
        <f t="shared" ref="HGG27" si="2808">HGE27*$C$27</f>
        <v>6.1073452908428744E+16</v>
      </c>
      <c r="HGI27" s="613">
        <f t="shared" ref="HGI27" si="2809">HGG27*$C$27</f>
        <v>6.1684187437513032E+16</v>
      </c>
      <c r="HGK27" s="613">
        <f t="shared" ref="HGK27" si="2810">HGI27*$C$27</f>
        <v>6.230102931188816E+16</v>
      </c>
      <c r="HGM27" s="613">
        <f t="shared" ref="HGM27" si="2811">HGK27*$C$27</f>
        <v>6.292403960500704E+16</v>
      </c>
      <c r="HGO27" s="613">
        <f t="shared" ref="HGO27" si="2812">HGM27*$C$27</f>
        <v>6.3553280001057112E+16</v>
      </c>
      <c r="HGQ27" s="613">
        <f t="shared" ref="HGQ27" si="2813">HGO27*$C$27</f>
        <v>6.418881280106768E+16</v>
      </c>
      <c r="HGS27" s="613">
        <f t="shared" ref="HGS27" si="2814">HGQ27*$C$27</f>
        <v>6.483070092907836E+16</v>
      </c>
      <c r="HGU27" s="613">
        <f t="shared" ref="HGU27" si="2815">HGS27*$C$27</f>
        <v>6.5479007938369144E+16</v>
      </c>
      <c r="HGW27" s="613">
        <f t="shared" ref="HGW27" si="2816">HGU27*$C$27</f>
        <v>6.613379801775284E+16</v>
      </c>
      <c r="HGY27" s="613">
        <f t="shared" ref="HGY27" si="2817">HGW27*$C$27</f>
        <v>6.6795135997930368E+16</v>
      </c>
      <c r="HHA27" s="613">
        <f t="shared" ref="HHA27" si="2818">HGY27*$C$27</f>
        <v>6.7463087357909672E+16</v>
      </c>
      <c r="HHC27" s="613">
        <f t="shared" ref="HHC27" si="2819">HHA27*$C$27</f>
        <v>6.8137718231488768E+16</v>
      </c>
      <c r="HHE27" s="613">
        <f t="shared" ref="HHE27" si="2820">HHC27*$C$27</f>
        <v>6.8819095413803656E+16</v>
      </c>
      <c r="HHG27" s="613">
        <f t="shared" ref="HHG27" si="2821">HHE27*$C$27</f>
        <v>6.9507286367941696E+16</v>
      </c>
      <c r="HHI27" s="613">
        <f t="shared" ref="HHI27" si="2822">HHG27*$C$27</f>
        <v>7.0202359231621112E+16</v>
      </c>
      <c r="HHK27" s="613">
        <f t="shared" ref="HHK27" si="2823">HHI27*$C$27</f>
        <v>7.090438282393732E+16</v>
      </c>
      <c r="HHM27" s="613">
        <f t="shared" ref="HHM27" si="2824">HHK27*$C$27</f>
        <v>7.1613426652176696E+16</v>
      </c>
      <c r="HHO27" s="613">
        <f t="shared" ref="HHO27" si="2825">HHM27*$C$27</f>
        <v>7.2329560918698464E+16</v>
      </c>
      <c r="HHQ27" s="613">
        <f t="shared" ref="HHQ27" si="2826">HHO27*$C$27</f>
        <v>7.3052856527885456E+16</v>
      </c>
      <c r="HHS27" s="613">
        <f t="shared" ref="HHS27" si="2827">HHQ27*$C$27</f>
        <v>7.3783385093164304E+16</v>
      </c>
      <c r="HHU27" s="613">
        <f t="shared" ref="HHU27" si="2828">HHS27*$C$27</f>
        <v>7.4521218944095952E+16</v>
      </c>
      <c r="HHW27" s="613">
        <f t="shared" ref="HHW27" si="2829">HHU27*$C$27</f>
        <v>7.5266431133536912E+16</v>
      </c>
      <c r="HHY27" s="613">
        <f t="shared" ref="HHY27" si="2830">HHW27*$C$27</f>
        <v>7.6019095444872288E+16</v>
      </c>
      <c r="HIA27" s="613">
        <f t="shared" ref="HIA27" si="2831">HHY27*$C$27</f>
        <v>7.6779286399321008E+16</v>
      </c>
      <c r="HIC27" s="613">
        <f t="shared" ref="HIC27" si="2832">HIA27*$C$27</f>
        <v>7.7547079263314224E+16</v>
      </c>
      <c r="HIE27" s="613">
        <f t="shared" ref="HIE27" si="2833">HIC27*$C$27</f>
        <v>7.832255005594736E+16</v>
      </c>
      <c r="HIG27" s="613">
        <f t="shared" ref="HIG27" si="2834">HIE27*$C$27</f>
        <v>7.9105775556506832E+16</v>
      </c>
      <c r="HII27" s="613">
        <f t="shared" ref="HII27" si="2835">HIG27*$C$27</f>
        <v>7.9896833312071904E+16</v>
      </c>
      <c r="HIK27" s="613">
        <f t="shared" ref="HIK27" si="2836">HII27*$C$27</f>
        <v>8.0695801645192624E+16</v>
      </c>
      <c r="HIM27" s="613">
        <f t="shared" ref="HIM27" si="2837">HIK27*$C$27</f>
        <v>8.1502759661644544E+16</v>
      </c>
      <c r="HIO27" s="613">
        <f t="shared" ref="HIO27" si="2838">HIM27*$C$27</f>
        <v>8.2317787258260992E+16</v>
      </c>
      <c r="HIQ27" s="613">
        <f t="shared" ref="HIQ27" si="2839">HIO27*$C$27</f>
        <v>8.31409651308436E+16</v>
      </c>
      <c r="HIS27" s="613">
        <f t="shared" ref="HIS27" si="2840">HIQ27*$C$27</f>
        <v>8.3972374782152032E+16</v>
      </c>
      <c r="HIU27" s="613">
        <f t="shared" ref="HIU27" si="2841">HIS27*$C$27</f>
        <v>8.4812098529973552E+16</v>
      </c>
      <c r="HIW27" s="613">
        <f t="shared" ref="HIW27" si="2842">HIU27*$C$27</f>
        <v>8.5660219515273296E+16</v>
      </c>
      <c r="HIY27" s="613">
        <f t="shared" ref="HIY27" si="2843">HIW27*$C$27</f>
        <v>8.6516821710426032E+16</v>
      </c>
      <c r="HJA27" s="613">
        <f t="shared" ref="HJA27" si="2844">HIY27*$C$27</f>
        <v>8.7381989927530288E+16</v>
      </c>
      <c r="HJC27" s="613">
        <f t="shared" ref="HJC27" si="2845">HJA27*$C$27</f>
        <v>8.8255809826805584E+16</v>
      </c>
      <c r="HJE27" s="613">
        <f t="shared" ref="HJE27" si="2846">HJC27*$C$27</f>
        <v>8.9138367925073648E+16</v>
      </c>
      <c r="HJG27" s="613">
        <f t="shared" ref="HJG27" si="2847">HJE27*$C$27</f>
        <v>9.0029751604324384E+16</v>
      </c>
      <c r="HJI27" s="613">
        <f t="shared" ref="HJI27" si="2848">HJG27*$C$27</f>
        <v>9.0930049120367632E+16</v>
      </c>
      <c r="HJK27" s="613">
        <f t="shared" ref="HJK27" si="2849">HJI27*$C$27</f>
        <v>9.1839349611571312E+16</v>
      </c>
      <c r="HJM27" s="613">
        <f t="shared" ref="HJM27" si="2850">HJK27*$C$27</f>
        <v>9.2757743107687024E+16</v>
      </c>
      <c r="HJO27" s="613">
        <f t="shared" ref="HJO27" si="2851">HJM27*$C$27</f>
        <v>9.3685320538763888E+16</v>
      </c>
      <c r="HJQ27" s="613">
        <f t="shared" ref="HJQ27" si="2852">HJO27*$C$27</f>
        <v>9.462217374415152E+16</v>
      </c>
      <c r="HJS27" s="613">
        <f t="shared" ref="HJS27" si="2853">HJQ27*$C$27</f>
        <v>9.556839548159304E+16</v>
      </c>
      <c r="HJU27" s="613">
        <f t="shared" ref="HJU27" si="2854">HJS27*$C$27</f>
        <v>9.6524079436408976E+16</v>
      </c>
      <c r="HJW27" s="613">
        <f t="shared" ref="HJW27" si="2855">HJU27*$C$27</f>
        <v>9.7489320230773072E+16</v>
      </c>
      <c r="HJY27" s="613">
        <f t="shared" ref="HJY27" si="2856">HJW27*$C$27</f>
        <v>9.84642134330808E+16</v>
      </c>
      <c r="HKA27" s="613">
        <f t="shared" ref="HKA27" si="2857">HJY27*$C$27</f>
        <v>9.9448855567411616E+16</v>
      </c>
      <c r="HKC27" s="613">
        <f t="shared" ref="HKC27" si="2858">HKA27*$C$27</f>
        <v>1.0044334412308573E+17</v>
      </c>
      <c r="HKE27" s="613">
        <f t="shared" ref="HKE27" si="2859">HKC27*$C$27</f>
        <v>1.0144777756431659E+17</v>
      </c>
      <c r="HKG27" s="613">
        <f t="shared" ref="HKG27" si="2860">HKE27*$C$27</f>
        <v>1.0246225533995976E+17</v>
      </c>
      <c r="HKI27" s="613">
        <f t="shared" ref="HKI27" si="2861">HKG27*$C$27</f>
        <v>1.0348687789335936E+17</v>
      </c>
      <c r="HKK27" s="613">
        <f t="shared" ref="HKK27" si="2862">HKI27*$C$27</f>
        <v>1.0452174667229296E+17</v>
      </c>
      <c r="HKM27" s="613">
        <f t="shared" ref="HKM27" si="2863">HKK27*$C$27</f>
        <v>1.0556696413901589E+17</v>
      </c>
      <c r="HKO27" s="613">
        <f t="shared" ref="HKO27" si="2864">HKM27*$C$27</f>
        <v>1.0662263378040605E+17</v>
      </c>
      <c r="HKQ27" s="613">
        <f t="shared" ref="HKQ27" si="2865">HKO27*$C$27</f>
        <v>1.0768886011821011E+17</v>
      </c>
      <c r="HKS27" s="613">
        <f t="shared" ref="HKS27" si="2866">HKQ27*$C$27</f>
        <v>1.0876574871939221E+17</v>
      </c>
      <c r="HKU27" s="613">
        <f t="shared" ref="HKU27" si="2867">HKS27*$C$27</f>
        <v>1.0985340620658613E+17</v>
      </c>
      <c r="HKW27" s="613">
        <f t="shared" ref="HKW27" si="2868">HKU27*$C$27</f>
        <v>1.1095194026865198E+17</v>
      </c>
      <c r="HKY27" s="613">
        <f t="shared" ref="HKY27" si="2869">HKW27*$C$27</f>
        <v>1.1206145967133851E+17</v>
      </c>
      <c r="HLA27" s="613">
        <f t="shared" ref="HLA27" si="2870">HKY27*$C$27</f>
        <v>1.131820742680519E+17</v>
      </c>
      <c r="HLC27" s="613">
        <f t="shared" ref="HLC27" si="2871">HLA27*$C$27</f>
        <v>1.1431389501073243E+17</v>
      </c>
      <c r="HLE27" s="613">
        <f t="shared" ref="HLE27" si="2872">HLC27*$C$27</f>
        <v>1.1545703396083976E+17</v>
      </c>
      <c r="HLG27" s="613">
        <f t="shared" ref="HLG27" si="2873">HLE27*$C$27</f>
        <v>1.1661160430044816E+17</v>
      </c>
      <c r="HLI27" s="613">
        <f t="shared" ref="HLI27" si="2874">HLG27*$C$27</f>
        <v>1.1777772034345264E+17</v>
      </c>
      <c r="HLK27" s="613">
        <f t="shared" ref="HLK27" si="2875">HLI27*$C$27</f>
        <v>1.1895549754688717E+17</v>
      </c>
      <c r="HLM27" s="613">
        <f t="shared" ref="HLM27" si="2876">HLK27*$C$27</f>
        <v>1.2014505252235605E+17</v>
      </c>
      <c r="HLO27" s="613">
        <f t="shared" ref="HLO27" si="2877">HLM27*$C$27</f>
        <v>1.2134650304757962E+17</v>
      </c>
      <c r="HLQ27" s="613">
        <f t="shared" ref="HLQ27" si="2878">HLO27*$C$27</f>
        <v>1.2255996807805541E+17</v>
      </c>
      <c r="HLS27" s="613">
        <f t="shared" ref="HLS27" si="2879">HLQ27*$C$27</f>
        <v>1.2378556775883597E+17</v>
      </c>
      <c r="HLU27" s="613">
        <f t="shared" ref="HLU27" si="2880">HLS27*$C$27</f>
        <v>1.2502342343642434E+17</v>
      </c>
      <c r="HLW27" s="613">
        <f t="shared" ref="HLW27" si="2881">HLU27*$C$27</f>
        <v>1.2627365767078858E+17</v>
      </c>
      <c r="HLY27" s="613">
        <f t="shared" ref="HLY27" si="2882">HLW27*$C$27</f>
        <v>1.2753639424749646E+17</v>
      </c>
      <c r="HMA27" s="613">
        <f t="shared" ref="HMA27" si="2883">HLY27*$C$27</f>
        <v>1.2881175818997142E+17</v>
      </c>
      <c r="HMC27" s="613">
        <f t="shared" ref="HMC27" si="2884">HMA27*$C$27</f>
        <v>1.3009987577187114E+17</v>
      </c>
      <c r="HME27" s="613">
        <f t="shared" ref="HME27" si="2885">HMC27*$C$27</f>
        <v>1.3140087452958986E+17</v>
      </c>
      <c r="HMG27" s="613">
        <f t="shared" ref="HMG27" si="2886">HME27*$C$27</f>
        <v>1.3271488327488576E+17</v>
      </c>
      <c r="HMI27" s="613">
        <f t="shared" ref="HMI27" si="2887">HMG27*$C$27</f>
        <v>1.3404203210763462E+17</v>
      </c>
      <c r="HMK27" s="613">
        <f t="shared" ref="HMK27" si="2888">HMI27*$C$27</f>
        <v>1.3538245242871098E+17</v>
      </c>
      <c r="HMM27" s="613">
        <f t="shared" ref="HMM27" si="2889">HMK27*$C$27</f>
        <v>1.3673627695299808E+17</v>
      </c>
      <c r="HMO27" s="613">
        <f t="shared" ref="HMO27" si="2890">HMM27*$C$27</f>
        <v>1.3810363972252806E+17</v>
      </c>
      <c r="HMQ27" s="613">
        <f t="shared" ref="HMQ27" si="2891">HMO27*$C$27</f>
        <v>1.3948467611975334E+17</v>
      </c>
      <c r="HMS27" s="613">
        <f t="shared" ref="HMS27" si="2892">HMQ27*$C$27</f>
        <v>1.4087952288095088E+17</v>
      </c>
      <c r="HMU27" s="613">
        <f t="shared" ref="HMU27" si="2893">HMS27*$C$27</f>
        <v>1.4228831810976038E+17</v>
      </c>
      <c r="HMW27" s="613">
        <f t="shared" ref="HMW27" si="2894">HMU27*$C$27</f>
        <v>1.4371120129085798E+17</v>
      </c>
      <c r="HMY27" s="613">
        <f t="shared" ref="HMY27" si="2895">HMW27*$C$27</f>
        <v>1.4514831330376656E+17</v>
      </c>
      <c r="HNA27" s="613">
        <f t="shared" ref="HNA27" si="2896">HMY27*$C$27</f>
        <v>1.4659979643680422E+17</v>
      </c>
      <c r="HNC27" s="613">
        <f t="shared" ref="HNC27" si="2897">HNA27*$C$27</f>
        <v>1.4806579440117226E+17</v>
      </c>
      <c r="HNE27" s="613">
        <f t="shared" ref="HNE27" si="2898">HNC27*$C$27</f>
        <v>1.4954645234518397E+17</v>
      </c>
      <c r="HNG27" s="613">
        <f t="shared" ref="HNG27" si="2899">HNE27*$C$27</f>
        <v>1.5104191686863581E+17</v>
      </c>
      <c r="HNI27" s="613">
        <f t="shared" ref="HNI27" si="2900">HNG27*$C$27</f>
        <v>1.5255233603732218E+17</v>
      </c>
      <c r="HNK27" s="613">
        <f t="shared" ref="HNK27" si="2901">HNI27*$C$27</f>
        <v>1.5407785939769539E+17</v>
      </c>
      <c r="HNM27" s="613">
        <f t="shared" ref="HNM27" si="2902">HNK27*$C$27</f>
        <v>1.5561863799167235E+17</v>
      </c>
      <c r="HNO27" s="613">
        <f t="shared" ref="HNO27" si="2903">HNM27*$C$27</f>
        <v>1.5717482437158909E+17</v>
      </c>
      <c r="HNQ27" s="613">
        <f t="shared" ref="HNQ27" si="2904">HNO27*$C$27</f>
        <v>1.5874657261530499E+17</v>
      </c>
      <c r="HNS27" s="613">
        <f t="shared" ref="HNS27" si="2905">HNQ27*$C$27</f>
        <v>1.6033403834145805E+17</v>
      </c>
      <c r="HNU27" s="613">
        <f t="shared" ref="HNU27" si="2906">HNS27*$C$27</f>
        <v>1.6193737872487264E+17</v>
      </c>
      <c r="HNW27" s="613">
        <f t="shared" ref="HNW27" si="2907">HNU27*$C$27</f>
        <v>1.6355675251212138E+17</v>
      </c>
      <c r="HNY27" s="613">
        <f t="shared" ref="HNY27" si="2908">HNW27*$C$27</f>
        <v>1.6519232003724259E+17</v>
      </c>
      <c r="HOA27" s="613">
        <f t="shared" ref="HOA27" si="2909">HNY27*$C$27</f>
        <v>1.6684424323761501E+17</v>
      </c>
      <c r="HOC27" s="613">
        <f t="shared" ref="HOC27" si="2910">HOA27*$C$27</f>
        <v>1.6851268566999117E+17</v>
      </c>
      <c r="HOE27" s="613">
        <f t="shared" ref="HOE27" si="2911">HOC27*$C$27</f>
        <v>1.7019781252669107E+17</v>
      </c>
      <c r="HOG27" s="613">
        <f t="shared" ref="HOG27" si="2912">HOE27*$C$27</f>
        <v>1.7189979065195798E+17</v>
      </c>
      <c r="HOI27" s="613">
        <f t="shared" ref="HOI27" si="2913">HOG27*$C$27</f>
        <v>1.7361878855847757E+17</v>
      </c>
      <c r="HOK27" s="613">
        <f t="shared" ref="HOK27" si="2914">HOI27*$C$27</f>
        <v>1.7535497644406234E+17</v>
      </c>
      <c r="HOM27" s="613">
        <f t="shared" ref="HOM27" si="2915">HOK27*$C$27</f>
        <v>1.7710852620850298E+17</v>
      </c>
      <c r="HOO27" s="613">
        <f t="shared" ref="HOO27" si="2916">HOM27*$C$27</f>
        <v>1.78879611470588E+17</v>
      </c>
      <c r="HOQ27" s="613">
        <f t="shared" ref="HOQ27" si="2917">HOO27*$C$27</f>
        <v>1.8066840758529389E+17</v>
      </c>
      <c r="HOS27" s="613">
        <f t="shared" ref="HOS27" si="2918">HOQ27*$C$27</f>
        <v>1.8247509166114682E+17</v>
      </c>
      <c r="HOU27" s="613">
        <f t="shared" ref="HOU27" si="2919">HOS27*$C$27</f>
        <v>1.8429984257775827E+17</v>
      </c>
      <c r="HOW27" s="613">
        <f t="shared" ref="HOW27" si="2920">HOU27*$C$27</f>
        <v>1.8614284100353587E+17</v>
      </c>
      <c r="HOY27" s="613">
        <f t="shared" ref="HOY27" si="2921">HOW27*$C$27</f>
        <v>1.8800426941357123E+17</v>
      </c>
      <c r="HPA27" s="613">
        <f t="shared" ref="HPA27" si="2922">HOY27*$C$27</f>
        <v>1.8988431210770694E+17</v>
      </c>
      <c r="HPC27" s="613">
        <f t="shared" ref="HPC27" si="2923">HPA27*$C$27</f>
        <v>1.91783155228784E+17</v>
      </c>
      <c r="HPE27" s="613">
        <f t="shared" ref="HPE27" si="2924">HPC27*$C$27</f>
        <v>1.9370098678107184E+17</v>
      </c>
      <c r="HPG27" s="613">
        <f t="shared" ref="HPG27" si="2925">HPE27*$C$27</f>
        <v>1.9563799664888256E+17</v>
      </c>
      <c r="HPI27" s="613">
        <f t="shared" ref="HPI27" si="2926">HPG27*$C$27</f>
        <v>1.9759437661537139E+17</v>
      </c>
      <c r="HPK27" s="613">
        <f t="shared" ref="HPK27" si="2927">HPI27*$C$27</f>
        <v>1.9957032038152512E+17</v>
      </c>
      <c r="HPM27" s="613">
        <f t="shared" ref="HPM27" si="2928">HPK27*$C$27</f>
        <v>2.0156602358534038E+17</v>
      </c>
      <c r="HPO27" s="613">
        <f t="shared" ref="HPO27" si="2929">HPM27*$C$27</f>
        <v>2.0358168382119379E+17</v>
      </c>
      <c r="HPQ27" s="613">
        <f t="shared" ref="HPQ27" si="2930">HPO27*$C$27</f>
        <v>2.0561750065940573E+17</v>
      </c>
      <c r="HPS27" s="613">
        <f t="shared" ref="HPS27" si="2931">HPQ27*$C$27</f>
        <v>2.0767367566599978E+17</v>
      </c>
      <c r="HPU27" s="613">
        <f t="shared" ref="HPU27" si="2932">HPS27*$C$27</f>
        <v>2.0975041242265978E+17</v>
      </c>
      <c r="HPW27" s="613">
        <f t="shared" ref="HPW27" si="2933">HPU27*$C$27</f>
        <v>2.1184791654688637E+17</v>
      </c>
      <c r="HPY27" s="613">
        <f t="shared" ref="HPY27" si="2934">HPW27*$C$27</f>
        <v>2.1396639571235523E+17</v>
      </c>
      <c r="HQA27" s="613">
        <f t="shared" ref="HQA27" si="2935">HPY27*$C$27</f>
        <v>2.1610605966947878E+17</v>
      </c>
      <c r="HQC27" s="613">
        <f t="shared" ref="HQC27" si="2936">HQA27*$C$27</f>
        <v>2.1826712026617357E+17</v>
      </c>
      <c r="HQE27" s="613">
        <f t="shared" ref="HQE27" si="2937">HQC27*$C$27</f>
        <v>2.204497914688353E+17</v>
      </c>
      <c r="HQG27" s="613">
        <f t="shared" ref="HQG27" si="2938">HQE27*$C$27</f>
        <v>2.2265428938352365E+17</v>
      </c>
      <c r="HQI27" s="613">
        <f t="shared" ref="HQI27" si="2939">HQG27*$C$27</f>
        <v>2.2488083227735888E+17</v>
      </c>
      <c r="HQK27" s="613">
        <f t="shared" ref="HQK27" si="2940">HQI27*$C$27</f>
        <v>2.2712964060013248E+17</v>
      </c>
      <c r="HQM27" s="613">
        <f t="shared" ref="HQM27" si="2941">HQK27*$C$27</f>
        <v>2.2940093700613379E+17</v>
      </c>
      <c r="HQO27" s="613">
        <f t="shared" ref="HQO27" si="2942">HQM27*$C$27</f>
        <v>2.3169494637619514E+17</v>
      </c>
      <c r="HQQ27" s="613">
        <f t="shared" ref="HQQ27" si="2943">HQO27*$C$27</f>
        <v>2.3401189583995709E+17</v>
      </c>
      <c r="HQS27" s="613">
        <f t="shared" ref="HQS27" si="2944">HQQ27*$C$27</f>
        <v>2.3635201479835667E+17</v>
      </c>
      <c r="HQU27" s="613">
        <f t="shared" ref="HQU27" si="2945">HQS27*$C$27</f>
        <v>2.3871553494634026E+17</v>
      </c>
      <c r="HQW27" s="613">
        <f t="shared" ref="HQW27" si="2946">HQU27*$C$27</f>
        <v>2.4110269029580365E+17</v>
      </c>
      <c r="HQY27" s="613">
        <f t="shared" ref="HQY27" si="2947">HQW27*$C$27</f>
        <v>2.435137171987617E+17</v>
      </c>
      <c r="HRA27" s="613">
        <f t="shared" ref="HRA27" si="2948">HQY27*$C$27</f>
        <v>2.4594885437074931E+17</v>
      </c>
      <c r="HRC27" s="613">
        <f t="shared" ref="HRC27" si="2949">HRA27*$C$27</f>
        <v>2.484083429144568E+17</v>
      </c>
      <c r="HRE27" s="613">
        <f t="shared" ref="HRE27" si="2950">HRC27*$C$27</f>
        <v>2.5089242634360138E+17</v>
      </c>
      <c r="HRG27" s="613">
        <f t="shared" ref="HRG27" si="2951">HRE27*$C$27</f>
        <v>2.5340135060703738E+17</v>
      </c>
      <c r="HRI27" s="613">
        <f t="shared" ref="HRI27" si="2952">HRG27*$C$27</f>
        <v>2.5593536411310774E+17</v>
      </c>
      <c r="HRK27" s="613">
        <f t="shared" ref="HRK27" si="2953">HRI27*$C$27</f>
        <v>2.5849471775423882E+17</v>
      </c>
      <c r="HRM27" s="613">
        <f t="shared" ref="HRM27" si="2954">HRK27*$C$27</f>
        <v>2.6107966493178122E+17</v>
      </c>
      <c r="HRO27" s="613">
        <f t="shared" ref="HRO27" si="2955">HRM27*$C$27</f>
        <v>2.6369046158109904E+17</v>
      </c>
      <c r="HRQ27" s="613">
        <f t="shared" ref="HRQ27" si="2956">HRO27*$C$27</f>
        <v>2.6632736619691005E+17</v>
      </c>
      <c r="HRS27" s="613">
        <f t="shared" ref="HRS27" si="2957">HRQ27*$C$27</f>
        <v>2.6899063985887914E+17</v>
      </c>
      <c r="HRU27" s="613">
        <f t="shared" ref="HRU27" si="2958">HRS27*$C$27</f>
        <v>2.7168054625746794E+17</v>
      </c>
      <c r="HRW27" s="613">
        <f t="shared" ref="HRW27" si="2959">HRU27*$C$27</f>
        <v>2.7439735172004262E+17</v>
      </c>
      <c r="HRY27" s="613">
        <f t="shared" ref="HRY27" si="2960">HRW27*$C$27</f>
        <v>2.7714132523724304E+17</v>
      </c>
      <c r="HSA27" s="613">
        <f t="shared" ref="HSA27" si="2961">HRY27*$C$27</f>
        <v>2.7991273848961549E+17</v>
      </c>
      <c r="HSC27" s="613">
        <f t="shared" ref="HSC27" si="2962">HSA27*$C$27</f>
        <v>2.8271186587451165E+17</v>
      </c>
      <c r="HSE27" s="613">
        <f t="shared" ref="HSE27" si="2963">HSC27*$C$27</f>
        <v>2.8553898453325677E+17</v>
      </c>
      <c r="HSG27" s="613">
        <f t="shared" ref="HSG27" si="2964">HSE27*$C$27</f>
        <v>2.8839437437858931E+17</v>
      </c>
      <c r="HSI27" s="613">
        <f t="shared" ref="HSI27" si="2965">HSG27*$C$27</f>
        <v>2.9127831812237523E+17</v>
      </c>
      <c r="HSK27" s="613">
        <f t="shared" ref="HSK27" si="2966">HSI27*$C$27</f>
        <v>2.9419110130359898E+17</v>
      </c>
      <c r="HSM27" s="613">
        <f t="shared" ref="HSM27" si="2967">HSK27*$C$27</f>
        <v>2.9713301231663494E+17</v>
      </c>
      <c r="HSO27" s="613">
        <f t="shared" ref="HSO27" si="2968">HSM27*$C$27</f>
        <v>3.0010434243980128E+17</v>
      </c>
      <c r="HSQ27" s="613">
        <f t="shared" ref="HSQ27" si="2969">HSO27*$C$27</f>
        <v>3.031053858641993E+17</v>
      </c>
      <c r="HSS27" s="613">
        <f t="shared" ref="HSS27" si="2970">HSQ27*$C$27</f>
        <v>3.0613643972284128E+17</v>
      </c>
      <c r="HSU27" s="613">
        <f t="shared" ref="HSU27" si="2971">HSS27*$C$27</f>
        <v>3.091978041200697E+17</v>
      </c>
      <c r="HSW27" s="613">
        <f t="shared" ref="HSW27" si="2972">HSU27*$C$27</f>
        <v>3.122897821612704E+17</v>
      </c>
      <c r="HSY27" s="613">
        <f t="shared" ref="HSY27" si="2973">HSW27*$C$27</f>
        <v>3.1541267998288314E+17</v>
      </c>
      <c r="HTA27" s="613">
        <f t="shared" ref="HTA27" si="2974">HSY27*$C$27</f>
        <v>3.18566806782712E+17</v>
      </c>
      <c r="HTC27" s="613">
        <f t="shared" ref="HTC27" si="2975">HTA27*$C$27</f>
        <v>3.2175247485053914E+17</v>
      </c>
      <c r="HTE27" s="613">
        <f t="shared" ref="HTE27" si="2976">HTC27*$C$27</f>
        <v>3.2496999959904454E+17</v>
      </c>
      <c r="HTG27" s="613">
        <f t="shared" ref="HTG27" si="2977">HTE27*$C$27</f>
        <v>3.2821969959503501E+17</v>
      </c>
      <c r="HTI27" s="613">
        <f t="shared" ref="HTI27" si="2978">HTG27*$C$27</f>
        <v>3.3150189659098534E+17</v>
      </c>
      <c r="HTK27" s="613">
        <f t="shared" ref="HTK27" si="2979">HTI27*$C$27</f>
        <v>3.3481691555689523E+17</v>
      </c>
      <c r="HTM27" s="613">
        <f t="shared" ref="HTM27" si="2980">HTK27*$C$27</f>
        <v>3.3816508471246419E+17</v>
      </c>
      <c r="HTO27" s="613">
        <f t="shared" ref="HTO27" si="2981">HTM27*$C$27</f>
        <v>3.4154673555958886E+17</v>
      </c>
      <c r="HTQ27" s="613">
        <f t="shared" ref="HTQ27" si="2982">HTO27*$C$27</f>
        <v>3.4496220291518477E+17</v>
      </c>
      <c r="HTS27" s="613">
        <f t="shared" ref="HTS27" si="2983">HTQ27*$C$27</f>
        <v>3.4841182494433664E+17</v>
      </c>
      <c r="HTU27" s="613">
        <f t="shared" ref="HTU27" si="2984">HTS27*$C$27</f>
        <v>3.5189594319378003E+17</v>
      </c>
      <c r="HTW27" s="613">
        <f t="shared" ref="HTW27" si="2985">HTU27*$C$27</f>
        <v>3.5541490262571782E+17</v>
      </c>
      <c r="HTY27" s="613">
        <f t="shared" ref="HTY27" si="2986">HTW27*$C$27</f>
        <v>3.5896905165197498E+17</v>
      </c>
      <c r="HUA27" s="613">
        <f t="shared" ref="HUA27" si="2987">HTY27*$C$27</f>
        <v>3.6255874216849472E+17</v>
      </c>
      <c r="HUC27" s="613">
        <f t="shared" ref="HUC27" si="2988">HUA27*$C$27</f>
        <v>3.6618432959017965E+17</v>
      </c>
      <c r="HUE27" s="613">
        <f t="shared" ref="HUE27" si="2989">HUC27*$C$27</f>
        <v>3.6984617288608147E+17</v>
      </c>
      <c r="HUG27" s="613">
        <f t="shared" ref="HUG27" si="2990">HUE27*$C$27</f>
        <v>3.7354463461494227E+17</v>
      </c>
      <c r="HUI27" s="613">
        <f t="shared" ref="HUI27" si="2991">HUG27*$C$27</f>
        <v>3.7728008096109171E+17</v>
      </c>
      <c r="HUK27" s="613">
        <f t="shared" ref="HUK27" si="2992">HUI27*$C$27</f>
        <v>3.8105288177070266E+17</v>
      </c>
      <c r="HUM27" s="613">
        <f t="shared" ref="HUM27" si="2993">HUK27*$C$27</f>
        <v>3.8486341058840966E+17</v>
      </c>
      <c r="HUO27" s="613">
        <f t="shared" ref="HUO27" si="2994">HUM27*$C$27</f>
        <v>3.8871204469429376E+17</v>
      </c>
      <c r="HUQ27" s="613">
        <f t="shared" ref="HUQ27" si="2995">HUO27*$C$27</f>
        <v>3.9259916514123667E+17</v>
      </c>
      <c r="HUS27" s="613">
        <f t="shared" ref="HUS27" si="2996">HUQ27*$C$27</f>
        <v>3.9652515679264902E+17</v>
      </c>
      <c r="HUU27" s="613">
        <f t="shared" ref="HUU27" si="2997">HUS27*$C$27</f>
        <v>4.0049040836057549E+17</v>
      </c>
      <c r="HUW27" s="613">
        <f t="shared" ref="HUW27" si="2998">HUU27*$C$27</f>
        <v>4.0449531244418125E+17</v>
      </c>
      <c r="HUY27" s="613">
        <f t="shared" ref="HUY27" si="2999">HUW27*$C$27</f>
        <v>4.0854026556862304E+17</v>
      </c>
      <c r="HVA27" s="613">
        <f t="shared" ref="HVA27" si="3000">HUY27*$C$27</f>
        <v>4.1262566822430925E+17</v>
      </c>
      <c r="HVC27" s="613">
        <f t="shared" ref="HVC27" si="3001">HVA27*$C$27</f>
        <v>4.1675192490655232E+17</v>
      </c>
      <c r="HVE27" s="613">
        <f t="shared" ref="HVE27" si="3002">HVC27*$C$27</f>
        <v>4.2091944415561786E+17</v>
      </c>
      <c r="HVG27" s="613">
        <f t="shared" ref="HVG27" si="3003">HVE27*$C$27</f>
        <v>4.2512863859717402E+17</v>
      </c>
      <c r="HVI27" s="613">
        <f t="shared" ref="HVI27" si="3004">HVG27*$C$27</f>
        <v>4.2937992498314573E+17</v>
      </c>
      <c r="HVK27" s="613">
        <f t="shared" ref="HVK27" si="3005">HVI27*$C$27</f>
        <v>4.3367372423297722E+17</v>
      </c>
      <c r="HVM27" s="613">
        <f t="shared" ref="HVM27" si="3006">HVK27*$C$27</f>
        <v>4.3801046147530701E+17</v>
      </c>
      <c r="HVO27" s="613">
        <f t="shared" ref="HVO27" si="3007">HVM27*$C$27</f>
        <v>4.423905660900601E+17</v>
      </c>
      <c r="HVQ27" s="613">
        <f t="shared" ref="HVQ27" si="3008">HVO27*$C$27</f>
        <v>4.468144717509607E+17</v>
      </c>
      <c r="HVS27" s="613">
        <f t="shared" ref="HVS27" si="3009">HVQ27*$C$27</f>
        <v>4.5128261646847034E+17</v>
      </c>
      <c r="HVU27" s="613">
        <f t="shared" ref="HVU27" si="3010">HVS27*$C$27</f>
        <v>4.5579544263315507E+17</v>
      </c>
      <c r="HVW27" s="613">
        <f t="shared" ref="HVW27" si="3011">HVU27*$C$27</f>
        <v>4.6035339705948666E+17</v>
      </c>
      <c r="HVY27" s="613">
        <f t="shared" ref="HVY27" si="3012">HVW27*$C$27</f>
        <v>4.6495693103008154E+17</v>
      </c>
      <c r="HWA27" s="613">
        <f t="shared" ref="HWA27" si="3013">HVY27*$C$27</f>
        <v>4.6960650034038234E+17</v>
      </c>
      <c r="HWC27" s="613">
        <f t="shared" ref="HWC27" si="3014">HWA27*$C$27</f>
        <v>4.7430256534378618E+17</v>
      </c>
      <c r="HWE27" s="613">
        <f t="shared" ref="HWE27" si="3015">HWC27*$C$27</f>
        <v>4.7904559099722406E+17</v>
      </c>
      <c r="HWG27" s="613">
        <f t="shared" ref="HWG27" si="3016">HWE27*$C$27</f>
        <v>4.8383604690719629E+17</v>
      </c>
      <c r="HWI27" s="613">
        <f t="shared" ref="HWI27" si="3017">HWG27*$C$27</f>
        <v>4.8867440737626822E+17</v>
      </c>
      <c r="HWK27" s="613">
        <f t="shared" ref="HWK27" si="3018">HWI27*$C$27</f>
        <v>4.9356115145003091E+17</v>
      </c>
      <c r="HWM27" s="613">
        <f t="shared" ref="HWM27" si="3019">HWK27*$C$27</f>
        <v>4.984967629645312E+17</v>
      </c>
      <c r="HWO27" s="613">
        <f t="shared" ref="HWO27" si="3020">HWM27*$C$27</f>
        <v>5.0348173059417651E+17</v>
      </c>
      <c r="HWQ27" s="613">
        <f t="shared" ref="HWQ27" si="3021">HWO27*$C$27</f>
        <v>5.0851654790011827E+17</v>
      </c>
      <c r="HWS27" s="613">
        <f t="shared" ref="HWS27" si="3022">HWQ27*$C$27</f>
        <v>5.1360171337911949E+17</v>
      </c>
      <c r="HWU27" s="613">
        <f t="shared" ref="HWU27" si="3023">HWS27*$C$27</f>
        <v>5.1873773051291066E+17</v>
      </c>
      <c r="HWW27" s="613">
        <f t="shared" ref="HWW27" si="3024">HWU27*$C$27</f>
        <v>5.2392510781803974E+17</v>
      </c>
      <c r="HWY27" s="613">
        <f t="shared" ref="HWY27" si="3025">HWW27*$C$27</f>
        <v>5.2916435889622016E+17</v>
      </c>
      <c r="HXA27" s="613">
        <f t="shared" ref="HXA27" si="3026">HWY27*$C$27</f>
        <v>5.3445600248518234E+17</v>
      </c>
      <c r="HXC27" s="613">
        <f t="shared" ref="HXC27" si="3027">HXA27*$C$27</f>
        <v>5.3980056251003418E+17</v>
      </c>
      <c r="HXE27" s="613">
        <f t="shared" ref="HXE27" si="3028">HXC27*$C$27</f>
        <v>5.4519856813513453E+17</v>
      </c>
      <c r="HXG27" s="613">
        <f t="shared" ref="HXG27" si="3029">HXE27*$C$27</f>
        <v>5.5065055381648589E+17</v>
      </c>
      <c r="HXI27" s="613">
        <f t="shared" ref="HXI27" si="3030">HXG27*$C$27</f>
        <v>5.5615705935465075E+17</v>
      </c>
      <c r="HXK27" s="613">
        <f t="shared" ref="HXK27" si="3031">HXI27*$C$27</f>
        <v>5.6171862994819725E+17</v>
      </c>
      <c r="HXM27" s="613">
        <f t="shared" ref="HXM27" si="3032">HXK27*$C$27</f>
        <v>5.6733581624767923E+17</v>
      </c>
      <c r="HXO27" s="613">
        <f t="shared" ref="HXO27" si="3033">HXM27*$C$27</f>
        <v>5.7300917441015603E+17</v>
      </c>
      <c r="HXQ27" s="613">
        <f t="shared" ref="HXQ27" si="3034">HXO27*$C$27</f>
        <v>5.7873926615425754E+17</v>
      </c>
      <c r="HXS27" s="613">
        <f t="shared" ref="HXS27" si="3035">HXQ27*$C$27</f>
        <v>5.8452665881580006E+17</v>
      </c>
      <c r="HXU27" s="613">
        <f t="shared" ref="HXU27" si="3036">HXS27*$C$27</f>
        <v>5.9037192540395802E+17</v>
      </c>
      <c r="HXW27" s="613">
        <f t="shared" ref="HXW27" si="3037">HXU27*$C$27</f>
        <v>5.9627564465799757E+17</v>
      </c>
      <c r="HXY27" s="613">
        <f t="shared" ref="HXY27" si="3038">HXW27*$C$27</f>
        <v>6.0223840110457754E+17</v>
      </c>
      <c r="HYA27" s="613">
        <f t="shared" ref="HYA27" si="3039">HXY27*$C$27</f>
        <v>6.082607851156233E+17</v>
      </c>
      <c r="HYC27" s="613">
        <f t="shared" ref="HYC27" si="3040">HYA27*$C$27</f>
        <v>6.1434339296677952E+17</v>
      </c>
      <c r="HYE27" s="613">
        <f t="shared" ref="HYE27" si="3041">HYC27*$C$27</f>
        <v>6.2048682689644736E+17</v>
      </c>
      <c r="HYG27" s="613">
        <f t="shared" ref="HYG27" si="3042">HYE27*$C$27</f>
        <v>6.2669169516541184E+17</v>
      </c>
      <c r="HYI27" s="613">
        <f t="shared" ref="HYI27" si="3043">HYG27*$C$27</f>
        <v>6.3295861211706598E+17</v>
      </c>
      <c r="HYK27" s="613">
        <f t="shared" ref="HYK27" si="3044">HYI27*$C$27</f>
        <v>6.3928819823823667E+17</v>
      </c>
      <c r="HYM27" s="613">
        <f t="shared" ref="HYM27" si="3045">HYK27*$C$27</f>
        <v>6.4568108022061901E+17</v>
      </c>
      <c r="HYO27" s="613">
        <f t="shared" ref="HYO27" si="3046">HYM27*$C$27</f>
        <v>6.5213789102282522E+17</v>
      </c>
      <c r="HYQ27" s="613">
        <f t="shared" ref="HYQ27" si="3047">HYO27*$C$27</f>
        <v>6.5865926993305344E+17</v>
      </c>
      <c r="HYS27" s="613">
        <f t="shared" ref="HYS27" si="3048">HYQ27*$C$27</f>
        <v>6.65245862632384E+17</v>
      </c>
      <c r="HYU27" s="613">
        <f t="shared" ref="HYU27" si="3049">HYS27*$C$27</f>
        <v>6.7189832125870784E+17</v>
      </c>
      <c r="HYW27" s="613">
        <f t="shared" ref="HYW27" si="3050">HYU27*$C$27</f>
        <v>6.7861730447129498E+17</v>
      </c>
      <c r="HYY27" s="613">
        <f t="shared" ref="HYY27" si="3051">HYW27*$C$27</f>
        <v>6.8540347751600794E+17</v>
      </c>
      <c r="HZA27" s="613">
        <f t="shared" ref="HZA27" si="3052">HYY27*$C$27</f>
        <v>6.92257512291168E+17</v>
      </c>
      <c r="HZC27" s="613">
        <f t="shared" ref="HZC27" si="3053">HZA27*$C$27</f>
        <v>6.9918008741407974E+17</v>
      </c>
      <c r="HZE27" s="613">
        <f t="shared" ref="HZE27" si="3054">HZC27*$C$27</f>
        <v>7.0617188828822054E+17</v>
      </c>
      <c r="HZG27" s="613">
        <f t="shared" ref="HZG27" si="3055">HZE27*$C$27</f>
        <v>7.1323360717110272E+17</v>
      </c>
      <c r="HZI27" s="613">
        <f t="shared" ref="HZI27" si="3056">HZG27*$C$27</f>
        <v>7.203659432428137E+17</v>
      </c>
      <c r="HZK27" s="613">
        <f t="shared" ref="HZK27" si="3057">HZI27*$C$27</f>
        <v>7.2756960267524186E+17</v>
      </c>
      <c r="HZM27" s="613">
        <f t="shared" ref="HZM27" si="3058">HZK27*$C$27</f>
        <v>7.3484529870199424E+17</v>
      </c>
      <c r="HZO27" s="613">
        <f t="shared" ref="HZO27" si="3059">HZM27*$C$27</f>
        <v>7.4219375168901414E+17</v>
      </c>
      <c r="HZQ27" s="613">
        <f t="shared" ref="HZQ27" si="3060">HZO27*$C$27</f>
        <v>7.4961568920590426E+17</v>
      </c>
      <c r="HZS27" s="613">
        <f t="shared" ref="HZS27" si="3061">HZQ27*$C$27</f>
        <v>7.5711184609796326E+17</v>
      </c>
      <c r="HZU27" s="613">
        <f t="shared" ref="HZU27" si="3062">HZS27*$C$27</f>
        <v>7.6468296455894285E+17</v>
      </c>
      <c r="HZW27" s="613">
        <f t="shared" ref="HZW27" si="3063">HZU27*$C$27</f>
        <v>7.7232979420453222E+17</v>
      </c>
      <c r="HZY27" s="613">
        <f t="shared" ref="HZY27" si="3064">HZW27*$C$27</f>
        <v>7.8005309214657754E+17</v>
      </c>
      <c r="IAA27" s="613">
        <f t="shared" ref="IAA27" si="3065">HZY27*$C$27</f>
        <v>7.8785362306804326E+17</v>
      </c>
      <c r="IAC27" s="613">
        <f t="shared" ref="IAC27" si="3066">IAA27*$C$27</f>
        <v>7.9573215929872371E+17</v>
      </c>
      <c r="IAE27" s="613">
        <f t="shared" ref="IAE27" si="3067">IAC27*$C$27</f>
        <v>8.0368948089171098E+17</v>
      </c>
      <c r="IAG27" s="613">
        <f t="shared" ref="IAG27" si="3068">IAE27*$C$27</f>
        <v>8.117263757006281E+17</v>
      </c>
      <c r="IAI27" s="613">
        <f t="shared" ref="IAI27" si="3069">IAG27*$C$27</f>
        <v>8.1984363945763443E+17</v>
      </c>
      <c r="IAK27" s="613">
        <f t="shared" ref="IAK27" si="3070">IAI27*$C$27</f>
        <v>8.2804207585221082E+17</v>
      </c>
      <c r="IAM27" s="613">
        <f t="shared" ref="IAM27" si="3071">IAK27*$C$27</f>
        <v>8.3632249661073293E+17</v>
      </c>
      <c r="IAO27" s="613">
        <f t="shared" ref="IAO27" si="3072">IAM27*$C$27</f>
        <v>8.4468572157684032E+17</v>
      </c>
      <c r="IAQ27" s="613">
        <f t="shared" ref="IAQ27" si="3073">IAO27*$C$27</f>
        <v>8.5313257879260877E+17</v>
      </c>
      <c r="IAS27" s="613">
        <f t="shared" ref="IAS27" si="3074">IAQ27*$C$27</f>
        <v>8.6166390458053491E+17</v>
      </c>
      <c r="IAU27" s="613">
        <f t="shared" ref="IAU27" si="3075">IAS27*$C$27</f>
        <v>8.7028054362634022E+17</v>
      </c>
      <c r="IAW27" s="613">
        <f t="shared" ref="IAW27" si="3076">IAU27*$C$27</f>
        <v>8.7898334906260365E+17</v>
      </c>
      <c r="IAY27" s="613">
        <f t="shared" ref="IAY27" si="3077">IAW27*$C$27</f>
        <v>8.877731825532297E+17</v>
      </c>
      <c r="IBA27" s="613">
        <f t="shared" ref="IBA27" si="3078">IAY27*$C$27</f>
        <v>8.9665091437876198E+17</v>
      </c>
      <c r="IBC27" s="613">
        <f t="shared" ref="IBC27" si="3079">IBA27*$C$27</f>
        <v>9.0561742352254963E+17</v>
      </c>
      <c r="IBE27" s="613">
        <f t="shared" ref="IBE27" si="3080">IBC27*$C$27</f>
        <v>9.146735977577751E+17</v>
      </c>
      <c r="IBG27" s="613">
        <f t="shared" ref="IBG27" si="3081">IBE27*$C$27</f>
        <v>9.2382033373535283E+17</v>
      </c>
      <c r="IBI27" s="613">
        <f t="shared" ref="IBI27" si="3082">IBG27*$C$27</f>
        <v>9.3305853707270643E+17</v>
      </c>
      <c r="IBK27" s="613">
        <f t="shared" ref="IBK27" si="3083">IBI27*$C$27</f>
        <v>9.4238912244343347E+17</v>
      </c>
      <c r="IBM27" s="613">
        <f t="shared" ref="IBM27" si="3084">IBK27*$C$27</f>
        <v>9.5181301366786778E+17</v>
      </c>
      <c r="IBO27" s="613">
        <f t="shared" ref="IBO27" si="3085">IBM27*$C$27</f>
        <v>9.6133114380454643E+17</v>
      </c>
      <c r="IBQ27" s="613">
        <f t="shared" ref="IBQ27" si="3086">IBO27*$C$27</f>
        <v>9.7094445524259187E+17</v>
      </c>
      <c r="IBS27" s="613">
        <f t="shared" ref="IBS27" si="3087">IBQ27*$C$27</f>
        <v>9.8065389979501786E+17</v>
      </c>
      <c r="IBU27" s="613">
        <f t="shared" ref="IBU27" si="3088">IBS27*$C$27</f>
        <v>9.9046043879296806E+17</v>
      </c>
      <c r="IBW27" s="613">
        <f t="shared" ref="IBW27" si="3089">IBU27*$C$27</f>
        <v>1.0003650431808978E+18</v>
      </c>
      <c r="IBY27" s="613">
        <f t="shared" ref="IBY27" si="3090">IBW27*$C$27</f>
        <v>1.0103686936127068E+18</v>
      </c>
      <c r="ICA27" s="613">
        <f t="shared" ref="ICA27" si="3091">IBY27*$C$27</f>
        <v>1.0204723805488339E+18</v>
      </c>
      <c r="ICC27" s="613">
        <f t="shared" ref="ICC27" si="3092">ICA27*$C$27</f>
        <v>1.0306771043543223E+18</v>
      </c>
      <c r="ICE27" s="613">
        <f t="shared" ref="ICE27" si="3093">ICC27*$C$27</f>
        <v>1.0409838753978656E+18</v>
      </c>
      <c r="ICG27" s="613">
        <f t="shared" ref="ICG27" si="3094">ICE27*$C$27</f>
        <v>1.0513937141518442E+18</v>
      </c>
      <c r="ICI27" s="613">
        <f t="shared" ref="ICI27" si="3095">ICG27*$C$27</f>
        <v>1.0619076512933627E+18</v>
      </c>
      <c r="ICK27" s="613">
        <f t="shared" ref="ICK27" si="3096">ICI27*$C$27</f>
        <v>1.0725267278062963E+18</v>
      </c>
      <c r="ICM27" s="613">
        <f t="shared" ref="ICM27" si="3097">ICK27*$C$27</f>
        <v>1.0832519950843593E+18</v>
      </c>
      <c r="ICO27" s="613">
        <f t="shared" ref="ICO27" si="3098">ICM27*$C$27</f>
        <v>1.0940845150352029E+18</v>
      </c>
      <c r="ICQ27" s="613">
        <f t="shared" ref="ICQ27" si="3099">ICO27*$C$27</f>
        <v>1.1050253601855549E+18</v>
      </c>
      <c r="ICS27" s="613">
        <f t="shared" ref="ICS27" si="3100">ICQ27*$C$27</f>
        <v>1.1160756137874106E+18</v>
      </c>
      <c r="ICU27" s="613">
        <f t="shared" ref="ICU27" si="3101">ICS27*$C$27</f>
        <v>1.1272363699252847E+18</v>
      </c>
      <c r="ICW27" s="613">
        <f t="shared" ref="ICW27" si="3102">ICU27*$C$27</f>
        <v>1.1385087336245376E+18</v>
      </c>
      <c r="ICY27" s="613">
        <f t="shared" ref="ICY27" si="3103">ICW27*$C$27</f>
        <v>1.149893820960783E+18</v>
      </c>
      <c r="IDA27" s="613">
        <f t="shared" ref="IDA27" si="3104">ICY27*$C$27</f>
        <v>1.1613927591703908E+18</v>
      </c>
      <c r="IDC27" s="613">
        <f t="shared" ref="IDC27" si="3105">IDA27*$C$27</f>
        <v>1.1730066867620946E+18</v>
      </c>
      <c r="IDE27" s="613">
        <f t="shared" ref="IDE27" si="3106">IDC27*$C$27</f>
        <v>1.1847367536297155E+18</v>
      </c>
      <c r="IDG27" s="613">
        <f t="shared" ref="IDG27" si="3107">IDE27*$C$27</f>
        <v>1.1965841211660127E+18</v>
      </c>
      <c r="IDI27" s="613">
        <f t="shared" ref="IDI27" si="3108">IDG27*$C$27</f>
        <v>1.2085499623776727E+18</v>
      </c>
      <c r="IDK27" s="613">
        <f t="shared" ref="IDK27" si="3109">IDI27*$C$27</f>
        <v>1.2206354620014495E+18</v>
      </c>
      <c r="IDM27" s="613">
        <f t="shared" ref="IDM27" si="3110">IDK27*$C$27</f>
        <v>1.2328418166214641E+18</v>
      </c>
      <c r="IDO27" s="613">
        <f t="shared" ref="IDO27" si="3111">IDM27*$C$27</f>
        <v>1.2451702347876787E+18</v>
      </c>
      <c r="IDQ27" s="613">
        <f t="shared" ref="IDQ27" si="3112">IDO27*$C$27</f>
        <v>1.2576219371355556E+18</v>
      </c>
      <c r="IDS27" s="613">
        <f t="shared" ref="IDS27" si="3113">IDQ27*$C$27</f>
        <v>1.2701981565069112E+18</v>
      </c>
      <c r="IDU27" s="613">
        <f t="shared" ref="IDU27" si="3114">IDS27*$C$27</f>
        <v>1.2829001380719803E+18</v>
      </c>
      <c r="IDW27" s="613">
        <f t="shared" ref="IDW27" si="3115">IDU27*$C$27</f>
        <v>1.2957291394527002E+18</v>
      </c>
      <c r="IDY27" s="613">
        <f t="shared" ref="IDY27" si="3116">IDW27*$C$27</f>
        <v>1.3086864308472271E+18</v>
      </c>
      <c r="IEA27" s="613">
        <f t="shared" ref="IEA27" si="3117">IDY27*$C$27</f>
        <v>1.3217732951556995E+18</v>
      </c>
      <c r="IEC27" s="613">
        <f t="shared" ref="IEC27" si="3118">IEA27*$C$27</f>
        <v>1.3349910281072566E+18</v>
      </c>
      <c r="IEE27" s="613">
        <f t="shared" ref="IEE27" si="3119">IEC27*$C$27</f>
        <v>1.3483409383883292E+18</v>
      </c>
      <c r="IEG27" s="613">
        <f t="shared" ref="IEG27" si="3120">IEE27*$C$27</f>
        <v>1.3618243477722125E+18</v>
      </c>
      <c r="IEI27" s="613">
        <f t="shared" ref="IEI27" si="3121">IEG27*$C$27</f>
        <v>1.3754425912499346E+18</v>
      </c>
      <c r="IEK27" s="613">
        <f t="shared" ref="IEK27" si="3122">IEI27*$C$27</f>
        <v>1.389197017162434E+18</v>
      </c>
      <c r="IEM27" s="613">
        <f t="shared" ref="IEM27" si="3123">IEK27*$C$27</f>
        <v>1.4030889873340585E+18</v>
      </c>
      <c r="IEO27" s="613">
        <f t="shared" ref="IEO27" si="3124">IEM27*$C$27</f>
        <v>1.4171198772073992E+18</v>
      </c>
      <c r="IEQ27" s="613">
        <f t="shared" ref="IEQ27" si="3125">IEO27*$C$27</f>
        <v>1.4312910759794732E+18</v>
      </c>
      <c r="IES27" s="613">
        <f t="shared" ref="IES27" si="3126">IEQ27*$C$27</f>
        <v>1.4456039867392678E+18</v>
      </c>
      <c r="IEU27" s="613">
        <f t="shared" ref="IEU27" si="3127">IES27*$C$27</f>
        <v>1.4600600266066606E+18</v>
      </c>
      <c r="IEW27" s="613">
        <f t="shared" ref="IEW27" si="3128">IEU27*$C$27</f>
        <v>1.4746606268727273E+18</v>
      </c>
      <c r="IEY27" s="613">
        <f t="shared" ref="IEY27" si="3129">IEW27*$C$27</f>
        <v>1.4894072331414546E+18</v>
      </c>
      <c r="IFA27" s="613">
        <f t="shared" ref="IFA27" si="3130">IEY27*$C$27</f>
        <v>1.5043013054728691E+18</v>
      </c>
      <c r="IFC27" s="613">
        <f t="shared" ref="IFC27" si="3131">IFA27*$C$27</f>
        <v>1.5193443185275978E+18</v>
      </c>
      <c r="IFE27" s="613">
        <f t="shared" ref="IFE27" si="3132">IFC27*$C$27</f>
        <v>1.5345377617128737E+18</v>
      </c>
      <c r="IFG27" s="613">
        <f t="shared" ref="IFG27" si="3133">IFE27*$C$27</f>
        <v>1.5498831393300024E+18</v>
      </c>
      <c r="IFI27" s="613">
        <f t="shared" ref="IFI27" si="3134">IFG27*$C$27</f>
        <v>1.5653819707233024E+18</v>
      </c>
      <c r="IFK27" s="613">
        <f t="shared" ref="IFK27" si="3135">IFI27*$C$27</f>
        <v>1.5810357904305354E+18</v>
      </c>
      <c r="IFM27" s="613">
        <f t="shared" ref="IFM27" si="3136">IFK27*$C$27</f>
        <v>1.5968461483348408E+18</v>
      </c>
      <c r="IFO27" s="613">
        <f t="shared" ref="IFO27" si="3137">IFM27*$C$27</f>
        <v>1.6128146098181893E+18</v>
      </c>
      <c r="IFQ27" s="613">
        <f t="shared" ref="IFQ27" si="3138">IFO27*$C$27</f>
        <v>1.6289427559163712E+18</v>
      </c>
      <c r="IFS27" s="613">
        <f t="shared" ref="IFS27" si="3139">IFQ27*$C$27</f>
        <v>1.6452321834755348E+18</v>
      </c>
      <c r="IFU27" s="613">
        <f t="shared" ref="IFU27" si="3140">IFS27*$C$27</f>
        <v>1.6616845053102902E+18</v>
      </c>
      <c r="IFW27" s="613">
        <f t="shared" ref="IFW27" si="3141">IFU27*$C$27</f>
        <v>1.678301350363393E+18</v>
      </c>
      <c r="IFY27" s="613">
        <f t="shared" ref="IFY27" si="3142">IFW27*$C$27</f>
        <v>1.6950843638670269E+18</v>
      </c>
      <c r="IGA27" s="613">
        <f t="shared" ref="IGA27" si="3143">IFY27*$C$27</f>
        <v>1.7120352075056973E+18</v>
      </c>
      <c r="IGC27" s="613">
        <f t="shared" ref="IGC27" si="3144">IGA27*$C$27</f>
        <v>1.7291555595807542E+18</v>
      </c>
      <c r="IGE27" s="613">
        <f t="shared" ref="IGE27" si="3145">IGC27*$C$27</f>
        <v>1.7464471151765617E+18</v>
      </c>
      <c r="IGG27" s="613">
        <f t="shared" ref="IGG27" si="3146">IGE27*$C$27</f>
        <v>1.7639115863283274E+18</v>
      </c>
      <c r="IGI27" s="613">
        <f t="shared" ref="IGI27" si="3147">IGG27*$C$27</f>
        <v>1.7815507021916106E+18</v>
      </c>
      <c r="IGK27" s="613">
        <f t="shared" ref="IGK27" si="3148">IGI27*$C$27</f>
        <v>1.7993662092135268E+18</v>
      </c>
      <c r="IGM27" s="613">
        <f t="shared" ref="IGM27" si="3149">IGK27*$C$27</f>
        <v>1.817359871305662E+18</v>
      </c>
      <c r="IGO27" s="613">
        <f t="shared" ref="IGO27" si="3150">IGM27*$C$27</f>
        <v>1.8355334700187185E+18</v>
      </c>
      <c r="IGQ27" s="613">
        <f t="shared" ref="IGQ27" si="3151">IGO27*$C$27</f>
        <v>1.8538888047189056E+18</v>
      </c>
      <c r="IGS27" s="613">
        <f t="shared" ref="IGS27" si="3152">IGQ27*$C$27</f>
        <v>1.8724276927660946E+18</v>
      </c>
      <c r="IGU27" s="613">
        <f t="shared" ref="IGU27" si="3153">IGS27*$C$27</f>
        <v>1.8911519696937556E+18</v>
      </c>
      <c r="IGW27" s="613">
        <f t="shared" ref="IGW27" si="3154">IGU27*$C$27</f>
        <v>1.9100634893906931E+18</v>
      </c>
      <c r="IGY27" s="613">
        <f t="shared" ref="IGY27" si="3155">IGW27*$C$27</f>
        <v>1.9291641242846001E+18</v>
      </c>
      <c r="IHA27" s="613">
        <f t="shared" ref="IHA27" si="3156">IGY27*$C$27</f>
        <v>1.948455765527446E+18</v>
      </c>
      <c r="IHC27" s="613">
        <f t="shared" ref="IHC27" si="3157">IHA27*$C$27</f>
        <v>1.9679403231827205E+18</v>
      </c>
      <c r="IHE27" s="613">
        <f t="shared" ref="IHE27" si="3158">IHC27*$C$27</f>
        <v>1.9876197264145477E+18</v>
      </c>
      <c r="IHG27" s="613">
        <f t="shared" ref="IHG27" si="3159">IHE27*$C$27</f>
        <v>2.0074959236786931E+18</v>
      </c>
      <c r="IHI27" s="613">
        <f t="shared" ref="IHI27" si="3160">IHG27*$C$27</f>
        <v>2.0275708829154801E+18</v>
      </c>
      <c r="IHK27" s="613">
        <f t="shared" ref="IHK27" si="3161">IHI27*$C$27</f>
        <v>2.0478465917446349E+18</v>
      </c>
      <c r="IHM27" s="613">
        <f t="shared" ref="IHM27" si="3162">IHK27*$C$27</f>
        <v>2.0683250576620813E+18</v>
      </c>
      <c r="IHO27" s="613">
        <f t="shared" ref="IHO27" si="3163">IHM27*$C$27</f>
        <v>2.0890083082387021E+18</v>
      </c>
      <c r="IHQ27" s="613">
        <f t="shared" ref="IHQ27" si="3164">IHO27*$C$27</f>
        <v>2.109898391321089E+18</v>
      </c>
      <c r="IHS27" s="613">
        <f t="shared" ref="IHS27" si="3165">IHQ27*$C$27</f>
        <v>2.1309973752342999E+18</v>
      </c>
      <c r="IHU27" s="613">
        <f t="shared" ref="IHU27" si="3166">IHS27*$C$27</f>
        <v>2.1523073489866429E+18</v>
      </c>
      <c r="IHW27" s="613">
        <f t="shared" ref="IHW27" si="3167">IHU27*$C$27</f>
        <v>2.1738304224765094E+18</v>
      </c>
      <c r="IHY27" s="613">
        <f t="shared" ref="IHY27" si="3168">IHW27*$C$27</f>
        <v>2.1955687267012746E+18</v>
      </c>
      <c r="IIA27" s="613">
        <f t="shared" ref="IIA27" si="3169">IHY27*$C$27</f>
        <v>2.2175244139682875E+18</v>
      </c>
      <c r="IIC27" s="613">
        <f t="shared" ref="IIC27" si="3170">IIA27*$C$27</f>
        <v>2.2396996581079703E+18</v>
      </c>
      <c r="IIE27" s="613">
        <f t="shared" ref="IIE27" si="3171">IIC27*$C$27</f>
        <v>2.2620966546890501E+18</v>
      </c>
      <c r="IIG27" s="613">
        <f t="shared" ref="IIG27" si="3172">IIE27*$C$27</f>
        <v>2.2847176212359406E+18</v>
      </c>
      <c r="III27" s="613">
        <f t="shared" ref="III27" si="3173">IIG27*$C$27</f>
        <v>2.3075647974483E+18</v>
      </c>
      <c r="IIK27" s="613">
        <f t="shared" ref="IIK27" si="3174">III27*$C$27</f>
        <v>2.330640445422783E+18</v>
      </c>
      <c r="IIM27" s="613">
        <f t="shared" ref="IIM27" si="3175">IIK27*$C$27</f>
        <v>2.3539468498770109E+18</v>
      </c>
      <c r="IIO27" s="613">
        <f t="shared" ref="IIO27" si="3176">IIM27*$C$27</f>
        <v>2.3774863183757809E+18</v>
      </c>
      <c r="IIQ27" s="613">
        <f t="shared" ref="IIQ27" si="3177">IIO27*$C$27</f>
        <v>2.4012611815595387E+18</v>
      </c>
      <c r="IIS27" s="613">
        <f t="shared" ref="IIS27" si="3178">IIQ27*$C$27</f>
        <v>2.4252737933751342E+18</v>
      </c>
      <c r="IIU27" s="613">
        <f t="shared" ref="IIU27" si="3179">IIS27*$C$27</f>
        <v>2.4495265313088855E+18</v>
      </c>
      <c r="IIW27" s="613">
        <f t="shared" ref="IIW27" si="3180">IIU27*$C$27</f>
        <v>2.4740217966219745E+18</v>
      </c>
      <c r="IIY27" s="613">
        <f t="shared" ref="IIY27" si="3181">IIW27*$C$27</f>
        <v>2.4987620145881943E+18</v>
      </c>
      <c r="IJA27" s="613">
        <f t="shared" ref="IJA27" si="3182">IIY27*$C$27</f>
        <v>2.5237496347340764E+18</v>
      </c>
      <c r="IJC27" s="613">
        <f t="shared" ref="IJC27" si="3183">IJA27*$C$27</f>
        <v>2.5489871310814172E+18</v>
      </c>
      <c r="IJE27" s="613">
        <f t="shared" ref="IJE27" si="3184">IJC27*$C$27</f>
        <v>2.5744770023922314E+18</v>
      </c>
      <c r="IJG27" s="613">
        <f t="shared" ref="IJG27" si="3185">IJE27*$C$27</f>
        <v>2.6002217724161536E+18</v>
      </c>
      <c r="IJI27" s="613">
        <f t="shared" ref="IJI27" si="3186">IJG27*$C$27</f>
        <v>2.6262239901403151E+18</v>
      </c>
      <c r="IJK27" s="613">
        <f t="shared" ref="IJK27" si="3187">IJI27*$C$27</f>
        <v>2.6524862300417183E+18</v>
      </c>
      <c r="IJM27" s="613">
        <f t="shared" ref="IJM27" si="3188">IJK27*$C$27</f>
        <v>2.6790110923421353E+18</v>
      </c>
      <c r="IJO27" s="613">
        <f t="shared" ref="IJO27" si="3189">IJM27*$C$27</f>
        <v>2.7058012032655565E+18</v>
      </c>
      <c r="IJQ27" s="613">
        <f t="shared" ref="IJQ27" si="3190">IJO27*$C$27</f>
        <v>2.7328592152982118E+18</v>
      </c>
      <c r="IJS27" s="613">
        <f t="shared" ref="IJS27" si="3191">IJQ27*$C$27</f>
        <v>2.7601878074511939E+18</v>
      </c>
      <c r="IJU27" s="613">
        <f t="shared" ref="IJU27" si="3192">IJS27*$C$27</f>
        <v>2.7877896855257057E+18</v>
      </c>
      <c r="IJW27" s="613">
        <f t="shared" ref="IJW27" si="3193">IJU27*$C$27</f>
        <v>2.8156675823809628E+18</v>
      </c>
      <c r="IJY27" s="613">
        <f t="shared" ref="IJY27" si="3194">IJW27*$C$27</f>
        <v>2.8438242582047724E+18</v>
      </c>
      <c r="IKA27" s="613">
        <f t="shared" ref="IKA27" si="3195">IJY27*$C$27</f>
        <v>2.8722625007868201E+18</v>
      </c>
      <c r="IKC27" s="613">
        <f t="shared" ref="IKC27" si="3196">IKA27*$C$27</f>
        <v>2.9009851257946885E+18</v>
      </c>
      <c r="IKE27" s="613">
        <f t="shared" ref="IKE27" si="3197">IKC27*$C$27</f>
        <v>2.9299949770526356E+18</v>
      </c>
      <c r="IKG27" s="613">
        <f t="shared" ref="IKG27" si="3198">IKE27*$C$27</f>
        <v>2.9592949268231619E+18</v>
      </c>
      <c r="IKI27" s="613">
        <f t="shared" ref="IKI27" si="3199">IKG27*$C$27</f>
        <v>2.9888878760913935E+18</v>
      </c>
      <c r="IKK27" s="613">
        <f t="shared" ref="IKK27" si="3200">IKI27*$C$27</f>
        <v>3.0187767548523075E+18</v>
      </c>
      <c r="IKM27" s="613">
        <f t="shared" ref="IKM27" si="3201">IKK27*$C$27</f>
        <v>3.0489645224008305E+18</v>
      </c>
      <c r="IKO27" s="613">
        <f t="shared" ref="IKO27" si="3202">IKM27*$C$27</f>
        <v>3.0794541676248387E+18</v>
      </c>
      <c r="IKQ27" s="613">
        <f t="shared" ref="IKQ27" si="3203">IKO27*$C$27</f>
        <v>3.1102487093010872E+18</v>
      </c>
      <c r="IKS27" s="613">
        <f t="shared" ref="IKS27" si="3204">IKQ27*$C$27</f>
        <v>3.1413511963940982E+18</v>
      </c>
      <c r="IKU27" s="613">
        <f t="shared" ref="IKU27" si="3205">IKS27*$C$27</f>
        <v>3.172764708358039E+18</v>
      </c>
      <c r="IKW27" s="613">
        <f t="shared" ref="IKW27" si="3206">IKU27*$C$27</f>
        <v>3.2044923554416195E+18</v>
      </c>
      <c r="IKY27" s="613">
        <f t="shared" ref="IKY27" si="3207">IKW27*$C$27</f>
        <v>3.2365372789960356E+18</v>
      </c>
      <c r="ILA27" s="613">
        <f t="shared" ref="ILA27" si="3208">IKY27*$C$27</f>
        <v>3.2689026517859958E+18</v>
      </c>
      <c r="ILC27" s="613">
        <f t="shared" ref="ILC27" si="3209">ILA27*$C$27</f>
        <v>3.3015916783038556E+18</v>
      </c>
      <c r="ILE27" s="613">
        <f t="shared" ref="ILE27" si="3210">ILC27*$C$27</f>
        <v>3.3346075950868941E+18</v>
      </c>
      <c r="ILG27" s="613">
        <f t="shared" ref="ILG27" si="3211">ILE27*$C$27</f>
        <v>3.3679536710377631E+18</v>
      </c>
      <c r="ILI27" s="613">
        <f t="shared" ref="ILI27" si="3212">ILG27*$C$27</f>
        <v>3.4016332077481405E+18</v>
      </c>
      <c r="ILK27" s="613">
        <f t="shared" ref="ILK27" si="3213">ILI27*$C$27</f>
        <v>3.435649539825622E+18</v>
      </c>
      <c r="ILM27" s="613">
        <f t="shared" ref="ILM27" si="3214">ILK27*$C$27</f>
        <v>3.4700060352238781E+18</v>
      </c>
      <c r="ILO27" s="613">
        <f t="shared" ref="ILO27" si="3215">ILM27*$C$27</f>
        <v>3.5047060955761167E+18</v>
      </c>
      <c r="ILQ27" s="613">
        <f t="shared" ref="ILQ27" si="3216">ILO27*$C$27</f>
        <v>3.5397531565318779E+18</v>
      </c>
      <c r="ILS27" s="613">
        <f t="shared" ref="ILS27" si="3217">ILQ27*$C$27</f>
        <v>3.5751506880971965E+18</v>
      </c>
      <c r="ILU27" s="613">
        <f t="shared" ref="ILU27" si="3218">ILS27*$C$27</f>
        <v>3.6109021949781683E+18</v>
      </c>
      <c r="ILW27" s="613">
        <f t="shared" ref="ILW27" si="3219">ILU27*$C$27</f>
        <v>3.6470112169279498E+18</v>
      </c>
      <c r="ILY27" s="613">
        <f t="shared" ref="ILY27" si="3220">ILW27*$C$27</f>
        <v>3.6834813290972293E+18</v>
      </c>
      <c r="IMA27" s="613">
        <f t="shared" ref="IMA27" si="3221">ILY27*$C$27</f>
        <v>3.7203161423882015E+18</v>
      </c>
      <c r="IMC27" s="613">
        <f t="shared" ref="IMC27" si="3222">IMA27*$C$27</f>
        <v>3.7575193038120837E+18</v>
      </c>
      <c r="IME27" s="613">
        <f t="shared" ref="IME27" si="3223">IMC27*$C$27</f>
        <v>3.7950944968502047E+18</v>
      </c>
      <c r="IMG27" s="613">
        <f t="shared" ref="IMG27" si="3224">IME27*$C$27</f>
        <v>3.8330454418187069E+18</v>
      </c>
      <c r="IMI27" s="613">
        <f t="shared" ref="IMI27" si="3225">IMG27*$C$27</f>
        <v>3.8713758962368942E+18</v>
      </c>
      <c r="IMK27" s="613">
        <f t="shared" ref="IMK27" si="3226">IMI27*$C$27</f>
        <v>3.9100896551992632E+18</v>
      </c>
      <c r="IMM27" s="613">
        <f t="shared" ref="IMM27" si="3227">IMK27*$C$27</f>
        <v>3.9491905517512561E+18</v>
      </c>
      <c r="IMO27" s="613">
        <f t="shared" ref="IMO27" si="3228">IMM27*$C$27</f>
        <v>3.9886824572687688E+18</v>
      </c>
      <c r="IMQ27" s="613">
        <f t="shared" ref="IMQ27" si="3229">IMO27*$C$27</f>
        <v>4.0285692818414566E+18</v>
      </c>
      <c r="IMS27" s="613">
        <f t="shared" ref="IMS27" si="3230">IMQ27*$C$27</f>
        <v>4.0688549746598712E+18</v>
      </c>
      <c r="IMU27" s="613">
        <f t="shared" ref="IMU27" si="3231">IMS27*$C$27</f>
        <v>4.1095435244064701E+18</v>
      </c>
      <c r="IMW27" s="613">
        <f t="shared" ref="IMW27" si="3232">IMU27*$C$27</f>
        <v>4.1506389596505349E+18</v>
      </c>
      <c r="IMY27" s="613">
        <f t="shared" ref="IMY27" si="3233">IMW27*$C$27</f>
        <v>4.1921453492470405E+18</v>
      </c>
      <c r="INA27" s="613">
        <f t="shared" ref="INA27" si="3234">IMY27*$C$27</f>
        <v>4.2340668027395108E+18</v>
      </c>
      <c r="INC27" s="613">
        <f t="shared" ref="INC27" si="3235">INA27*$C$27</f>
        <v>4.2764074707669059E+18</v>
      </c>
      <c r="INE27" s="613">
        <f t="shared" ref="INE27" si="3236">INC27*$C$27</f>
        <v>4.3191715454745748E+18</v>
      </c>
      <c r="ING27" s="613">
        <f t="shared" ref="ING27" si="3237">INE27*$C$27</f>
        <v>4.3623632609293204E+18</v>
      </c>
      <c r="INI27" s="613">
        <f t="shared" ref="INI27" si="3238">ING27*$C$27</f>
        <v>4.4059868935386138E+18</v>
      </c>
      <c r="INK27" s="613">
        <f t="shared" ref="INK27" si="3239">INI27*$C$27</f>
        <v>4.4500467624739999E+18</v>
      </c>
      <c r="INM27" s="613">
        <f t="shared" ref="INM27" si="3240">INK27*$C$27</f>
        <v>4.4945472300987397E+18</v>
      </c>
      <c r="INO27" s="613">
        <f t="shared" ref="INO27" si="3241">INM27*$C$27</f>
        <v>4.5394927023997271E+18</v>
      </c>
      <c r="INQ27" s="613">
        <f t="shared" ref="INQ27" si="3242">INO27*$C$27</f>
        <v>4.5848876294237245E+18</v>
      </c>
      <c r="INS27" s="613">
        <f t="shared" ref="INS27" si="3243">INQ27*$C$27</f>
        <v>4.6307365057179617E+18</v>
      </c>
      <c r="INU27" s="613">
        <f t="shared" ref="INU27" si="3244">INS27*$C$27</f>
        <v>4.6770438707751414E+18</v>
      </c>
      <c r="INW27" s="613">
        <f t="shared" ref="INW27" si="3245">INU27*$C$27</f>
        <v>4.7238143094828933E+18</v>
      </c>
      <c r="INY27" s="613">
        <f t="shared" ref="INY27" si="3246">INW27*$C$27</f>
        <v>4.7710524525777224E+18</v>
      </c>
      <c r="IOA27" s="613">
        <f t="shared" ref="IOA27" si="3247">INY27*$C$27</f>
        <v>4.8187629771034993E+18</v>
      </c>
      <c r="IOC27" s="613">
        <f t="shared" ref="IOC27" si="3248">IOA27*$C$27</f>
        <v>4.8669506068745339E+18</v>
      </c>
      <c r="IOE27" s="613">
        <f t="shared" ref="IOE27" si="3249">IOC27*$C$27</f>
        <v>4.9156201129432791E+18</v>
      </c>
      <c r="IOG27" s="613">
        <f t="shared" ref="IOG27" si="3250">IOE27*$C$27</f>
        <v>4.9647763140727122E+18</v>
      </c>
      <c r="IOI27" s="613">
        <f t="shared" ref="IOI27" si="3251">IOG27*$C$27</f>
        <v>5.014424077213439E+18</v>
      </c>
      <c r="IOK27" s="613">
        <f t="shared" ref="IOK27" si="3252">IOI27*$C$27</f>
        <v>5.0645683179855739E+18</v>
      </c>
      <c r="IOM27" s="613">
        <f t="shared" ref="IOM27" si="3253">IOK27*$C$27</f>
        <v>5.1152140011654298E+18</v>
      </c>
      <c r="IOO27" s="613">
        <f t="shared" ref="IOO27" si="3254">IOM27*$C$27</f>
        <v>5.1663661411770839E+18</v>
      </c>
      <c r="IOQ27" s="613">
        <f t="shared" ref="IOQ27" si="3255">IOO27*$C$27</f>
        <v>5.2180298025888553E+18</v>
      </c>
      <c r="IOS27" s="613">
        <f t="shared" ref="IOS27" si="3256">IOQ27*$C$27</f>
        <v>5.2702101006147441E+18</v>
      </c>
      <c r="IOU27" s="613">
        <f t="shared" ref="IOU27" si="3257">IOS27*$C$27</f>
        <v>5.3229122016208916E+18</v>
      </c>
      <c r="IOW27" s="613">
        <f t="shared" ref="IOW27" si="3258">IOU27*$C$27</f>
        <v>5.3761413236371005E+18</v>
      </c>
      <c r="IOY27" s="613">
        <f t="shared" ref="IOY27" si="3259">IOW27*$C$27</f>
        <v>5.429902736873472E+18</v>
      </c>
      <c r="IPA27" s="613">
        <f t="shared" ref="IPA27" si="3260">IOY27*$C$27</f>
        <v>5.4842017642422067E+18</v>
      </c>
      <c r="IPC27" s="613">
        <f t="shared" ref="IPC27" si="3261">IPA27*$C$27</f>
        <v>5.539043781884629E+18</v>
      </c>
      <c r="IPE27" s="613">
        <f t="shared" ref="IPE27" si="3262">IPC27*$C$27</f>
        <v>5.5944342197034752E+18</v>
      </c>
      <c r="IPG27" s="613">
        <f t="shared" ref="IPG27" si="3263">IPE27*$C$27</f>
        <v>5.6503785619005102E+18</v>
      </c>
      <c r="IPI27" s="613">
        <f t="shared" ref="IPI27" si="3264">IPG27*$C$27</f>
        <v>5.7068823475195156E+18</v>
      </c>
      <c r="IPK27" s="613">
        <f t="shared" ref="IPK27" si="3265">IPI27*$C$27</f>
        <v>5.7639511709947105E+18</v>
      </c>
      <c r="IPM27" s="613">
        <f t="shared" ref="IPM27" si="3266">IPK27*$C$27</f>
        <v>5.8215906827046574E+18</v>
      </c>
      <c r="IPO27" s="613">
        <f t="shared" ref="IPO27" si="3267">IPM27*$C$27</f>
        <v>5.8798065895317043E+18</v>
      </c>
      <c r="IPQ27" s="613">
        <f t="shared" ref="IPQ27" si="3268">IPO27*$C$27</f>
        <v>5.9386046554270218E+18</v>
      </c>
      <c r="IPS27" s="613">
        <f t="shared" ref="IPS27" si="3269">IPQ27*$C$27</f>
        <v>5.9979907019812925E+18</v>
      </c>
      <c r="IPU27" s="613">
        <f t="shared" ref="IPU27" si="3270">IPS27*$C$27</f>
        <v>6.0579706090011054E+18</v>
      </c>
      <c r="IPW27" s="613">
        <f t="shared" ref="IPW27" si="3271">IPU27*$C$27</f>
        <v>6.118550315091116E+18</v>
      </c>
      <c r="IPY27" s="613">
        <f t="shared" ref="IPY27" si="3272">IPW27*$C$27</f>
        <v>6.1797358182420275E+18</v>
      </c>
      <c r="IQA27" s="613">
        <f t="shared" ref="IQA27" si="3273">IPY27*$C$27</f>
        <v>6.241533176424448E+18</v>
      </c>
      <c r="IQC27" s="613">
        <f t="shared" ref="IQC27" si="3274">IQA27*$C$27</f>
        <v>6.3039485081886925E+18</v>
      </c>
      <c r="IQE27" s="613">
        <f t="shared" ref="IQE27" si="3275">IQC27*$C$27</f>
        <v>6.3669879932705792E+18</v>
      </c>
      <c r="IQG27" s="613">
        <f t="shared" ref="IQG27" si="3276">IQE27*$C$27</f>
        <v>6.430657873203285E+18</v>
      </c>
      <c r="IQI27" s="613">
        <f t="shared" ref="IQI27" si="3277">IQG27*$C$27</f>
        <v>6.494964451935318E+18</v>
      </c>
      <c r="IQK27" s="613">
        <f t="shared" ref="IQK27" si="3278">IQI27*$C$27</f>
        <v>6.5599140964546714E+18</v>
      </c>
      <c r="IQM27" s="613">
        <f t="shared" ref="IQM27" si="3279">IQK27*$C$27</f>
        <v>6.6255132374192179E+18</v>
      </c>
      <c r="IQO27" s="613">
        <f t="shared" ref="IQO27" si="3280">IQM27*$C$27</f>
        <v>6.69176836979341E+18</v>
      </c>
      <c r="IQQ27" s="613">
        <f t="shared" ref="IQQ27" si="3281">IQO27*$C$27</f>
        <v>6.7586860534913444E+18</v>
      </c>
      <c r="IQS27" s="613">
        <f t="shared" ref="IQS27" si="3282">IQQ27*$C$27</f>
        <v>6.8262729140262574E+18</v>
      </c>
      <c r="IQU27" s="613">
        <f t="shared" ref="IQU27" si="3283">IQS27*$C$27</f>
        <v>6.8945356431665203E+18</v>
      </c>
      <c r="IQW27" s="613">
        <f t="shared" ref="IQW27" si="3284">IQU27*$C$27</f>
        <v>6.9634809995981855E+18</v>
      </c>
      <c r="IQY27" s="613">
        <f t="shared" ref="IQY27" si="3285">IQW27*$C$27</f>
        <v>7.0331158095941673E+18</v>
      </c>
      <c r="IRA27" s="613">
        <f t="shared" ref="IRA27" si="3286">IQY27*$C$27</f>
        <v>7.1034469676901089E+18</v>
      </c>
      <c r="IRC27" s="613">
        <f t="shared" ref="IRC27" si="3287">IRA27*$C$27</f>
        <v>7.1744814373670103E+18</v>
      </c>
      <c r="IRE27" s="613">
        <f t="shared" ref="IRE27" si="3288">IRC27*$C$27</f>
        <v>7.2462262517406802E+18</v>
      </c>
      <c r="IRG27" s="613">
        <f t="shared" ref="IRG27" si="3289">IRE27*$C$27</f>
        <v>7.3186885142580869E+18</v>
      </c>
      <c r="IRI27" s="613">
        <f t="shared" ref="IRI27" si="3290">IRG27*$C$27</f>
        <v>7.3918753994006682E+18</v>
      </c>
      <c r="IRK27" s="613">
        <f t="shared" ref="IRK27" si="3291">IRI27*$C$27</f>
        <v>7.4657941533946747E+18</v>
      </c>
      <c r="IRM27" s="613">
        <f t="shared" ref="IRM27" si="3292">IRK27*$C$27</f>
        <v>7.5404520949286216E+18</v>
      </c>
      <c r="IRO27" s="613">
        <f t="shared" ref="IRO27" si="3293">IRM27*$C$27</f>
        <v>7.6158566158779075E+18</v>
      </c>
      <c r="IRQ27" s="613">
        <f t="shared" ref="IRQ27" si="3294">IRO27*$C$27</f>
        <v>7.6920151820366868E+18</v>
      </c>
      <c r="IRS27" s="613">
        <f t="shared" ref="IRS27" si="3295">IRQ27*$C$27</f>
        <v>7.7689353338570537E+18</v>
      </c>
      <c r="IRU27" s="613">
        <f t="shared" ref="IRU27" si="3296">IRS27*$C$27</f>
        <v>7.8466246871956244E+18</v>
      </c>
      <c r="IRW27" s="613">
        <f t="shared" ref="IRW27" si="3297">IRU27*$C$27</f>
        <v>7.9250909340675809E+18</v>
      </c>
      <c r="IRY27" s="613">
        <f t="shared" ref="IRY27" si="3298">IRW27*$C$27</f>
        <v>8.004341843408257E+18</v>
      </c>
      <c r="ISA27" s="613">
        <f t="shared" ref="ISA27" si="3299">IRY27*$C$27</f>
        <v>8.0843852618423398E+18</v>
      </c>
      <c r="ISC27" s="613">
        <f t="shared" ref="ISC27" si="3300">ISA27*$C$27</f>
        <v>8.1652291144607631E+18</v>
      </c>
      <c r="ISE27" s="613">
        <f t="shared" ref="ISE27" si="3301">ISC27*$C$27</f>
        <v>8.2468814056053709E+18</v>
      </c>
      <c r="ISG27" s="613">
        <f t="shared" ref="ISG27" si="3302">ISE27*$C$27</f>
        <v>8.3293502196614246E+18</v>
      </c>
      <c r="ISI27" s="613">
        <f t="shared" ref="ISI27" si="3303">ISG27*$C$27</f>
        <v>8.4126437218580388E+18</v>
      </c>
      <c r="ISK27" s="613">
        <f t="shared" ref="ISK27" si="3304">ISI27*$C$27</f>
        <v>8.4967701590766193E+18</v>
      </c>
      <c r="ISM27" s="613">
        <f t="shared" ref="ISM27" si="3305">ISK27*$C$27</f>
        <v>8.5817378606673859E+18</v>
      </c>
      <c r="ISO27" s="613">
        <f t="shared" ref="ISO27" si="3306">ISM27*$C$27</f>
        <v>8.6675552392740598E+18</v>
      </c>
      <c r="ISQ27" s="613">
        <f t="shared" ref="ISQ27" si="3307">ISO27*$C$27</f>
        <v>8.7542307916668006E+18</v>
      </c>
      <c r="ISS27" s="613">
        <f t="shared" ref="ISS27" si="3308">ISQ27*$C$27</f>
        <v>8.8417730995834685E+18</v>
      </c>
      <c r="ISU27" s="613">
        <f t="shared" ref="ISU27" si="3309">ISS27*$C$27</f>
        <v>8.9301908305793034E+18</v>
      </c>
      <c r="ISW27" s="613">
        <f t="shared" ref="ISW27" si="3310">ISU27*$C$27</f>
        <v>9.0194927388850964E+18</v>
      </c>
      <c r="ISY27" s="613">
        <f t="shared" ref="ISY27" si="3311">ISW27*$C$27</f>
        <v>9.1096876662739476E+18</v>
      </c>
      <c r="ITA27" s="613">
        <f t="shared" ref="ITA27" si="3312">ISY27*$C$27</f>
        <v>9.2007845429366876E+18</v>
      </c>
      <c r="ITC27" s="613">
        <f t="shared" ref="ITC27" si="3313">ITA27*$C$27</f>
        <v>9.2927923883660554E+18</v>
      </c>
      <c r="ITE27" s="613">
        <f t="shared" ref="ITE27" si="3314">ITC27*$C$27</f>
        <v>9.3857203122497167E+18</v>
      </c>
      <c r="ITG27" s="613">
        <f t="shared" ref="ITG27" si="3315">ITE27*$C$27</f>
        <v>9.4795775153722143E+18</v>
      </c>
      <c r="ITI27" s="613">
        <f t="shared" ref="ITI27" si="3316">ITG27*$C$27</f>
        <v>9.5743732905259356E+18</v>
      </c>
      <c r="ITK27" s="613">
        <f t="shared" ref="ITK27" si="3317">ITI27*$C$27</f>
        <v>9.6701170234311946E+18</v>
      </c>
      <c r="ITM27" s="613">
        <f t="shared" ref="ITM27" si="3318">ITK27*$C$27</f>
        <v>9.7668181936655073E+18</v>
      </c>
      <c r="ITO27" s="613">
        <f t="shared" ref="ITO27" si="3319">ITM27*$C$27</f>
        <v>9.8644863756021617E+18</v>
      </c>
      <c r="ITQ27" s="613">
        <f t="shared" ref="ITQ27" si="3320">ITO27*$C$27</f>
        <v>9.9631312393581834E+18</v>
      </c>
      <c r="ITS27" s="613">
        <f t="shared" ref="ITS27" si="3321">ITQ27*$C$27</f>
        <v>1.0062762551751766E+19</v>
      </c>
      <c r="ITU27" s="613">
        <f t="shared" ref="ITU27" si="3322">ITS27*$C$27</f>
        <v>1.0163390177269283E+19</v>
      </c>
      <c r="ITW27" s="613">
        <f t="shared" ref="ITW27" si="3323">ITU27*$C$27</f>
        <v>1.0265024079041976E+19</v>
      </c>
      <c r="ITY27" s="613">
        <f t="shared" ref="ITY27" si="3324">ITW27*$C$27</f>
        <v>1.0367674319832396E+19</v>
      </c>
      <c r="IUA27" s="613">
        <f t="shared" ref="IUA27" si="3325">ITY27*$C$27</f>
        <v>1.0471351063030721E+19</v>
      </c>
      <c r="IUC27" s="613">
        <f t="shared" ref="IUC27" si="3326">IUA27*$C$27</f>
        <v>1.0576064573661028E+19</v>
      </c>
      <c r="IUE27" s="613">
        <f t="shared" ref="IUE27" si="3327">IUC27*$C$27</f>
        <v>1.0681825219397638E+19</v>
      </c>
      <c r="IUG27" s="613">
        <f t="shared" ref="IUG27" si="3328">IUE27*$C$27</f>
        <v>1.0788643471591614E+19</v>
      </c>
      <c r="IUI27" s="613">
        <f t="shared" ref="IUI27" si="3329">IUG27*$C$27</f>
        <v>1.0896529906307531E+19</v>
      </c>
      <c r="IUK27" s="613">
        <f t="shared" ref="IUK27" si="3330">IUI27*$C$27</f>
        <v>1.1005495205370606E+19</v>
      </c>
      <c r="IUM27" s="613">
        <f t="shared" ref="IUM27" si="3331">IUK27*$C$27</f>
        <v>1.1115550157424312E+19</v>
      </c>
      <c r="IUO27" s="613">
        <f t="shared" ref="IUO27" si="3332">IUM27*$C$27</f>
        <v>1.1226705658998555E+19</v>
      </c>
      <c r="IUQ27" s="613">
        <f t="shared" ref="IUQ27" si="3333">IUO27*$C$27</f>
        <v>1.133897271558854E+19</v>
      </c>
      <c r="IUS27" s="613">
        <f t="shared" ref="IUS27" si="3334">IUQ27*$C$27</f>
        <v>1.1452362442744426E+19</v>
      </c>
      <c r="IUU27" s="613">
        <f t="shared" ref="IUU27" si="3335">IUS27*$C$27</f>
        <v>1.1566886067171871E+19</v>
      </c>
      <c r="IUW27" s="613">
        <f t="shared" ref="IUW27" si="3336">IUU27*$C$27</f>
        <v>1.168255492784359E+19</v>
      </c>
      <c r="IUY27" s="613">
        <f t="shared" ref="IUY27" si="3337">IUW27*$C$27</f>
        <v>1.1799380477122025E+19</v>
      </c>
      <c r="IVA27" s="613">
        <f t="shared" ref="IVA27" si="3338">IUY27*$C$27</f>
        <v>1.1917374281893245E+19</v>
      </c>
      <c r="IVC27" s="613">
        <f t="shared" ref="IVC27" si="3339">IVA27*$C$27</f>
        <v>1.2036548024712178E+19</v>
      </c>
      <c r="IVE27" s="613">
        <f t="shared" ref="IVE27" si="3340">IVC27*$C$27</f>
        <v>1.21569135049593E+19</v>
      </c>
      <c r="IVG27" s="613">
        <f t="shared" ref="IVG27" si="3341">IVE27*$C$27</f>
        <v>1.2278482640008892E+19</v>
      </c>
      <c r="IVI27" s="613">
        <f t="shared" ref="IVI27" si="3342">IVG27*$C$27</f>
        <v>1.240126746640898E+19</v>
      </c>
      <c r="IVK27" s="613">
        <f t="shared" ref="IVK27" si="3343">IVI27*$C$27</f>
        <v>1.252528014107307E+19</v>
      </c>
      <c r="IVM27" s="613">
        <f t="shared" ref="IVM27" si="3344">IVK27*$C$27</f>
        <v>1.26505329424838E+19</v>
      </c>
      <c r="IVO27" s="613">
        <f t="shared" ref="IVO27" si="3345">IVM27*$C$27</f>
        <v>1.2777038271908639E+19</v>
      </c>
      <c r="IVQ27" s="613">
        <f t="shared" ref="IVQ27" si="3346">IVO27*$C$27</f>
        <v>1.2904808654627725E+19</v>
      </c>
      <c r="IVS27" s="613">
        <f t="shared" ref="IVS27" si="3347">IVQ27*$C$27</f>
        <v>1.3033856741174002E+19</v>
      </c>
      <c r="IVU27" s="613">
        <f t="shared" ref="IVU27" si="3348">IVS27*$C$27</f>
        <v>1.3164195308585742E+19</v>
      </c>
      <c r="IVW27" s="613">
        <f t="shared" ref="IVW27" si="3349">IVU27*$C$27</f>
        <v>1.32958372616716E+19</v>
      </c>
      <c r="IVY27" s="613">
        <f t="shared" ref="IVY27" si="3350">IVW27*$C$27</f>
        <v>1.3428795634288316E+19</v>
      </c>
      <c r="IWA27" s="613">
        <f t="shared" ref="IWA27" si="3351">IVY27*$C$27</f>
        <v>1.3563083590631199E+19</v>
      </c>
      <c r="IWC27" s="613">
        <f t="shared" ref="IWC27" si="3352">IWA27*$C$27</f>
        <v>1.3698714426537511E+19</v>
      </c>
      <c r="IWE27" s="613">
        <f t="shared" ref="IWE27" si="3353">IWC27*$C$27</f>
        <v>1.3835701570802887E+19</v>
      </c>
      <c r="IWG27" s="613">
        <f t="shared" ref="IWG27" si="3354">IWE27*$C$27</f>
        <v>1.3974058586510916E+19</v>
      </c>
      <c r="IWI27" s="613">
        <f t="shared" ref="IWI27" si="3355">IWG27*$C$27</f>
        <v>1.4113799172376025E+19</v>
      </c>
      <c r="IWK27" s="613">
        <f t="shared" ref="IWK27" si="3356">IWI27*$C$27</f>
        <v>1.4254937164099785E+19</v>
      </c>
      <c r="IWM27" s="613">
        <f t="shared" ref="IWM27" si="3357">IWK27*$C$27</f>
        <v>1.4397486535740783E+19</v>
      </c>
      <c r="IWO27" s="613">
        <f t="shared" ref="IWO27" si="3358">IWM27*$C$27</f>
        <v>1.4541461401098191E+19</v>
      </c>
      <c r="IWQ27" s="613">
        <f t="shared" ref="IWQ27" si="3359">IWO27*$C$27</f>
        <v>1.4686876015109173E+19</v>
      </c>
      <c r="IWS27" s="613">
        <f t="shared" ref="IWS27" si="3360">IWQ27*$C$27</f>
        <v>1.4833744775260264E+19</v>
      </c>
      <c r="IWU27" s="613">
        <f t="shared" ref="IWU27" si="3361">IWS27*$C$27</f>
        <v>1.4982082223012868E+19</v>
      </c>
      <c r="IWW27" s="613">
        <f t="shared" ref="IWW27" si="3362">IWU27*$C$27</f>
        <v>1.5131903045242997E+19</v>
      </c>
      <c r="IWY27" s="613">
        <f t="shared" ref="IWY27" si="3363">IWW27*$C$27</f>
        <v>1.5283222075695428E+19</v>
      </c>
      <c r="IXA27" s="613">
        <f t="shared" ref="IXA27" si="3364">IWY27*$C$27</f>
        <v>1.5436054296452383E+19</v>
      </c>
      <c r="IXC27" s="613">
        <f t="shared" ref="IXC27" si="3365">IXA27*$C$27</f>
        <v>1.5590414839416906E+19</v>
      </c>
      <c r="IXE27" s="613">
        <f t="shared" ref="IXE27" si="3366">IXC27*$C$27</f>
        <v>1.5746318987811074E+19</v>
      </c>
      <c r="IXG27" s="613">
        <f t="shared" ref="IXG27" si="3367">IXE27*$C$27</f>
        <v>1.5903782177689184E+19</v>
      </c>
      <c r="IXI27" s="613">
        <f t="shared" ref="IXI27" si="3368">IXG27*$C$27</f>
        <v>1.6062819999466076E+19</v>
      </c>
      <c r="IXK27" s="613">
        <f t="shared" ref="IXK27" si="3369">IXI27*$C$27</f>
        <v>1.6223448199460737E+19</v>
      </c>
      <c r="IXM27" s="613">
        <f t="shared" ref="IXM27" si="3370">IXK27*$C$27</f>
        <v>1.6385682681455344E+19</v>
      </c>
      <c r="IXO27" s="613">
        <f t="shared" ref="IXO27" si="3371">IXM27*$C$27</f>
        <v>1.6549539508269898E+19</v>
      </c>
      <c r="IXQ27" s="613">
        <f t="shared" ref="IXQ27" si="3372">IXO27*$C$27</f>
        <v>1.6715034903352596E+19</v>
      </c>
      <c r="IXS27" s="613">
        <f t="shared" ref="IXS27" si="3373">IXQ27*$C$27</f>
        <v>1.6882185252386122E+19</v>
      </c>
      <c r="IXU27" s="613">
        <f t="shared" ref="IXU27" si="3374">IXS27*$C$27</f>
        <v>1.7051007104909984E+19</v>
      </c>
      <c r="IXW27" s="613">
        <f t="shared" ref="IXW27" si="3375">IXU27*$C$27</f>
        <v>1.7221517175959083E+19</v>
      </c>
      <c r="IXY27" s="613">
        <f t="shared" ref="IXY27" si="3376">IXW27*$C$27</f>
        <v>1.7393732347718674E+19</v>
      </c>
      <c r="IYA27" s="613">
        <f t="shared" ref="IYA27" si="3377">IXY27*$C$27</f>
        <v>1.7567669671195861E+19</v>
      </c>
      <c r="IYC27" s="613">
        <f t="shared" ref="IYC27" si="3378">IYA27*$C$27</f>
        <v>1.774334636790782E+19</v>
      </c>
      <c r="IYE27" s="613">
        <f t="shared" ref="IYE27" si="3379">IYC27*$C$27</f>
        <v>1.7920779831586898E+19</v>
      </c>
      <c r="IYG27" s="613">
        <f t="shared" ref="IYG27" si="3380">IYE27*$C$27</f>
        <v>1.8099987629902766E+19</v>
      </c>
      <c r="IYI27" s="613">
        <f t="shared" ref="IYI27" si="3381">IYG27*$C$27</f>
        <v>1.8280987506201795E+19</v>
      </c>
      <c r="IYK27" s="613">
        <f t="shared" ref="IYK27" si="3382">IYI27*$C$27</f>
        <v>1.8463797381263815E+19</v>
      </c>
      <c r="IYM27" s="613">
        <f t="shared" ref="IYM27" si="3383">IYK27*$C$27</f>
        <v>1.8648435355076452E+19</v>
      </c>
      <c r="IYO27" s="613">
        <f t="shared" ref="IYO27" si="3384">IYM27*$C$27</f>
        <v>1.8834919708627218E+19</v>
      </c>
      <c r="IYQ27" s="613">
        <f t="shared" ref="IYQ27" si="3385">IYO27*$C$27</f>
        <v>1.9023268905713492E+19</v>
      </c>
      <c r="IYS27" s="613">
        <f t="shared" ref="IYS27" si="3386">IYQ27*$C$27</f>
        <v>1.9213501594770629E+19</v>
      </c>
      <c r="IYU27" s="613">
        <f t="shared" ref="IYU27" si="3387">IYS27*$C$27</f>
        <v>1.9405636610718335E+19</v>
      </c>
      <c r="IYW27" s="613">
        <f t="shared" ref="IYW27" si="3388">IYU27*$C$27</f>
        <v>1.959969297682552E+19</v>
      </c>
      <c r="IYY27" s="613">
        <f t="shared" ref="IYY27" si="3389">IYW27*$C$27</f>
        <v>1.9795689906593776E+19</v>
      </c>
      <c r="IZA27" s="613">
        <f t="shared" ref="IZA27" si="3390">IYY27*$C$27</f>
        <v>1.9993646805659714E+19</v>
      </c>
      <c r="IZC27" s="613">
        <f t="shared" ref="IZC27" si="3391">IZA27*$C$27</f>
        <v>2.019358327371631E+19</v>
      </c>
      <c r="IZE27" s="613">
        <f t="shared" ref="IZE27" si="3392">IZC27*$C$27</f>
        <v>2.0395519106453475E+19</v>
      </c>
      <c r="IZG27" s="613">
        <f t="shared" ref="IZG27" si="3393">IZE27*$C$27</f>
        <v>2.059947429751801E+19</v>
      </c>
      <c r="IZI27" s="613">
        <f t="shared" ref="IZI27" si="3394">IZG27*$C$27</f>
        <v>2.0805469040493191E+19</v>
      </c>
      <c r="IZK27" s="613">
        <f t="shared" ref="IZK27" si="3395">IZI27*$C$27</f>
        <v>2.1013523730898125E+19</v>
      </c>
      <c r="IZM27" s="613">
        <f t="shared" ref="IZM27" si="3396">IZK27*$C$27</f>
        <v>2.1223658968207106E+19</v>
      </c>
      <c r="IZO27" s="613">
        <f t="shared" ref="IZO27" si="3397">IZM27*$C$27</f>
        <v>2.1435895557889176E+19</v>
      </c>
      <c r="IZQ27" s="613">
        <f t="shared" ref="IZQ27" si="3398">IZO27*$C$27</f>
        <v>2.1650254513468068E+19</v>
      </c>
      <c r="IZS27" s="613">
        <f t="shared" ref="IZS27" si="3399">IZQ27*$C$27</f>
        <v>2.186675705860275E+19</v>
      </c>
      <c r="IZU27" s="613">
        <f t="shared" ref="IZU27" si="3400">IZS27*$C$27</f>
        <v>2.2085424629188776E+19</v>
      </c>
      <c r="IZW27" s="613">
        <f t="shared" ref="IZW27" si="3401">IZU27*$C$27</f>
        <v>2.2306278875480662E+19</v>
      </c>
      <c r="IZY27" s="613">
        <f t="shared" ref="IZY27" si="3402">IZW27*$C$27</f>
        <v>2.2529341664235471E+19</v>
      </c>
      <c r="JAA27" s="613">
        <f t="shared" ref="JAA27" si="3403">IZY27*$C$27</f>
        <v>2.2754635080877826E+19</v>
      </c>
      <c r="JAC27" s="613">
        <f t="shared" ref="JAC27" si="3404">JAA27*$C$27</f>
        <v>2.2982181431686603E+19</v>
      </c>
      <c r="JAE27" s="613">
        <f t="shared" ref="JAE27" si="3405">JAC27*$C$27</f>
        <v>2.321200324600347E+19</v>
      </c>
      <c r="JAG27" s="613">
        <f t="shared" ref="JAG27" si="3406">JAE27*$C$27</f>
        <v>2.3444123278463504E+19</v>
      </c>
      <c r="JAI27" s="613">
        <f t="shared" ref="JAI27" si="3407">JAG27*$C$27</f>
        <v>2.3678564511248138E+19</v>
      </c>
      <c r="JAK27" s="613">
        <f t="shared" ref="JAK27" si="3408">JAI27*$C$27</f>
        <v>2.3915350156360618E+19</v>
      </c>
      <c r="JAM27" s="613">
        <f t="shared" ref="JAM27" si="3409">JAK27*$C$27</f>
        <v>2.4154503657924223E+19</v>
      </c>
      <c r="JAO27" s="613">
        <f t="shared" ref="JAO27" si="3410">JAM27*$C$27</f>
        <v>2.4396048694503465E+19</v>
      </c>
      <c r="JAQ27" s="613">
        <f t="shared" ref="JAQ27" si="3411">JAO27*$C$27</f>
        <v>2.4640009181448499E+19</v>
      </c>
      <c r="JAS27" s="613">
        <f t="shared" ref="JAS27" si="3412">JAQ27*$C$27</f>
        <v>2.4886409273262985E+19</v>
      </c>
      <c r="JAU27" s="613">
        <f t="shared" ref="JAU27" si="3413">JAS27*$C$27</f>
        <v>2.5135273365995614E+19</v>
      </c>
      <c r="JAW27" s="613">
        <f t="shared" ref="JAW27" si="3414">JAU27*$C$27</f>
        <v>2.5386626099655569E+19</v>
      </c>
      <c r="JAY27" s="613">
        <f t="shared" ref="JAY27" si="3415">JAW27*$C$27</f>
        <v>2.5640492360652124E+19</v>
      </c>
      <c r="JBA27" s="613">
        <f t="shared" ref="JBA27" si="3416">JAY27*$C$27</f>
        <v>2.5896897284258644E+19</v>
      </c>
      <c r="JBC27" s="613">
        <f t="shared" ref="JBC27" si="3417">JBA27*$C$27</f>
        <v>2.615586625710123E+19</v>
      </c>
      <c r="JBE27" s="613">
        <f t="shared" ref="JBE27" si="3418">JBC27*$C$27</f>
        <v>2.6417424919672242E+19</v>
      </c>
      <c r="JBG27" s="613">
        <f t="shared" ref="JBG27" si="3419">JBE27*$C$27</f>
        <v>2.6681599168868966E+19</v>
      </c>
      <c r="JBI27" s="613">
        <f t="shared" ref="JBI27" si="3420">JBG27*$C$27</f>
        <v>2.6948415160557658E+19</v>
      </c>
      <c r="JBK27" s="613">
        <f t="shared" ref="JBK27" si="3421">JBI27*$C$27</f>
        <v>2.7217899312163234E+19</v>
      </c>
      <c r="JBM27" s="613">
        <f t="shared" ref="JBM27" si="3422">JBK27*$C$27</f>
        <v>2.7490078305284866E+19</v>
      </c>
      <c r="JBO27" s="613">
        <f t="shared" ref="JBO27" si="3423">JBM27*$C$27</f>
        <v>2.7764979088337715E+19</v>
      </c>
      <c r="JBQ27" s="613">
        <f t="shared" ref="JBQ27" si="3424">JBO27*$C$27</f>
        <v>2.8042628879221092E+19</v>
      </c>
      <c r="JBS27" s="613">
        <f t="shared" ref="JBS27" si="3425">JBQ27*$C$27</f>
        <v>2.8323055168013304E+19</v>
      </c>
      <c r="JBU27" s="613">
        <f t="shared" ref="JBU27" si="3426">JBS27*$C$27</f>
        <v>2.8606285719693439E+19</v>
      </c>
      <c r="JBW27" s="613">
        <f t="shared" ref="JBW27" si="3427">JBU27*$C$27</f>
        <v>2.8892348576890372E+19</v>
      </c>
      <c r="JBY27" s="613">
        <f t="shared" ref="JBY27" si="3428">JBW27*$C$27</f>
        <v>2.9181272062659277E+19</v>
      </c>
      <c r="JCA27" s="613">
        <f t="shared" ref="JCA27" si="3429">JBY27*$C$27</f>
        <v>2.9473084783285871E+19</v>
      </c>
      <c r="JCC27" s="613">
        <f t="shared" ref="JCC27" si="3430">JCA27*$C$27</f>
        <v>2.9767815631118729E+19</v>
      </c>
      <c r="JCE27" s="613">
        <f t="shared" ref="JCE27" si="3431">JCC27*$C$27</f>
        <v>3.0065493787429917E+19</v>
      </c>
      <c r="JCG27" s="613">
        <f t="shared" ref="JCG27" si="3432">JCE27*$C$27</f>
        <v>3.0366148725304218E+19</v>
      </c>
      <c r="JCI27" s="613">
        <f t="shared" ref="JCI27" si="3433">JCG27*$C$27</f>
        <v>3.0669810212557259E+19</v>
      </c>
      <c r="JCK27" s="613">
        <f t="shared" ref="JCK27" si="3434">JCI27*$C$27</f>
        <v>3.0976508314682831E+19</v>
      </c>
      <c r="JCM27" s="613">
        <f t="shared" ref="JCM27" si="3435">JCK27*$C$27</f>
        <v>3.1286273397829661E+19</v>
      </c>
      <c r="JCO27" s="613">
        <f t="shared" ref="JCO27" si="3436">JCM27*$C$27</f>
        <v>3.1599136131807957E+19</v>
      </c>
      <c r="JCQ27" s="613">
        <f t="shared" ref="JCQ27" si="3437">JCO27*$C$27</f>
        <v>3.1915127493126038E+19</v>
      </c>
      <c r="JCS27" s="613">
        <f t="shared" ref="JCS27" si="3438">JCQ27*$C$27</f>
        <v>3.2234278768057299E+19</v>
      </c>
      <c r="JCU27" s="613">
        <f t="shared" ref="JCU27" si="3439">JCS27*$C$27</f>
        <v>3.255662155573787E+19</v>
      </c>
      <c r="JCW27" s="613">
        <f t="shared" ref="JCW27" si="3440">JCU27*$C$27</f>
        <v>3.2882187771295248E+19</v>
      </c>
      <c r="JCY27" s="613">
        <f t="shared" ref="JCY27" si="3441">JCW27*$C$27</f>
        <v>3.3211009649008202E+19</v>
      </c>
      <c r="JDA27" s="613">
        <f t="shared" ref="JDA27" si="3442">JCY27*$C$27</f>
        <v>3.3543119745498284E+19</v>
      </c>
      <c r="JDC27" s="613">
        <f t="shared" ref="JDC27" si="3443">JDA27*$C$27</f>
        <v>3.3878550942953267E+19</v>
      </c>
      <c r="JDE27" s="613">
        <f t="shared" ref="JDE27" si="3444">JDC27*$C$27</f>
        <v>3.4217336452382802E+19</v>
      </c>
      <c r="JDG27" s="613">
        <f t="shared" ref="JDG27" si="3445">JDE27*$C$27</f>
        <v>3.4559509816906629E+19</v>
      </c>
      <c r="JDI27" s="613">
        <f t="shared" ref="JDI27" si="3446">JDG27*$C$27</f>
        <v>3.4905104915075695E+19</v>
      </c>
      <c r="JDK27" s="613">
        <f t="shared" ref="JDK27" si="3447">JDI27*$C$27</f>
        <v>3.5254155964226454E+19</v>
      </c>
      <c r="JDM27" s="613">
        <f t="shared" ref="JDM27" si="3448">JDK27*$C$27</f>
        <v>3.5606697523868717E+19</v>
      </c>
      <c r="JDO27" s="613">
        <f t="shared" ref="JDO27" si="3449">JDM27*$C$27</f>
        <v>3.5962764499107406E+19</v>
      </c>
      <c r="JDQ27" s="613">
        <f t="shared" ref="JDQ27" si="3450">JDO27*$C$27</f>
        <v>3.632239214409848E+19</v>
      </c>
      <c r="JDS27" s="613">
        <f t="shared" ref="JDS27" si="3451">JDQ27*$C$27</f>
        <v>3.6685616065539465E+19</v>
      </c>
      <c r="JDU27" s="613">
        <f t="shared" ref="JDU27" si="3452">JDS27*$C$27</f>
        <v>3.7052472226194858E+19</v>
      </c>
      <c r="JDW27" s="613">
        <f t="shared" ref="JDW27" si="3453">JDU27*$C$27</f>
        <v>3.7422996948456808E+19</v>
      </c>
      <c r="JDY27" s="613">
        <f t="shared" ref="JDY27" si="3454">JDW27*$C$27</f>
        <v>3.7797226917941379E+19</v>
      </c>
      <c r="JEA27" s="613">
        <f t="shared" ref="JEA27" si="3455">JDY27*$C$27</f>
        <v>3.8175199187120792E+19</v>
      </c>
      <c r="JEC27" s="613">
        <f t="shared" ref="JEC27" si="3456">JEA27*$C$27</f>
        <v>3.8556951178992001E+19</v>
      </c>
      <c r="JEE27" s="613">
        <f t="shared" ref="JEE27" si="3457">JEC27*$C$27</f>
        <v>3.8942520690781921E+19</v>
      </c>
      <c r="JEG27" s="613">
        <f t="shared" ref="JEG27" si="3458">JEE27*$C$27</f>
        <v>3.9331945897689743E+19</v>
      </c>
      <c r="JEI27" s="613">
        <f t="shared" ref="JEI27" si="3459">JEG27*$C$27</f>
        <v>3.9725265356666642E+19</v>
      </c>
      <c r="JEK27" s="613">
        <f t="shared" ref="JEK27" si="3460">JEI27*$C$27</f>
        <v>4.0122518010233307E+19</v>
      </c>
      <c r="JEM27" s="613">
        <f t="shared" ref="JEM27" si="3461">JEK27*$C$27</f>
        <v>4.0523743190335644E+19</v>
      </c>
      <c r="JEO27" s="613">
        <f t="shared" ref="JEO27" si="3462">JEM27*$C$27</f>
        <v>4.0928980622238999E+19</v>
      </c>
      <c r="JEQ27" s="613">
        <f t="shared" ref="JEQ27" si="3463">JEO27*$C$27</f>
        <v>4.1338270428461392E+19</v>
      </c>
      <c r="JES27" s="613">
        <f t="shared" ref="JES27" si="3464">JEQ27*$C$27</f>
        <v>4.1751653132746007E+19</v>
      </c>
      <c r="JEU27" s="613">
        <f t="shared" ref="JEU27" si="3465">JES27*$C$27</f>
        <v>4.2169169664073466E+19</v>
      </c>
      <c r="JEW27" s="613">
        <f t="shared" ref="JEW27" si="3466">JEU27*$C$27</f>
        <v>4.2590861360714203E+19</v>
      </c>
      <c r="JEY27" s="613">
        <f t="shared" ref="JEY27" si="3467">JEW27*$C$27</f>
        <v>4.3016769974321349E+19</v>
      </c>
      <c r="JFA27" s="613">
        <f t="shared" ref="JFA27" si="3468">JEY27*$C$27</f>
        <v>4.344693767406456E+19</v>
      </c>
      <c r="JFC27" s="613">
        <f t="shared" ref="JFC27" si="3469">JFA27*$C$27</f>
        <v>4.3881407050805207E+19</v>
      </c>
      <c r="JFE27" s="613">
        <f t="shared" ref="JFE27" si="3470">JFC27*$C$27</f>
        <v>4.432022112131326E+19</v>
      </c>
      <c r="JFG27" s="613">
        <f t="shared" ref="JFG27" si="3471">JFE27*$C$27</f>
        <v>4.4763423332526391E+19</v>
      </c>
      <c r="JFI27" s="613">
        <f t="shared" ref="JFI27" si="3472">JFG27*$C$27</f>
        <v>4.5211057565851656E+19</v>
      </c>
      <c r="JFK27" s="613">
        <f t="shared" ref="JFK27" si="3473">JFI27*$C$27</f>
        <v>4.5663168141510173E+19</v>
      </c>
      <c r="JFM27" s="613">
        <f t="shared" ref="JFM27" si="3474">JFK27*$C$27</f>
        <v>4.6119799822925275E+19</v>
      </c>
      <c r="JFO27" s="613">
        <f t="shared" ref="JFO27" si="3475">JFM27*$C$27</f>
        <v>4.6580997821154525E+19</v>
      </c>
      <c r="JFQ27" s="613">
        <f t="shared" ref="JFQ27" si="3476">JFO27*$C$27</f>
        <v>4.7046807799366074E+19</v>
      </c>
      <c r="JFS27" s="613">
        <f t="shared" ref="JFS27" si="3477">JFQ27*$C$27</f>
        <v>4.7517275877359739E+19</v>
      </c>
      <c r="JFU27" s="613">
        <f t="shared" ref="JFU27" si="3478">JFS27*$C$27</f>
        <v>4.7992448636133335E+19</v>
      </c>
      <c r="JFW27" s="613">
        <f t="shared" ref="JFW27" si="3479">JFU27*$C$27</f>
        <v>4.8472373122494669E+19</v>
      </c>
      <c r="JFY27" s="613">
        <f t="shared" ref="JFY27" si="3480">JFW27*$C$27</f>
        <v>4.8957096853719613E+19</v>
      </c>
      <c r="JGA27" s="613">
        <f t="shared" ref="JGA27" si="3481">JFY27*$C$27</f>
        <v>4.9446667822256808E+19</v>
      </c>
      <c r="JGC27" s="613">
        <f t="shared" ref="JGC27" si="3482">JGA27*$C$27</f>
        <v>4.9941134500479377E+19</v>
      </c>
      <c r="JGE27" s="613">
        <f t="shared" ref="JGE27" si="3483">JGC27*$C$27</f>
        <v>5.0440545845484175E+19</v>
      </c>
      <c r="JGG27" s="613">
        <f t="shared" ref="JGG27" si="3484">JGE27*$C$27</f>
        <v>5.0944951303939015E+19</v>
      </c>
      <c r="JGI27" s="613">
        <f t="shared" ref="JGI27" si="3485">JGG27*$C$27</f>
        <v>5.1454400816978403E+19</v>
      </c>
      <c r="JGK27" s="613">
        <f t="shared" ref="JGK27" si="3486">JGI27*$C$27</f>
        <v>5.1968944825148187E+19</v>
      </c>
      <c r="JGM27" s="613">
        <f t="shared" ref="JGM27" si="3487">JGK27*$C$27</f>
        <v>5.2488634273399669E+19</v>
      </c>
      <c r="JGO27" s="613">
        <f t="shared" ref="JGO27" si="3488">JGM27*$C$27</f>
        <v>5.3013520616133665E+19</v>
      </c>
      <c r="JGQ27" s="613">
        <f t="shared" ref="JGQ27" si="3489">JGO27*$C$27</f>
        <v>5.3543655822294999E+19</v>
      </c>
      <c r="JGS27" s="613">
        <f t="shared" ref="JGS27" si="3490">JGQ27*$C$27</f>
        <v>5.4079092380517949E+19</v>
      </c>
      <c r="JGU27" s="613">
        <f t="shared" ref="JGU27" si="3491">JGS27*$C$27</f>
        <v>5.4619883304323129E+19</v>
      </c>
      <c r="JGW27" s="613">
        <f t="shared" ref="JGW27" si="3492">JGU27*$C$27</f>
        <v>5.5166082137366364E+19</v>
      </c>
      <c r="JGY27" s="613">
        <f t="shared" ref="JGY27" si="3493">JGW27*$C$27</f>
        <v>5.5717742958740029E+19</v>
      </c>
      <c r="JHA27" s="613">
        <f t="shared" ref="JHA27" si="3494">JGY27*$C$27</f>
        <v>5.6274920388327432E+19</v>
      </c>
      <c r="JHC27" s="613">
        <f t="shared" ref="JHC27" si="3495">JHA27*$C$27</f>
        <v>5.6837669592210711E+19</v>
      </c>
      <c r="JHE27" s="613">
        <f t="shared" ref="JHE27" si="3496">JHC27*$C$27</f>
        <v>5.7406046288132817E+19</v>
      </c>
      <c r="JHG27" s="613">
        <f t="shared" ref="JHG27" si="3497">JHE27*$C$27</f>
        <v>5.7980106751014142E+19</v>
      </c>
      <c r="JHI27" s="613">
        <f t="shared" ref="JHI27" si="3498">JHG27*$C$27</f>
        <v>5.8559907818524287E+19</v>
      </c>
      <c r="JHK27" s="613">
        <f t="shared" ref="JHK27" si="3499">JHI27*$C$27</f>
        <v>5.9145506896709534E+19</v>
      </c>
      <c r="JHM27" s="613">
        <f t="shared" ref="JHM27" si="3500">JHK27*$C$27</f>
        <v>5.9736961965676626E+19</v>
      </c>
      <c r="JHO27" s="613">
        <f t="shared" ref="JHO27" si="3501">JHM27*$C$27</f>
        <v>6.0334331585333395E+19</v>
      </c>
      <c r="JHQ27" s="613">
        <f t="shared" ref="JHQ27" si="3502">JHO27*$C$27</f>
        <v>6.0937674901186732E+19</v>
      </c>
      <c r="JHS27" s="613">
        <f t="shared" ref="JHS27" si="3503">JHQ27*$C$27</f>
        <v>6.1547051650198602E+19</v>
      </c>
      <c r="JHU27" s="613">
        <f t="shared" ref="JHU27" si="3504">JHS27*$C$27</f>
        <v>6.2162522166700589E+19</v>
      </c>
      <c r="JHW27" s="613">
        <f t="shared" ref="JHW27" si="3505">JHU27*$C$27</f>
        <v>6.2784147388367593E+19</v>
      </c>
      <c r="JHY27" s="613">
        <f t="shared" ref="JHY27" si="3506">JHW27*$C$27</f>
        <v>6.341198886225127E+19</v>
      </c>
      <c r="JIA27" s="613">
        <f t="shared" ref="JIA27" si="3507">JHY27*$C$27</f>
        <v>6.404610875087378E+19</v>
      </c>
      <c r="JIC27" s="613">
        <f t="shared" ref="JIC27" si="3508">JIA27*$C$27</f>
        <v>6.4686569838382522E+19</v>
      </c>
      <c r="JIE27" s="613">
        <f t="shared" ref="JIE27" si="3509">JIC27*$C$27</f>
        <v>6.5333435536766345E+19</v>
      </c>
      <c r="JIG27" s="613">
        <f t="shared" ref="JIG27" si="3510">JIE27*$C$27</f>
        <v>6.5986769892134011E+19</v>
      </c>
      <c r="JII27" s="613">
        <f t="shared" ref="JII27" si="3511">JIG27*$C$27</f>
        <v>6.6646637591055352E+19</v>
      </c>
      <c r="JIK27" s="613">
        <f t="shared" ref="JIK27" si="3512">JII27*$C$27</f>
        <v>6.7313103966965907E+19</v>
      </c>
      <c r="JIM27" s="613">
        <f t="shared" ref="JIM27" si="3513">JIK27*$C$27</f>
        <v>6.7986235006635565E+19</v>
      </c>
      <c r="JIO27" s="613">
        <f t="shared" ref="JIO27" si="3514">JIM27*$C$27</f>
        <v>6.8666097356701925E+19</v>
      </c>
      <c r="JIQ27" s="613">
        <f t="shared" ref="JIQ27" si="3515">JIO27*$C$27</f>
        <v>6.9352758330268942E+19</v>
      </c>
      <c r="JIS27" s="613">
        <f t="shared" ref="JIS27" si="3516">JIQ27*$C$27</f>
        <v>7.0046285913571631E+19</v>
      </c>
      <c r="JIU27" s="613">
        <f t="shared" ref="JIU27" si="3517">JIS27*$C$27</f>
        <v>7.0746748772707344E+19</v>
      </c>
      <c r="JIW27" s="613">
        <f t="shared" ref="JIW27" si="3518">JIU27*$C$27</f>
        <v>7.145421626043442E+19</v>
      </c>
      <c r="JIY27" s="613">
        <f t="shared" ref="JIY27" si="3519">JIW27*$C$27</f>
        <v>7.2168758423038763E+19</v>
      </c>
      <c r="JJA27" s="613">
        <f t="shared" ref="JJA27" si="3520">JIY27*$C$27</f>
        <v>7.2890446007269155E+19</v>
      </c>
      <c r="JJC27" s="613">
        <f t="shared" ref="JJC27" si="3521">JJA27*$C$27</f>
        <v>7.3619350467341844E+19</v>
      </c>
      <c r="JJE27" s="613">
        <f t="shared" ref="JJE27" si="3522">JJC27*$C$27</f>
        <v>7.435554397201526E+19</v>
      </c>
      <c r="JJG27" s="613">
        <f t="shared" ref="JJG27" si="3523">JJE27*$C$27</f>
        <v>7.5099099411735413E+19</v>
      </c>
      <c r="JJI27" s="613">
        <f t="shared" ref="JJI27" si="3524">JJG27*$C$27</f>
        <v>7.5850090405852774E+19</v>
      </c>
      <c r="JJK27" s="613">
        <f t="shared" ref="JJK27" si="3525">JJI27*$C$27</f>
        <v>7.660859130991131E+19</v>
      </c>
      <c r="JJM27" s="613">
        <f t="shared" ref="JJM27" si="3526">JJK27*$C$27</f>
        <v>7.7374677223010419E+19</v>
      </c>
      <c r="JJO27" s="613">
        <f t="shared" ref="JJO27" si="3527">JJM27*$C$27</f>
        <v>7.814842399524053E+19</v>
      </c>
      <c r="JJQ27" s="613">
        <f t="shared" ref="JJQ27" si="3528">JJO27*$C$27</f>
        <v>7.8929908235192943E+19</v>
      </c>
      <c r="JJS27" s="613">
        <f t="shared" ref="JJS27" si="3529">JJQ27*$C$27</f>
        <v>7.9719207317544878E+19</v>
      </c>
      <c r="JJU27" s="613">
        <f t="shared" ref="JJU27" si="3530">JJS27*$C$27</f>
        <v>8.0516399390720328E+19</v>
      </c>
      <c r="JJW27" s="613">
        <f t="shared" ref="JJW27" si="3531">JJU27*$C$27</f>
        <v>8.1321563384627528E+19</v>
      </c>
      <c r="JJY27" s="613">
        <f t="shared" ref="JJY27" si="3532">JJW27*$C$27</f>
        <v>8.21347790184738E+19</v>
      </c>
      <c r="JKA27" s="613">
        <f t="shared" ref="JKA27" si="3533">JJY27*$C$27</f>
        <v>8.2956126808658543E+19</v>
      </c>
      <c r="JKC27" s="613">
        <f t="shared" ref="JKC27" si="3534">JKA27*$C$27</f>
        <v>8.378568807674513E+19</v>
      </c>
      <c r="JKE27" s="613">
        <f t="shared" ref="JKE27" si="3535">JKC27*$C$27</f>
        <v>8.4623544957512581E+19</v>
      </c>
      <c r="JKG27" s="613">
        <f t="shared" ref="JKG27" si="3536">JKE27*$C$27</f>
        <v>8.546978040708771E+19</v>
      </c>
      <c r="JKI27" s="613">
        <f t="shared" ref="JKI27" si="3537">JKG27*$C$27</f>
        <v>8.6324478211158589E+19</v>
      </c>
      <c r="JKK27" s="613">
        <f t="shared" ref="JKK27" si="3538">JKI27*$C$27</f>
        <v>8.7187722993270178E+19</v>
      </c>
      <c r="JKM27" s="613">
        <f t="shared" ref="JKM27" si="3539">JKK27*$C$27</f>
        <v>8.8059600223202886E+19</v>
      </c>
      <c r="JKO27" s="613">
        <f t="shared" ref="JKO27" si="3540">JKM27*$C$27</f>
        <v>8.8940196225434911E+19</v>
      </c>
      <c r="JKQ27" s="613">
        <f t="shared" ref="JKQ27" si="3541">JKO27*$C$27</f>
        <v>8.9829598187689263E+19</v>
      </c>
      <c r="JKS27" s="613">
        <f t="shared" ref="JKS27" si="3542">JKQ27*$C$27</f>
        <v>9.0727894169566151E+19</v>
      </c>
      <c r="JKU27" s="613">
        <f t="shared" ref="JKU27" si="3543">JKS27*$C$27</f>
        <v>9.1635173111261807E+19</v>
      </c>
      <c r="JKW27" s="613">
        <f t="shared" ref="JKW27" si="3544">JKU27*$C$27</f>
        <v>9.2551524842374431E+19</v>
      </c>
      <c r="JKY27" s="613">
        <f t="shared" ref="JKY27" si="3545">JKW27*$C$27</f>
        <v>9.3477040090798178E+19</v>
      </c>
      <c r="JLA27" s="613">
        <f t="shared" ref="JLA27" si="3546">JKY27*$C$27</f>
        <v>9.4411810491706163E+19</v>
      </c>
      <c r="JLC27" s="613">
        <f t="shared" ref="JLC27" si="3547">JLA27*$C$27</f>
        <v>9.5355928596623229E+19</v>
      </c>
      <c r="JLE27" s="613">
        <f t="shared" ref="JLE27" si="3548">JLC27*$C$27</f>
        <v>9.6309487882589454E+19</v>
      </c>
      <c r="JLG27" s="613">
        <f t="shared" ref="JLG27" si="3549">JLE27*$C$27</f>
        <v>9.7272582761415344E+19</v>
      </c>
      <c r="JLI27" s="613">
        <f t="shared" ref="JLI27" si="3550">JLG27*$C$27</f>
        <v>9.8245308589029491E+19</v>
      </c>
      <c r="JLK27" s="613">
        <f t="shared" ref="JLK27" si="3551">JLI27*$C$27</f>
        <v>9.9227761674919789E+19</v>
      </c>
      <c r="JLM27" s="613">
        <f t="shared" ref="JLM27" si="3552">JLK27*$C$27</f>
        <v>1.0022003929166899E+20</v>
      </c>
      <c r="JLO27" s="613">
        <f t="shared" ref="JLO27" si="3553">JLM27*$C$27</f>
        <v>1.0122223968458568E+20</v>
      </c>
      <c r="JLQ27" s="613">
        <f t="shared" ref="JLQ27" si="3554">JLO27*$C$27</f>
        <v>1.0223446208143154E+20</v>
      </c>
      <c r="JLS27" s="613">
        <f t="shared" ref="JLS27" si="3555">JLQ27*$C$27</f>
        <v>1.0325680670224586E+20</v>
      </c>
      <c r="JLU27" s="613">
        <f t="shared" ref="JLU27" si="3556">JLS27*$C$27</f>
        <v>1.0428937476926831E+20</v>
      </c>
      <c r="JLW27" s="613">
        <f t="shared" ref="JLW27" si="3557">JLU27*$C$27</f>
        <v>1.0533226851696099E+20</v>
      </c>
      <c r="JLY27" s="613">
        <f t="shared" ref="JLY27" si="3558">JLW27*$C$27</f>
        <v>1.0638559120213061E+20</v>
      </c>
      <c r="JMA27" s="613">
        <f t="shared" ref="JMA27" si="3559">JLY27*$C$27</f>
        <v>1.0744944711415192E+20</v>
      </c>
      <c r="JMC27" s="613">
        <f t="shared" ref="JMC27" si="3560">JMA27*$C$27</f>
        <v>1.0852394158529344E+20</v>
      </c>
      <c r="JME27" s="613">
        <f t="shared" ref="JME27" si="3561">JMC27*$C$27</f>
        <v>1.0960918100114638E+20</v>
      </c>
      <c r="JMG27" s="613">
        <f t="shared" ref="JMG27" si="3562">JME27*$C$27</f>
        <v>1.1070527281115785E+20</v>
      </c>
      <c r="JMI27" s="613">
        <f t="shared" ref="JMI27" si="3563">JMG27*$C$27</f>
        <v>1.1181232553926943E+20</v>
      </c>
      <c r="JMK27" s="613">
        <f t="shared" ref="JMK27" si="3564">JMI27*$C$27</f>
        <v>1.1293044879466213E+20</v>
      </c>
      <c r="JMM27" s="613">
        <f t="shared" ref="JMM27" si="3565">JMK27*$C$27</f>
        <v>1.1405975328260874E+20</v>
      </c>
      <c r="JMO27" s="613">
        <f t="shared" ref="JMO27" si="3566">JMM27*$C$27</f>
        <v>1.1520035081543483E+20</v>
      </c>
      <c r="JMQ27" s="613">
        <f t="shared" ref="JMQ27" si="3567">JMO27*$C$27</f>
        <v>1.1635235432358919E+20</v>
      </c>
      <c r="JMS27" s="613">
        <f t="shared" ref="JMS27" si="3568">JMQ27*$C$27</f>
        <v>1.1751587786682507E+20</v>
      </c>
      <c r="JMU27" s="613">
        <f t="shared" ref="JMU27" si="3569">JMS27*$C$27</f>
        <v>1.1869103664549333E+20</v>
      </c>
      <c r="JMW27" s="613">
        <f t="shared" ref="JMW27" si="3570">JMU27*$C$27</f>
        <v>1.1987794701194827E+20</v>
      </c>
      <c r="JMY27" s="613">
        <f t="shared" ref="JMY27" si="3571">JMW27*$C$27</f>
        <v>1.2107672648206775E+20</v>
      </c>
      <c r="JNA27" s="613">
        <f t="shared" ref="JNA27" si="3572">JMY27*$C$27</f>
        <v>1.2228749374688843E+20</v>
      </c>
      <c r="JNC27" s="613">
        <f t="shared" ref="JNC27" si="3573">JNA27*$C$27</f>
        <v>1.235103686843573E+20</v>
      </c>
      <c r="JNE27" s="613">
        <f t="shared" ref="JNE27" si="3574">JNC27*$C$27</f>
        <v>1.2474547237120088E+20</v>
      </c>
      <c r="JNG27" s="613">
        <f t="shared" ref="JNG27" si="3575">JNE27*$C$27</f>
        <v>1.2599292709491289E+20</v>
      </c>
      <c r="JNI27" s="613">
        <f t="shared" ref="JNI27" si="3576">JNG27*$C$27</f>
        <v>1.2725285636586203E+20</v>
      </c>
      <c r="JNK27" s="613">
        <f t="shared" ref="JNK27" si="3577">JNI27*$C$27</f>
        <v>1.2852538492952065E+20</v>
      </c>
      <c r="JNM27" s="613">
        <f t="shared" ref="JNM27" si="3578">JNK27*$C$27</f>
        <v>1.2981063877881586E+20</v>
      </c>
      <c r="JNO27" s="613">
        <f t="shared" ref="JNO27" si="3579">JNM27*$C$27</f>
        <v>1.3110874516660401E+20</v>
      </c>
      <c r="JNQ27" s="613">
        <f t="shared" ref="JNQ27" si="3580">JNO27*$C$27</f>
        <v>1.3241983261827005E+20</v>
      </c>
      <c r="JNS27" s="613">
        <f t="shared" ref="JNS27" si="3581">JNQ27*$C$27</f>
        <v>1.3374403094445276E+20</v>
      </c>
      <c r="JNU27" s="613">
        <f t="shared" ref="JNU27" si="3582">JNS27*$C$27</f>
        <v>1.3508147125389728E+20</v>
      </c>
      <c r="JNW27" s="613">
        <f t="shared" ref="JNW27" si="3583">JNU27*$C$27</f>
        <v>1.3643228596643625E+20</v>
      </c>
      <c r="JNY27" s="613">
        <f t="shared" ref="JNY27" si="3584">JNW27*$C$27</f>
        <v>1.3779660882610061E+20</v>
      </c>
      <c r="JOA27" s="613">
        <f t="shared" ref="JOA27" si="3585">JNY27*$C$27</f>
        <v>1.3917457491436162E+20</v>
      </c>
      <c r="JOC27" s="613">
        <f t="shared" ref="JOC27" si="3586">JOA27*$C$27</f>
        <v>1.4056632066350524E+20</v>
      </c>
      <c r="JOE27" s="613">
        <f t="shared" ref="JOE27" si="3587">JOC27*$C$27</f>
        <v>1.419719838701403E+20</v>
      </c>
      <c r="JOG27" s="613">
        <f t="shared" ref="JOG27" si="3588">JOE27*$C$27</f>
        <v>1.4339170370884171E+20</v>
      </c>
      <c r="JOI27" s="613">
        <f t="shared" ref="JOI27" si="3589">JOG27*$C$27</f>
        <v>1.4482562074593013E+20</v>
      </c>
      <c r="JOK27" s="613">
        <f t="shared" ref="JOK27" si="3590">JOI27*$C$27</f>
        <v>1.4627387695338943E+20</v>
      </c>
      <c r="JOM27" s="613">
        <f t="shared" ref="JOM27" si="3591">JOK27*$C$27</f>
        <v>1.4773661572292333E+20</v>
      </c>
      <c r="JOO27" s="613">
        <f t="shared" ref="JOO27" si="3592">JOM27*$C$27</f>
        <v>1.4921398188015256E+20</v>
      </c>
      <c r="JOQ27" s="613">
        <f t="shared" ref="JOQ27" si="3593">JOO27*$C$27</f>
        <v>1.5070612169895408E+20</v>
      </c>
      <c r="JOS27" s="613">
        <f t="shared" ref="JOS27" si="3594">JOQ27*$C$27</f>
        <v>1.5221318291594363E+20</v>
      </c>
      <c r="JOU27" s="613">
        <f t="shared" ref="JOU27" si="3595">JOS27*$C$27</f>
        <v>1.5373531474510306E+20</v>
      </c>
      <c r="JOW27" s="613">
        <f t="shared" ref="JOW27" si="3596">JOU27*$C$27</f>
        <v>1.552726678925541E+20</v>
      </c>
      <c r="JOY27" s="613">
        <f t="shared" ref="JOY27" si="3597">JOW27*$C$27</f>
        <v>1.5682539457147965E+20</v>
      </c>
      <c r="JPA27" s="613">
        <f t="shared" ref="JPA27" si="3598">JOY27*$C$27</f>
        <v>1.5839364851719445E+20</v>
      </c>
      <c r="JPC27" s="613">
        <f t="shared" ref="JPC27" si="3599">JPA27*$C$27</f>
        <v>1.599775850023664E+20</v>
      </c>
      <c r="JPE27" s="613">
        <f t="shared" ref="JPE27" si="3600">JPC27*$C$27</f>
        <v>1.6157736085239005E+20</v>
      </c>
      <c r="JPG27" s="613">
        <f t="shared" ref="JPG27" si="3601">JPE27*$C$27</f>
        <v>1.6319313446091394E+20</v>
      </c>
      <c r="JPI27" s="613">
        <f t="shared" ref="JPI27" si="3602">JPG27*$C$27</f>
        <v>1.6482506580552309E+20</v>
      </c>
      <c r="JPK27" s="613">
        <f t="shared" ref="JPK27" si="3603">JPI27*$C$27</f>
        <v>1.6647331646357832E+20</v>
      </c>
      <c r="JPM27" s="613">
        <f t="shared" ref="JPM27" si="3604">JPK27*$C$27</f>
        <v>1.681380496282141E+20</v>
      </c>
      <c r="JPO27" s="613">
        <f t="shared" ref="JPO27" si="3605">JPM27*$C$27</f>
        <v>1.6981943012449626E+20</v>
      </c>
      <c r="JPQ27" s="613">
        <f t="shared" ref="JPQ27" si="3606">JPO27*$C$27</f>
        <v>1.7151762442574122E+20</v>
      </c>
      <c r="JPS27" s="613">
        <f t="shared" ref="JPS27" si="3607">JPQ27*$C$27</f>
        <v>1.7323280066999865E+20</v>
      </c>
      <c r="JPU27" s="613">
        <f t="shared" ref="JPU27" si="3608">JPS27*$C$27</f>
        <v>1.7496512867669862E+20</v>
      </c>
      <c r="JPW27" s="613">
        <f t="shared" ref="JPW27" si="3609">JPU27*$C$27</f>
        <v>1.767147799634656E+20</v>
      </c>
      <c r="JPY27" s="613">
        <f t="shared" ref="JPY27" si="3610">JPW27*$C$27</f>
        <v>1.7848192776310027E+20</v>
      </c>
      <c r="JQA27" s="613">
        <f t="shared" ref="JQA27" si="3611">JPY27*$C$27</f>
        <v>1.8026674704073127E+20</v>
      </c>
      <c r="JQC27" s="613">
        <f t="shared" ref="JQC27" si="3612">JQA27*$C$27</f>
        <v>1.8206941451113857E+20</v>
      </c>
      <c r="JQE27" s="613">
        <f t="shared" ref="JQE27" si="3613">JQC27*$C$27</f>
        <v>1.8389010865624996E+20</v>
      </c>
      <c r="JQG27" s="613">
        <f t="shared" ref="JQG27" si="3614">JQE27*$C$27</f>
        <v>1.8572900974281248E+20</v>
      </c>
      <c r="JQI27" s="613">
        <f t="shared" ref="JQI27" si="3615">JQG27*$C$27</f>
        <v>1.8758629984024062E+20</v>
      </c>
      <c r="JQK27" s="613">
        <f t="shared" ref="JQK27" si="3616">JQI27*$C$27</f>
        <v>1.8946216283864302E+20</v>
      </c>
      <c r="JQM27" s="613">
        <f t="shared" ref="JQM27" si="3617">JQK27*$C$27</f>
        <v>1.9135678446702946E+20</v>
      </c>
      <c r="JQO27" s="613">
        <f t="shared" ref="JQO27" si="3618">JQM27*$C$27</f>
        <v>1.9327035231169977E+20</v>
      </c>
      <c r="JQQ27" s="613">
        <f t="shared" ref="JQQ27" si="3619">JQO27*$C$27</f>
        <v>1.9520305583481677E+20</v>
      </c>
      <c r="JQS27" s="613">
        <f t="shared" ref="JQS27" si="3620">JQQ27*$C$27</f>
        <v>1.9715508639316496E+20</v>
      </c>
      <c r="JQU27" s="613">
        <f t="shared" ref="JQU27" si="3621">JQS27*$C$27</f>
        <v>1.9912663725709659E+20</v>
      </c>
      <c r="JQW27" s="613">
        <f t="shared" ref="JQW27" si="3622">JQU27*$C$27</f>
        <v>2.0111790362966757E+20</v>
      </c>
      <c r="JQY27" s="613">
        <f t="shared" ref="JQY27" si="3623">JQW27*$C$27</f>
        <v>2.0312908266596424E+20</v>
      </c>
      <c r="JRA27" s="613">
        <f t="shared" ref="JRA27" si="3624">JQY27*$C$27</f>
        <v>2.051603734926239E+20</v>
      </c>
      <c r="JRC27" s="613">
        <f t="shared" ref="JRC27" si="3625">JRA27*$C$27</f>
        <v>2.0721197722755013E+20</v>
      </c>
      <c r="JRE27" s="613">
        <f t="shared" ref="JRE27" si="3626">JRC27*$C$27</f>
        <v>2.0928409699982564E+20</v>
      </c>
      <c r="JRG27" s="613">
        <f t="shared" ref="JRG27" si="3627">JRE27*$C$27</f>
        <v>2.1137693796982391E+20</v>
      </c>
      <c r="JRI27" s="613">
        <f t="shared" ref="JRI27" si="3628">JRG27*$C$27</f>
        <v>2.1349070734952215E+20</v>
      </c>
      <c r="JRK27" s="613">
        <f t="shared" ref="JRK27" si="3629">JRI27*$C$27</f>
        <v>2.1562561442301739E+20</v>
      </c>
      <c r="JRM27" s="613">
        <f t="shared" ref="JRM27" si="3630">JRK27*$C$27</f>
        <v>2.1778187056724758E+20</v>
      </c>
      <c r="JRO27" s="613">
        <f t="shared" ref="JRO27" si="3631">JRM27*$C$27</f>
        <v>2.1995968927292005E+20</v>
      </c>
      <c r="JRQ27" s="613">
        <f t="shared" ref="JRQ27" si="3632">JRO27*$C$27</f>
        <v>2.2215928616564926E+20</v>
      </c>
      <c r="JRS27" s="613">
        <f t="shared" ref="JRS27" si="3633">JRQ27*$C$27</f>
        <v>2.2438087902730574E+20</v>
      </c>
      <c r="JRU27" s="613">
        <f t="shared" ref="JRU27" si="3634">JRS27*$C$27</f>
        <v>2.2662468781757881E+20</v>
      </c>
      <c r="JRW27" s="613">
        <f t="shared" ref="JRW27" si="3635">JRU27*$C$27</f>
        <v>2.288909346957546E+20</v>
      </c>
      <c r="JRY27" s="613">
        <f t="shared" ref="JRY27" si="3636">JRW27*$C$27</f>
        <v>2.3117984404271215E+20</v>
      </c>
      <c r="JSA27" s="613">
        <f t="shared" ref="JSA27" si="3637">JRY27*$C$27</f>
        <v>2.3349164248313928E+20</v>
      </c>
      <c r="JSC27" s="613">
        <f t="shared" ref="JSC27" si="3638">JSA27*$C$27</f>
        <v>2.3582655890797068E+20</v>
      </c>
      <c r="JSE27" s="613">
        <f t="shared" ref="JSE27" si="3639">JSC27*$C$27</f>
        <v>2.3818482449705039E+20</v>
      </c>
      <c r="JSG27" s="613">
        <f t="shared" ref="JSG27" si="3640">JSE27*$C$27</f>
        <v>2.4056667274202091E+20</v>
      </c>
      <c r="JSI27" s="613">
        <f t="shared" ref="JSI27" si="3641">JSG27*$C$27</f>
        <v>2.4297233946944111E+20</v>
      </c>
      <c r="JSK27" s="613">
        <f t="shared" ref="JSK27" si="3642">JSI27*$C$27</f>
        <v>2.4540206286413552E+20</v>
      </c>
      <c r="JSM27" s="613">
        <f t="shared" ref="JSM27" si="3643">JSK27*$C$27</f>
        <v>2.4785608349277687E+20</v>
      </c>
      <c r="JSO27" s="613">
        <f t="shared" ref="JSO27" si="3644">JSM27*$C$27</f>
        <v>2.5033464432770463E+20</v>
      </c>
      <c r="JSQ27" s="613">
        <f t="shared" ref="JSQ27" si="3645">JSO27*$C$27</f>
        <v>2.5283799077098167E+20</v>
      </c>
      <c r="JSS27" s="613">
        <f t="shared" ref="JSS27" si="3646">JSQ27*$C$27</f>
        <v>2.553663706786915E+20</v>
      </c>
      <c r="JSU27" s="613">
        <f t="shared" ref="JSU27" si="3647">JSS27*$C$27</f>
        <v>2.5792003438547842E+20</v>
      </c>
      <c r="JSW27" s="613">
        <f t="shared" ref="JSW27" si="3648">JSU27*$C$27</f>
        <v>2.6049923472933319E+20</v>
      </c>
      <c r="JSY27" s="613">
        <f t="shared" ref="JSY27" si="3649">JSW27*$C$27</f>
        <v>2.6310422707662651E+20</v>
      </c>
      <c r="JTA27" s="613">
        <f t="shared" ref="JTA27" si="3650">JSY27*$C$27</f>
        <v>2.6573526934739278E+20</v>
      </c>
      <c r="JTC27" s="613">
        <f t="shared" ref="JTC27" si="3651">JTA27*$C$27</f>
        <v>2.6839262204086672E+20</v>
      </c>
      <c r="JTE27" s="613">
        <f t="shared" ref="JTE27" si="3652">JTC27*$C$27</f>
        <v>2.710765482612754E+20</v>
      </c>
      <c r="JTG27" s="613">
        <f t="shared" ref="JTG27" si="3653">JTE27*$C$27</f>
        <v>2.7378731374388815E+20</v>
      </c>
      <c r="JTI27" s="613">
        <f t="shared" ref="JTI27" si="3654">JTG27*$C$27</f>
        <v>2.7652518688132704E+20</v>
      </c>
      <c r="JTK27" s="613">
        <f t="shared" ref="JTK27" si="3655">JTI27*$C$27</f>
        <v>2.792904387501403E+20</v>
      </c>
      <c r="JTM27" s="613">
        <f t="shared" ref="JTM27" si="3656">JTK27*$C$27</f>
        <v>2.8208334313764169E+20</v>
      </c>
      <c r="JTO27" s="613">
        <f t="shared" ref="JTO27" si="3657">JTM27*$C$27</f>
        <v>2.8490417656901812E+20</v>
      </c>
      <c r="JTQ27" s="613">
        <f t="shared" ref="JTQ27" si="3658">JTO27*$C$27</f>
        <v>2.877532183347083E+20</v>
      </c>
      <c r="JTS27" s="613">
        <f t="shared" ref="JTS27" si="3659">JTQ27*$C$27</f>
        <v>2.906307505180554E+20</v>
      </c>
      <c r="JTU27" s="613">
        <f t="shared" ref="JTU27" si="3660">JTS27*$C$27</f>
        <v>2.9353705802323594E+20</v>
      </c>
      <c r="JTW27" s="613">
        <f t="shared" ref="JTW27" si="3661">JTU27*$C$27</f>
        <v>2.9647242860346828E+20</v>
      </c>
      <c r="JTY27" s="613">
        <f t="shared" ref="JTY27" si="3662">JTW27*$C$27</f>
        <v>2.9943715288950296E+20</v>
      </c>
      <c r="JUA27" s="613">
        <f t="shared" ref="JUA27" si="3663">JTY27*$C$27</f>
        <v>3.02431524418398E+20</v>
      </c>
      <c r="JUC27" s="613">
        <f t="shared" ref="JUC27" si="3664">JUA27*$C$27</f>
        <v>3.0545583966258201E+20</v>
      </c>
      <c r="JUE27" s="613">
        <f t="shared" ref="JUE27" si="3665">JUC27*$C$27</f>
        <v>3.0851039805920785E+20</v>
      </c>
      <c r="JUG27" s="613">
        <f t="shared" ref="JUG27" si="3666">JUE27*$C$27</f>
        <v>3.1159550203979996E+20</v>
      </c>
      <c r="JUI27" s="613">
        <f t="shared" ref="JUI27" si="3667">JUG27*$C$27</f>
        <v>3.1471145706019796E+20</v>
      </c>
      <c r="JUK27" s="613">
        <f t="shared" ref="JUK27" si="3668">JUI27*$C$27</f>
        <v>3.1785857163079995E+20</v>
      </c>
      <c r="JUM27" s="613">
        <f t="shared" ref="JUM27" si="3669">JUK27*$C$27</f>
        <v>3.2103715734710793E+20</v>
      </c>
      <c r="JUO27" s="613">
        <f t="shared" ref="JUO27" si="3670">JUM27*$C$27</f>
        <v>3.2424752892057898E+20</v>
      </c>
      <c r="JUQ27" s="613">
        <f t="shared" ref="JUQ27" si="3671">JUO27*$C$27</f>
        <v>3.2749000420978478E+20</v>
      </c>
      <c r="JUS27" s="613">
        <f t="shared" ref="JUS27" si="3672">JUQ27*$C$27</f>
        <v>3.307649042518826E+20</v>
      </c>
      <c r="JUU27" s="613">
        <f t="shared" ref="JUU27" si="3673">JUS27*$C$27</f>
        <v>3.3407255329440144E+20</v>
      </c>
      <c r="JUW27" s="613">
        <f t="shared" ref="JUW27" si="3674">JUU27*$C$27</f>
        <v>3.3741327882734548E+20</v>
      </c>
      <c r="JUY27" s="613">
        <f t="shared" ref="JUY27" si="3675">JUW27*$C$27</f>
        <v>3.4078741161561896E+20</v>
      </c>
      <c r="JVA27" s="613">
        <f t="shared" ref="JVA27" si="3676">JUY27*$C$27</f>
        <v>3.4419528573177515E+20</v>
      </c>
      <c r="JVC27" s="613">
        <f t="shared" ref="JVC27" si="3677">JVA27*$C$27</f>
        <v>3.4763723858909292E+20</v>
      </c>
      <c r="JVE27" s="613">
        <f t="shared" ref="JVE27" si="3678">JVC27*$C$27</f>
        <v>3.5111361097498388E+20</v>
      </c>
      <c r="JVG27" s="613">
        <f t="shared" ref="JVG27" si="3679">JVE27*$C$27</f>
        <v>3.5462474708473374E+20</v>
      </c>
      <c r="JVI27" s="613">
        <f t="shared" ref="JVI27" si="3680">JVG27*$C$27</f>
        <v>3.581709945555811E+20</v>
      </c>
      <c r="JVK27" s="613">
        <f t="shared" ref="JVK27" si="3681">JVI27*$C$27</f>
        <v>3.6175270450113695E+20</v>
      </c>
      <c r="JVM27" s="613">
        <f t="shared" ref="JVM27" si="3682">JVK27*$C$27</f>
        <v>3.6537023154614829E+20</v>
      </c>
      <c r="JVO27" s="613">
        <f t="shared" ref="JVO27" si="3683">JVM27*$C$27</f>
        <v>3.690239338616098E+20</v>
      </c>
      <c r="JVQ27" s="613">
        <f t="shared" ref="JVQ27" si="3684">JVO27*$C$27</f>
        <v>3.7271417320022593E+20</v>
      </c>
      <c r="JVS27" s="613">
        <f t="shared" ref="JVS27" si="3685">JVQ27*$C$27</f>
        <v>3.7644131493222816E+20</v>
      </c>
      <c r="JVU27" s="613">
        <f t="shared" ref="JVU27" si="3686">JVS27*$C$27</f>
        <v>3.8020572808155044E+20</v>
      </c>
      <c r="JVW27" s="613">
        <f t="shared" ref="JVW27" si="3687">JVU27*$C$27</f>
        <v>3.8400778536236594E+20</v>
      </c>
      <c r="JVY27" s="613">
        <f t="shared" ref="JVY27" si="3688">JVW27*$C$27</f>
        <v>3.8784786321598959E+20</v>
      </c>
      <c r="JWA27" s="613">
        <f t="shared" ref="JWA27" si="3689">JVY27*$C$27</f>
        <v>3.9172634184814946E+20</v>
      </c>
      <c r="JWC27" s="613">
        <f t="shared" ref="JWC27" si="3690">JWA27*$C$27</f>
        <v>3.9564360526663097E+20</v>
      </c>
      <c r="JWE27" s="613">
        <f t="shared" ref="JWE27" si="3691">JWC27*$C$27</f>
        <v>3.9960004131929725E+20</v>
      </c>
      <c r="JWG27" s="613">
        <f t="shared" ref="JWG27" si="3692">JWE27*$C$27</f>
        <v>4.035960417324902E+20</v>
      </c>
      <c r="JWI27" s="613">
        <f t="shared" ref="JWI27" si="3693">JWG27*$C$27</f>
        <v>4.0763200214981509E+20</v>
      </c>
      <c r="JWK27" s="613">
        <f t="shared" ref="JWK27" si="3694">JWI27*$C$27</f>
        <v>4.1170832217131326E+20</v>
      </c>
      <c r="JWM27" s="613">
        <f t="shared" ref="JWM27" si="3695">JWK27*$C$27</f>
        <v>4.1582540539302642E+20</v>
      </c>
      <c r="JWO27" s="613">
        <f t="shared" ref="JWO27" si="3696">JWM27*$C$27</f>
        <v>4.1998365944695665E+20</v>
      </c>
      <c r="JWQ27" s="613">
        <f t="shared" ref="JWQ27" si="3697">JWO27*$C$27</f>
        <v>4.2418349604142626E+20</v>
      </c>
      <c r="JWS27" s="613">
        <f t="shared" ref="JWS27" si="3698">JWQ27*$C$27</f>
        <v>4.284253310018405E+20</v>
      </c>
      <c r="JWU27" s="613">
        <f t="shared" ref="JWU27" si="3699">JWS27*$C$27</f>
        <v>4.3270958431185889E+20</v>
      </c>
      <c r="JWW27" s="613">
        <f t="shared" ref="JWW27" si="3700">JWU27*$C$27</f>
        <v>4.3703668015497747E+20</v>
      </c>
      <c r="JWY27" s="613">
        <f t="shared" ref="JWY27" si="3701">JWW27*$C$27</f>
        <v>4.4140704695652726E+20</v>
      </c>
      <c r="JXA27" s="613">
        <f t="shared" ref="JXA27" si="3702">JWY27*$C$27</f>
        <v>4.4582111742609254E+20</v>
      </c>
      <c r="JXC27" s="613">
        <f t="shared" ref="JXC27" si="3703">JXA27*$C$27</f>
        <v>4.5027932860035347E+20</v>
      </c>
      <c r="JXE27" s="613">
        <f t="shared" ref="JXE27" si="3704">JXC27*$C$27</f>
        <v>4.54782121886357E+20</v>
      </c>
      <c r="JXG27" s="613">
        <f t="shared" ref="JXG27" si="3705">JXE27*$C$27</f>
        <v>4.5932994310522058E+20</v>
      </c>
      <c r="JXI27" s="613">
        <f t="shared" ref="JXI27" si="3706">JXG27*$C$27</f>
        <v>4.6392324253627279E+20</v>
      </c>
      <c r="JXK27" s="613">
        <f t="shared" ref="JXK27" si="3707">JXI27*$C$27</f>
        <v>4.6856247496163551E+20</v>
      </c>
      <c r="JXM27" s="613">
        <f t="shared" ref="JXM27" si="3708">JXK27*$C$27</f>
        <v>4.7324809971125184E+20</v>
      </c>
      <c r="JXO27" s="613">
        <f t="shared" ref="JXO27" si="3709">JXM27*$C$27</f>
        <v>4.7798058070836439E+20</v>
      </c>
      <c r="JXQ27" s="613">
        <f t="shared" ref="JXQ27" si="3710">JXO27*$C$27</f>
        <v>4.8276038651544804E+20</v>
      </c>
      <c r="JXS27" s="613">
        <f t="shared" ref="JXS27" si="3711">JXQ27*$C$27</f>
        <v>4.8758799038060252E+20</v>
      </c>
      <c r="JXU27" s="613">
        <f t="shared" ref="JXU27" si="3712">JXS27*$C$27</f>
        <v>4.9246387028440855E+20</v>
      </c>
      <c r="JXW27" s="613">
        <f t="shared" ref="JXW27" si="3713">JXU27*$C$27</f>
        <v>4.9738850898725267E+20</v>
      </c>
      <c r="JXY27" s="613">
        <f t="shared" ref="JXY27" si="3714">JXW27*$C$27</f>
        <v>5.0236239407712521E+20</v>
      </c>
      <c r="JYA27" s="613">
        <f t="shared" ref="JYA27" si="3715">JXY27*$C$27</f>
        <v>5.073860180178965E+20</v>
      </c>
      <c r="JYC27" s="613">
        <f t="shared" ref="JYC27" si="3716">JYA27*$C$27</f>
        <v>5.1245987819807546E+20</v>
      </c>
      <c r="JYE27" s="613">
        <f t="shared" ref="JYE27" si="3717">JYC27*$C$27</f>
        <v>5.1758447698005623E+20</v>
      </c>
      <c r="JYG27" s="613">
        <f t="shared" ref="JYG27" si="3718">JYE27*$C$27</f>
        <v>5.2276032174985681E+20</v>
      </c>
      <c r="JYI27" s="613">
        <f t="shared" ref="JYI27" si="3719">JYG27*$C$27</f>
        <v>5.2798792496735538E+20</v>
      </c>
      <c r="JYK27" s="613">
        <f t="shared" ref="JYK27" si="3720">JYI27*$C$27</f>
        <v>5.3326780421702897E+20</v>
      </c>
      <c r="JYM27" s="613">
        <f t="shared" ref="JYM27" si="3721">JYK27*$C$27</f>
        <v>5.3860048225919926E+20</v>
      </c>
      <c r="JYO27" s="613">
        <f t="shared" ref="JYO27" si="3722">JYM27*$C$27</f>
        <v>5.4398648708179126E+20</v>
      </c>
      <c r="JYQ27" s="613">
        <f t="shared" ref="JYQ27" si="3723">JYO27*$C$27</f>
        <v>5.4942635195260915E+20</v>
      </c>
      <c r="JYS27" s="613">
        <f t="shared" ref="JYS27" si="3724">JYQ27*$C$27</f>
        <v>5.5492061547213527E+20</v>
      </c>
      <c r="JYU27" s="613">
        <f t="shared" ref="JYU27" si="3725">JYS27*$C$27</f>
        <v>5.6046982162685664E+20</v>
      </c>
      <c r="JYW27" s="613">
        <f t="shared" ref="JYW27" si="3726">JYU27*$C$27</f>
        <v>5.660745198431252E+20</v>
      </c>
      <c r="JYY27" s="613">
        <f t="shared" ref="JYY27" si="3727">JYW27*$C$27</f>
        <v>5.7173526504155644E+20</v>
      </c>
      <c r="JZA27" s="613">
        <f t="shared" ref="JZA27" si="3728">JYY27*$C$27</f>
        <v>5.7745261769197198E+20</v>
      </c>
      <c r="JZC27" s="613">
        <f t="shared" ref="JZC27" si="3729">JZA27*$C$27</f>
        <v>5.8322714386889173E+20</v>
      </c>
      <c r="JZE27" s="613">
        <f t="shared" ref="JZE27" si="3730">JZC27*$C$27</f>
        <v>5.8905941530758067E+20</v>
      </c>
      <c r="JZG27" s="613">
        <f t="shared" ref="JZG27" si="3731">JZE27*$C$27</f>
        <v>5.9495000946065644E+20</v>
      </c>
      <c r="JZI27" s="613">
        <f t="shared" ref="JZI27" si="3732">JZG27*$C$27</f>
        <v>6.0089950955526305E+20</v>
      </c>
      <c r="JZK27" s="613">
        <f t="shared" ref="JZK27" si="3733">JZI27*$C$27</f>
        <v>6.0690850465081564E+20</v>
      </c>
      <c r="JZM27" s="613">
        <f t="shared" ref="JZM27" si="3734">JZK27*$C$27</f>
        <v>6.1297758969732386E+20</v>
      </c>
      <c r="JZO27" s="613">
        <f t="shared" ref="JZO27" si="3735">JZM27*$C$27</f>
        <v>6.1910736559429714E+20</v>
      </c>
      <c r="JZQ27" s="613">
        <f t="shared" ref="JZQ27" si="3736">JZO27*$C$27</f>
        <v>6.2529843925024008E+20</v>
      </c>
      <c r="JZS27" s="613">
        <f t="shared" ref="JZS27" si="3737">JZQ27*$C$27</f>
        <v>6.3155142364274242E+20</v>
      </c>
      <c r="JZU27" s="613">
        <f t="shared" ref="JZU27" si="3738">JZS27*$C$27</f>
        <v>6.3786693787916986E+20</v>
      </c>
      <c r="JZW27" s="613">
        <f t="shared" ref="JZW27" si="3739">JZU27*$C$27</f>
        <v>6.4424560725796153E+20</v>
      </c>
      <c r="JZY27" s="613">
        <f t="shared" ref="JZY27" si="3740">JZW27*$C$27</f>
        <v>6.5068806333054111E+20</v>
      </c>
      <c r="KAA27" s="613">
        <f t="shared" ref="KAA27" si="3741">JZY27*$C$27</f>
        <v>6.5719494396384654E+20</v>
      </c>
      <c r="KAC27" s="613">
        <f t="shared" ref="KAC27" si="3742">KAA27*$C$27</f>
        <v>6.6376689340348498E+20</v>
      </c>
      <c r="KAE27" s="613">
        <f t="shared" ref="KAE27" si="3743">KAC27*$C$27</f>
        <v>6.7040456233751989E+20</v>
      </c>
      <c r="KAG27" s="613">
        <f t="shared" ref="KAG27" si="3744">KAE27*$C$27</f>
        <v>6.7710860796089506E+20</v>
      </c>
      <c r="KAI27" s="613">
        <f t="shared" ref="KAI27" si="3745">KAG27*$C$27</f>
        <v>6.8387969404050407E+20</v>
      </c>
      <c r="KAK27" s="613">
        <f t="shared" ref="KAK27" si="3746">KAI27*$C$27</f>
        <v>6.9071849098090906E+20</v>
      </c>
      <c r="KAM27" s="613">
        <f t="shared" ref="KAM27" si="3747">KAK27*$C$27</f>
        <v>6.9762567589071815E+20</v>
      </c>
      <c r="KAO27" s="613">
        <f t="shared" ref="KAO27" si="3748">KAM27*$C$27</f>
        <v>7.0460193264962529E+20</v>
      </c>
      <c r="KAQ27" s="613">
        <f t="shared" ref="KAQ27" si="3749">KAO27*$C$27</f>
        <v>7.116479519761215E+20</v>
      </c>
      <c r="KAS27" s="613">
        <f t="shared" ref="KAS27" si="3750">KAQ27*$C$27</f>
        <v>7.1876443149588274E+20</v>
      </c>
      <c r="KAU27" s="613">
        <f t="shared" ref="KAU27" si="3751">KAS27*$C$27</f>
        <v>7.2595207581084156E+20</v>
      </c>
      <c r="KAW27" s="613">
        <f t="shared" ref="KAW27" si="3752">KAU27*$C$27</f>
        <v>7.3321159656894995E+20</v>
      </c>
      <c r="KAY27" s="613">
        <f t="shared" ref="KAY27" si="3753">KAW27*$C$27</f>
        <v>7.4054371253463941E+20</v>
      </c>
      <c r="KBA27" s="613">
        <f t="shared" ref="KBA27" si="3754">KAY27*$C$27</f>
        <v>7.4794914965998587E+20</v>
      </c>
      <c r="KBC27" s="613">
        <f t="shared" ref="KBC27" si="3755">KBA27*$C$27</f>
        <v>7.5542864115658575E+20</v>
      </c>
      <c r="KBE27" s="613">
        <f t="shared" ref="KBE27" si="3756">KBC27*$C$27</f>
        <v>7.6298292756815164E+20</v>
      </c>
      <c r="KBG27" s="613">
        <f t="shared" ref="KBG27" si="3757">KBE27*$C$27</f>
        <v>7.706127568438332E+20</v>
      </c>
      <c r="KBI27" s="613">
        <f t="shared" ref="KBI27" si="3758">KBG27*$C$27</f>
        <v>7.7831888441227149E+20</v>
      </c>
      <c r="KBK27" s="613">
        <f t="shared" ref="KBK27" si="3759">KBI27*$C$27</f>
        <v>7.8610207325639423E+20</v>
      </c>
      <c r="KBM27" s="613">
        <f t="shared" ref="KBM27" si="3760">KBK27*$C$27</f>
        <v>7.9396309398895814E+20</v>
      </c>
      <c r="KBO27" s="613">
        <f t="shared" ref="KBO27" si="3761">KBM27*$C$27</f>
        <v>8.0190272492884774E+20</v>
      </c>
      <c r="KBQ27" s="613">
        <f t="shared" ref="KBQ27" si="3762">KBO27*$C$27</f>
        <v>8.0992175217813619E+20</v>
      </c>
      <c r="KBS27" s="613">
        <f t="shared" ref="KBS27" si="3763">KBQ27*$C$27</f>
        <v>8.1802096969991756E+20</v>
      </c>
      <c r="KBU27" s="613">
        <f t="shared" ref="KBU27" si="3764">KBS27*$C$27</f>
        <v>8.2620117939691677E+20</v>
      </c>
      <c r="KBW27" s="613">
        <f t="shared" ref="KBW27" si="3765">KBU27*$C$27</f>
        <v>8.3446319119088589E+20</v>
      </c>
      <c r="KBY27" s="613">
        <f t="shared" ref="KBY27" si="3766">KBW27*$C$27</f>
        <v>8.4280782310279479E+20</v>
      </c>
      <c r="KCA27" s="613">
        <f t="shared" ref="KCA27" si="3767">KBY27*$C$27</f>
        <v>8.5123590133382277E+20</v>
      </c>
      <c r="KCC27" s="613">
        <f t="shared" ref="KCC27" si="3768">KCA27*$C$27</f>
        <v>8.5974826034716095E+20</v>
      </c>
      <c r="KCE27" s="613">
        <f t="shared" ref="KCE27" si="3769">KCC27*$C$27</f>
        <v>8.6834574295063252E+20</v>
      </c>
      <c r="KCG27" s="613">
        <f t="shared" ref="KCG27" si="3770">KCE27*$C$27</f>
        <v>8.7702920038013888E+20</v>
      </c>
      <c r="KCI27" s="613">
        <f t="shared" ref="KCI27" si="3771">KCG27*$C$27</f>
        <v>8.8579949238394028E+20</v>
      </c>
      <c r="KCK27" s="613">
        <f t="shared" ref="KCK27" si="3772">KCI27*$C$27</f>
        <v>8.9465748730777974E+20</v>
      </c>
      <c r="KCM27" s="613">
        <f t="shared" ref="KCM27" si="3773">KCK27*$C$27</f>
        <v>9.0360406218085748E+20</v>
      </c>
      <c r="KCO27" s="613">
        <f t="shared" ref="KCO27" si="3774">KCM27*$C$27</f>
        <v>9.1264010280266603E+20</v>
      </c>
      <c r="KCQ27" s="613">
        <f t="shared" ref="KCQ27" si="3775">KCO27*$C$27</f>
        <v>9.2176650383069269E+20</v>
      </c>
      <c r="KCS27" s="613">
        <f t="shared" ref="KCS27" si="3776">KCQ27*$C$27</f>
        <v>9.3098416886899959E+20</v>
      </c>
      <c r="KCU27" s="613">
        <f t="shared" ref="KCU27" si="3777">KCS27*$C$27</f>
        <v>9.4029401055768963E+20</v>
      </c>
      <c r="KCW27" s="613">
        <f t="shared" ref="KCW27" si="3778">KCU27*$C$27</f>
        <v>9.4969695066326657E+20</v>
      </c>
      <c r="KCY27" s="613">
        <f t="shared" ref="KCY27" si="3779">KCW27*$C$27</f>
        <v>9.591939201698992E+20</v>
      </c>
      <c r="KDA27" s="613">
        <f t="shared" ref="KDA27" si="3780">KCY27*$C$27</f>
        <v>9.6878585937159822E+20</v>
      </c>
      <c r="KDC27" s="613">
        <f t="shared" ref="KDC27" si="3781">KDA27*$C$27</f>
        <v>9.784737179653142E+20</v>
      </c>
      <c r="KDE27" s="613">
        <f t="shared" ref="KDE27" si="3782">KDC27*$C$27</f>
        <v>9.8825845514496731E+20</v>
      </c>
      <c r="KDG27" s="613">
        <f t="shared" ref="KDG27" si="3783">KDE27*$C$27</f>
        <v>9.98141039696417E+20</v>
      </c>
      <c r="KDI27" s="613">
        <f t="shared" ref="KDI27" si="3784">KDG27*$C$27</f>
        <v>1.0081224500933811E+21</v>
      </c>
      <c r="KDK27" s="613">
        <f t="shared" ref="KDK27" si="3785">KDI27*$C$27</f>
        <v>1.0182036745943149E+21</v>
      </c>
      <c r="KDM27" s="613">
        <f t="shared" ref="KDM27" si="3786">KDK27*$C$27</f>
        <v>1.0283857113402581E+21</v>
      </c>
      <c r="KDO27" s="613">
        <f t="shared" ref="KDO27" si="3787">KDM27*$C$27</f>
        <v>1.0386695684536606E+21</v>
      </c>
      <c r="KDQ27" s="613">
        <f t="shared" ref="KDQ27" si="3788">KDO27*$C$27</f>
        <v>1.0490562641381973E+21</v>
      </c>
      <c r="KDS27" s="613">
        <f t="shared" ref="KDS27" si="3789">KDQ27*$C$27</f>
        <v>1.0595468267795793E+21</v>
      </c>
      <c r="KDU27" s="613">
        <f t="shared" ref="KDU27" si="3790">KDS27*$C$27</f>
        <v>1.070142295047375E+21</v>
      </c>
      <c r="KDW27" s="613">
        <f t="shared" ref="KDW27" si="3791">KDU27*$C$27</f>
        <v>1.0808437179978488E+21</v>
      </c>
      <c r="KDY27" s="613">
        <f t="shared" ref="KDY27" si="3792">KDW27*$C$27</f>
        <v>1.0916521551778273E+21</v>
      </c>
      <c r="KEA27" s="613">
        <f t="shared" ref="KEA27" si="3793">KDY27*$C$27</f>
        <v>1.1025686767296056E+21</v>
      </c>
      <c r="KEC27" s="613">
        <f t="shared" ref="KEC27" si="3794">KEA27*$C$27</f>
        <v>1.1135943634969016E+21</v>
      </c>
      <c r="KEE27" s="613">
        <f t="shared" ref="KEE27" si="3795">KEC27*$C$27</f>
        <v>1.1247303071318707E+21</v>
      </c>
      <c r="KEG27" s="613">
        <f t="shared" ref="KEG27" si="3796">KEE27*$C$27</f>
        <v>1.1359776102031893E+21</v>
      </c>
      <c r="KEI27" s="613">
        <f t="shared" ref="KEI27" si="3797">KEG27*$C$27</f>
        <v>1.1473373863052213E+21</v>
      </c>
      <c r="KEK27" s="613">
        <f t="shared" ref="KEK27" si="3798">KEI27*$C$27</f>
        <v>1.1588107601682735E+21</v>
      </c>
      <c r="KEM27" s="613">
        <f t="shared" ref="KEM27" si="3799">KEK27*$C$27</f>
        <v>1.1703988677699562E+21</v>
      </c>
      <c r="KEO27" s="613">
        <f t="shared" ref="KEO27" si="3800">KEM27*$C$27</f>
        <v>1.1821028564476559E+21</v>
      </c>
      <c r="KEQ27" s="613">
        <f t="shared" ref="KEQ27" si="3801">KEO27*$C$27</f>
        <v>1.1939238850121326E+21</v>
      </c>
      <c r="KES27" s="613">
        <f t="shared" ref="KES27" si="3802">KEQ27*$C$27</f>
        <v>1.205863123862254E+21</v>
      </c>
      <c r="KEU27" s="613">
        <f t="shared" ref="KEU27" si="3803">KES27*$C$27</f>
        <v>1.2179217551008766E+21</v>
      </c>
      <c r="KEW27" s="613">
        <f t="shared" ref="KEW27" si="3804">KEU27*$C$27</f>
        <v>1.2301009726518854E+21</v>
      </c>
      <c r="KEY27" s="613">
        <f t="shared" ref="KEY27" si="3805">KEW27*$C$27</f>
        <v>1.2424019823784042E+21</v>
      </c>
      <c r="KFA27" s="613">
        <f t="shared" ref="KFA27" si="3806">KEY27*$C$27</f>
        <v>1.2548260022021883E+21</v>
      </c>
      <c r="KFC27" s="613">
        <f t="shared" ref="KFC27" si="3807">KFA27*$C$27</f>
        <v>1.2673742622242101E+21</v>
      </c>
      <c r="KFE27" s="613">
        <f t="shared" ref="KFE27" si="3808">KFC27*$C$27</f>
        <v>1.2800480048464522E+21</v>
      </c>
      <c r="KFG27" s="613">
        <f t="shared" ref="KFG27" si="3809">KFE27*$C$27</f>
        <v>1.2928484848949167E+21</v>
      </c>
      <c r="KFI27" s="613">
        <f t="shared" ref="KFI27" si="3810">KFG27*$C$27</f>
        <v>1.305776969743866E+21</v>
      </c>
      <c r="KFK27" s="613">
        <f t="shared" ref="KFK27" si="3811">KFI27*$C$27</f>
        <v>1.3188347394413046E+21</v>
      </c>
      <c r="KFM27" s="613">
        <f t="shared" ref="KFM27" si="3812">KFK27*$C$27</f>
        <v>1.3320230868357176E+21</v>
      </c>
      <c r="KFO27" s="613">
        <f t="shared" ref="KFO27" si="3813">KFM27*$C$27</f>
        <v>1.3453433177040749E+21</v>
      </c>
      <c r="KFQ27" s="613">
        <f t="shared" ref="KFQ27" si="3814">KFO27*$C$27</f>
        <v>1.3587967508811156E+21</v>
      </c>
      <c r="KFS27" s="613">
        <f t="shared" ref="KFS27" si="3815">KFQ27*$C$27</f>
        <v>1.3723847183899267E+21</v>
      </c>
      <c r="KFU27" s="613">
        <f t="shared" ref="KFU27" si="3816">KFS27*$C$27</f>
        <v>1.386108565573826E+21</v>
      </c>
      <c r="KFW27" s="613">
        <f t="shared" ref="KFW27" si="3817">KFU27*$C$27</f>
        <v>1.3999696512295643E+21</v>
      </c>
      <c r="KFY27" s="613">
        <f t="shared" ref="KFY27" si="3818">KFW27*$C$27</f>
        <v>1.41396934774186E+21</v>
      </c>
      <c r="KGA27" s="613">
        <f t="shared" ref="KGA27" si="3819">KFY27*$C$27</f>
        <v>1.4281090412192785E+21</v>
      </c>
      <c r="KGC27" s="613">
        <f t="shared" ref="KGC27" si="3820">KGA27*$C$27</f>
        <v>1.4423901316314712E+21</v>
      </c>
      <c r="KGE27" s="613">
        <f t="shared" ref="KGE27" si="3821">KGC27*$C$27</f>
        <v>1.456814032947786E+21</v>
      </c>
      <c r="KGG27" s="613">
        <f t="shared" ref="KGG27" si="3822">KGE27*$C$27</f>
        <v>1.471382173277264E+21</v>
      </c>
      <c r="KGI27" s="613">
        <f t="shared" ref="KGI27" si="3823">KGG27*$C$27</f>
        <v>1.4860959950100368E+21</v>
      </c>
      <c r="KGK27" s="613">
        <f t="shared" ref="KGK27" si="3824">KGI27*$C$27</f>
        <v>1.5009569549601373E+21</v>
      </c>
      <c r="KGM27" s="613">
        <f t="shared" ref="KGM27" si="3825">KGK27*$C$27</f>
        <v>1.5159665245097388E+21</v>
      </c>
      <c r="KGO27" s="613">
        <f t="shared" ref="KGO27" si="3826">KGM27*$C$27</f>
        <v>1.5311261897548361E+21</v>
      </c>
      <c r="KGQ27" s="613">
        <f t="shared" ref="KGQ27" si="3827">KGO27*$C$27</f>
        <v>1.5464374516523844E+21</v>
      </c>
      <c r="KGS27" s="613">
        <f t="shared" ref="KGS27" si="3828">KGQ27*$C$27</f>
        <v>1.5619018261689082E+21</v>
      </c>
      <c r="KGU27" s="613">
        <f t="shared" ref="KGU27" si="3829">KGS27*$C$27</f>
        <v>1.5775208444305972E+21</v>
      </c>
      <c r="KGW27" s="613">
        <f t="shared" ref="KGW27" si="3830">KGU27*$C$27</f>
        <v>1.593296052874903E+21</v>
      </c>
      <c r="KGY27" s="613">
        <f t="shared" ref="KGY27" si="3831">KGW27*$C$27</f>
        <v>1.6092290134036521E+21</v>
      </c>
      <c r="KHA27" s="613">
        <f t="shared" ref="KHA27" si="3832">KGY27*$C$27</f>
        <v>1.6253213035376885E+21</v>
      </c>
      <c r="KHC27" s="613">
        <f t="shared" ref="KHC27" si="3833">KHA27*$C$27</f>
        <v>1.6415745165730654E+21</v>
      </c>
      <c r="KHE27" s="613">
        <f t="shared" ref="KHE27" si="3834">KHC27*$C$27</f>
        <v>1.6579902617387962E+21</v>
      </c>
      <c r="KHG27" s="613">
        <f t="shared" ref="KHG27" si="3835">KHE27*$C$27</f>
        <v>1.6745701643561843E+21</v>
      </c>
      <c r="KHI27" s="613">
        <f t="shared" ref="KHI27" si="3836">KHG27*$C$27</f>
        <v>1.691315865999746E+21</v>
      </c>
      <c r="KHK27" s="613">
        <f t="shared" ref="KHK27" si="3837">KHI27*$C$27</f>
        <v>1.7082290246597434E+21</v>
      </c>
      <c r="KHM27" s="613">
        <f t="shared" ref="KHM27" si="3838">KHK27*$C$27</f>
        <v>1.7253113149063409E+21</v>
      </c>
      <c r="KHO27" s="613">
        <f t="shared" ref="KHO27" si="3839">KHM27*$C$27</f>
        <v>1.7425644280554043E+21</v>
      </c>
      <c r="KHQ27" s="613">
        <f t="shared" ref="KHQ27" si="3840">KHO27*$C$27</f>
        <v>1.7599900723359583E+21</v>
      </c>
      <c r="KHS27" s="613">
        <f t="shared" ref="KHS27" si="3841">KHQ27*$C$27</f>
        <v>1.7775899730593178E+21</v>
      </c>
      <c r="KHU27" s="613">
        <f t="shared" ref="KHU27" si="3842">KHS27*$C$27</f>
        <v>1.795365872789911E+21</v>
      </c>
      <c r="KHW27" s="613">
        <f t="shared" ref="KHW27" si="3843">KHU27*$C$27</f>
        <v>1.81331953151781E+21</v>
      </c>
      <c r="KHY27" s="613">
        <f t="shared" ref="KHY27" si="3844">KHW27*$C$27</f>
        <v>1.8314527268329882E+21</v>
      </c>
      <c r="KIA27" s="613">
        <f t="shared" ref="KIA27" si="3845">KHY27*$C$27</f>
        <v>1.8497672541013182E+21</v>
      </c>
      <c r="KIC27" s="613">
        <f t="shared" ref="KIC27" si="3846">KIA27*$C$27</f>
        <v>1.8682649266423315E+21</v>
      </c>
      <c r="KIE27" s="613">
        <f t="shared" ref="KIE27" si="3847">KIC27*$C$27</f>
        <v>1.8869475759087548E+21</v>
      </c>
      <c r="KIG27" s="613">
        <f t="shared" ref="KIG27" si="3848">KIE27*$C$27</f>
        <v>1.9058170516678425E+21</v>
      </c>
      <c r="KII27" s="613">
        <f t="shared" ref="KII27" si="3849">KIG27*$C$27</f>
        <v>1.9248752221845208E+21</v>
      </c>
      <c r="KIK27" s="613">
        <f t="shared" ref="KIK27" si="3850">KII27*$C$27</f>
        <v>1.944123974406366E+21</v>
      </c>
      <c r="KIM27" s="613">
        <f t="shared" ref="KIM27" si="3851">KIK27*$C$27</f>
        <v>1.9635652141504298E+21</v>
      </c>
      <c r="KIO27" s="613">
        <f t="shared" ref="KIO27" si="3852">KIM27*$C$27</f>
        <v>1.983200866291934E+21</v>
      </c>
      <c r="KIQ27" s="613">
        <f t="shared" ref="KIQ27" si="3853">KIO27*$C$27</f>
        <v>2.0030328749548534E+21</v>
      </c>
      <c r="KIS27" s="613">
        <f t="shared" ref="KIS27" si="3854">KIQ27*$C$27</f>
        <v>2.0230632037044021E+21</v>
      </c>
      <c r="KIU27" s="613">
        <f t="shared" ref="KIU27" si="3855">KIS27*$C$27</f>
        <v>2.043293835741446E+21</v>
      </c>
      <c r="KIW27" s="613">
        <f t="shared" ref="KIW27" si="3856">KIU27*$C$27</f>
        <v>2.0637267740988604E+21</v>
      </c>
      <c r="KIY27" s="613">
        <f t="shared" ref="KIY27" si="3857">KIW27*$C$27</f>
        <v>2.084364041839849E+21</v>
      </c>
      <c r="KJA27" s="613">
        <f t="shared" ref="KJA27" si="3858">KIY27*$C$27</f>
        <v>2.1052076822582476E+21</v>
      </c>
      <c r="KJC27" s="613">
        <f t="shared" ref="KJC27" si="3859">KJA27*$C$27</f>
        <v>2.1262597590808301E+21</v>
      </c>
      <c r="KJE27" s="613">
        <f t="shared" ref="KJE27" si="3860">KJC27*$C$27</f>
        <v>2.1475223566716384E+21</v>
      </c>
      <c r="KJG27" s="613">
        <f t="shared" ref="KJG27" si="3861">KJE27*$C$27</f>
        <v>2.1689975802383549E+21</v>
      </c>
      <c r="KJI27" s="613">
        <f t="shared" ref="KJI27" si="3862">KJG27*$C$27</f>
        <v>2.1906875560407385E+21</v>
      </c>
      <c r="KJK27" s="613">
        <f t="shared" ref="KJK27" si="3863">KJI27*$C$27</f>
        <v>2.2125944316011458E+21</v>
      </c>
      <c r="KJM27" s="613">
        <f t="shared" ref="KJM27" si="3864">KJK27*$C$27</f>
        <v>2.2347203759171573E+21</v>
      </c>
      <c r="KJO27" s="613">
        <f t="shared" ref="KJO27" si="3865">KJM27*$C$27</f>
        <v>2.257067579676329E+21</v>
      </c>
      <c r="KJQ27" s="613">
        <f t="shared" ref="KJQ27" si="3866">KJO27*$C$27</f>
        <v>2.2796382554730922E+21</v>
      </c>
      <c r="KJS27" s="613">
        <f t="shared" ref="KJS27" si="3867">KJQ27*$C$27</f>
        <v>2.3024346380278233E+21</v>
      </c>
      <c r="KJU27" s="613">
        <f t="shared" ref="KJU27" si="3868">KJS27*$C$27</f>
        <v>2.3254589844081014E+21</v>
      </c>
      <c r="KJW27" s="613">
        <f t="shared" ref="KJW27" si="3869">KJU27*$C$27</f>
        <v>2.3487135742521825E+21</v>
      </c>
      <c r="KJY27" s="613">
        <f t="shared" ref="KJY27" si="3870">KJW27*$C$27</f>
        <v>2.3722007099947043E+21</v>
      </c>
      <c r="KKA27" s="613">
        <f t="shared" ref="KKA27" si="3871">KJY27*$C$27</f>
        <v>2.3959227170946511E+21</v>
      </c>
      <c r="KKC27" s="613">
        <f t="shared" ref="KKC27" si="3872">KKA27*$C$27</f>
        <v>2.4198819442655976E+21</v>
      </c>
      <c r="KKE27" s="613">
        <f t="shared" ref="KKE27" si="3873">KKC27*$C$27</f>
        <v>2.4440807637082534E+21</v>
      </c>
      <c r="KKG27" s="613">
        <f t="shared" ref="KKG27" si="3874">KKE27*$C$27</f>
        <v>2.4685215713453361E+21</v>
      </c>
      <c r="KKI27" s="613">
        <f t="shared" ref="KKI27" si="3875">KKG27*$C$27</f>
        <v>2.4932067870587895E+21</v>
      </c>
      <c r="KKK27" s="613">
        <f t="shared" ref="KKK27" si="3876">KKI27*$C$27</f>
        <v>2.5181388549293773E+21</v>
      </c>
      <c r="KKM27" s="613">
        <f t="shared" ref="KKM27" si="3877">KKK27*$C$27</f>
        <v>2.5433202434786711E+21</v>
      </c>
      <c r="KKO27" s="613">
        <f t="shared" ref="KKO27" si="3878">KKM27*$C$27</f>
        <v>2.5687534459134579E+21</v>
      </c>
      <c r="KKQ27" s="613">
        <f t="shared" ref="KKQ27" si="3879">KKO27*$C$27</f>
        <v>2.5944409803725923E+21</v>
      </c>
      <c r="KKS27" s="613">
        <f t="shared" ref="KKS27" si="3880">KKQ27*$C$27</f>
        <v>2.6203853901763183E+21</v>
      </c>
      <c r="KKU27" s="613">
        <f t="shared" ref="KKU27" si="3881">KKS27*$C$27</f>
        <v>2.6465892440780817E+21</v>
      </c>
      <c r="KKW27" s="613">
        <f t="shared" ref="KKW27" si="3882">KKU27*$C$27</f>
        <v>2.6730551365188625E+21</v>
      </c>
      <c r="KKY27" s="613">
        <f t="shared" ref="KKY27" si="3883">KKW27*$C$27</f>
        <v>2.6997856878840513E+21</v>
      </c>
      <c r="KLA27" s="613">
        <f t="shared" ref="KLA27" si="3884">KKY27*$C$27</f>
        <v>2.7267835447628918E+21</v>
      </c>
      <c r="KLC27" s="613">
        <f t="shared" ref="KLC27" si="3885">KLA27*$C$27</f>
        <v>2.7540513802105206E+21</v>
      </c>
      <c r="KLE27" s="613">
        <f t="shared" ref="KLE27" si="3886">KLC27*$C$27</f>
        <v>2.7815918940126257E+21</v>
      </c>
      <c r="KLG27" s="613">
        <f t="shared" ref="KLG27" si="3887">KLE27*$C$27</f>
        <v>2.8094078129527519E+21</v>
      </c>
      <c r="KLI27" s="613">
        <f t="shared" ref="KLI27" si="3888">KLG27*$C$27</f>
        <v>2.8375018910822795E+21</v>
      </c>
      <c r="KLK27" s="613">
        <f t="shared" ref="KLK27" si="3889">KLI27*$C$27</f>
        <v>2.8658769099931024E+21</v>
      </c>
      <c r="KLM27" s="613">
        <f t="shared" ref="KLM27" si="3890">KLK27*$C$27</f>
        <v>2.8945356790930337E+21</v>
      </c>
      <c r="KLO27" s="613">
        <f t="shared" ref="KLO27" si="3891">KLM27*$C$27</f>
        <v>2.923481035883964E+21</v>
      </c>
      <c r="KLQ27" s="613">
        <f t="shared" ref="KLQ27" si="3892">KLO27*$C$27</f>
        <v>2.9527158462428039E+21</v>
      </c>
      <c r="KLS27" s="613">
        <f t="shared" ref="KLS27" si="3893">KLQ27*$C$27</f>
        <v>2.9822430047052319E+21</v>
      </c>
      <c r="KLU27" s="613">
        <f t="shared" ref="KLU27" si="3894">KLS27*$C$27</f>
        <v>3.0120654347522844E+21</v>
      </c>
      <c r="KLW27" s="613">
        <f t="shared" ref="KLW27" si="3895">KLU27*$C$27</f>
        <v>3.0421860890998074E+21</v>
      </c>
      <c r="KLY27" s="613">
        <f t="shared" ref="KLY27" si="3896">KLW27*$C$27</f>
        <v>3.0726079499908054E+21</v>
      </c>
      <c r="KMA27" s="613">
        <f t="shared" ref="KMA27" si="3897">KLY27*$C$27</f>
        <v>3.1033340294907135E+21</v>
      </c>
      <c r="KMC27" s="613">
        <f t="shared" ref="KMC27" si="3898">KMA27*$C$27</f>
        <v>3.1343673697856206E+21</v>
      </c>
      <c r="KME27" s="613">
        <f t="shared" ref="KME27" si="3899">KMC27*$C$27</f>
        <v>3.1657110434834767E+21</v>
      </c>
      <c r="KMG27" s="613">
        <f t="shared" ref="KMG27" si="3900">KME27*$C$27</f>
        <v>3.1973681539183112E+21</v>
      </c>
      <c r="KMI27" s="613">
        <f t="shared" ref="KMI27" si="3901">KMG27*$C$27</f>
        <v>3.2293418354574943E+21</v>
      </c>
      <c r="KMK27" s="613">
        <f t="shared" ref="KMK27" si="3902">KMI27*$C$27</f>
        <v>3.2616352538120694E+21</v>
      </c>
      <c r="KMM27" s="613">
        <f t="shared" ref="KMM27" si="3903">KMK27*$C$27</f>
        <v>3.2942516063501901E+21</v>
      </c>
      <c r="KMO27" s="613">
        <f t="shared" ref="KMO27" si="3904">KMM27*$C$27</f>
        <v>3.3271941224136919E+21</v>
      </c>
      <c r="KMQ27" s="613">
        <f t="shared" ref="KMQ27" si="3905">KMO27*$C$27</f>
        <v>3.3604660636378286E+21</v>
      </c>
      <c r="KMS27" s="613">
        <f t="shared" ref="KMS27" si="3906">KMQ27*$C$27</f>
        <v>3.3940707242742068E+21</v>
      </c>
      <c r="KMU27" s="613">
        <f t="shared" ref="KMU27" si="3907">KMS27*$C$27</f>
        <v>3.4280114315169487E+21</v>
      </c>
      <c r="KMW27" s="613">
        <f t="shared" ref="KMW27" si="3908">KMU27*$C$27</f>
        <v>3.4622915458321183E+21</v>
      </c>
      <c r="KMY27" s="613">
        <f t="shared" ref="KMY27" si="3909">KMW27*$C$27</f>
        <v>3.4969144612904396E+21</v>
      </c>
      <c r="KNA27" s="613">
        <f t="shared" ref="KNA27" si="3910">KMY27*$C$27</f>
        <v>3.5318836059033441E+21</v>
      </c>
      <c r="KNC27" s="613">
        <f t="shared" ref="KNC27" si="3911">KNA27*$C$27</f>
        <v>3.5672024419623774E+21</v>
      </c>
      <c r="KNE27" s="613">
        <f t="shared" ref="KNE27" si="3912">KNC27*$C$27</f>
        <v>3.6028744663820015E+21</v>
      </c>
      <c r="KNG27" s="613">
        <f t="shared" ref="KNG27" si="3913">KNE27*$C$27</f>
        <v>3.6389032110458216E+21</v>
      </c>
      <c r="KNI27" s="613">
        <f t="shared" ref="KNI27" si="3914">KNG27*$C$27</f>
        <v>3.67529224315628E+21</v>
      </c>
      <c r="KNK27" s="613">
        <f t="shared" ref="KNK27" si="3915">KNI27*$C$27</f>
        <v>3.7120451655878427E+21</v>
      </c>
      <c r="KNM27" s="613">
        <f t="shared" ref="KNM27" si="3916">KNK27*$C$27</f>
        <v>3.749165617243721E+21</v>
      </c>
      <c r="KNO27" s="613">
        <f t="shared" ref="KNO27" si="3917">KNM27*$C$27</f>
        <v>3.7866572734161585E+21</v>
      </c>
      <c r="KNQ27" s="613">
        <f t="shared" ref="KNQ27" si="3918">KNO27*$C$27</f>
        <v>3.82452384615032E+21</v>
      </c>
      <c r="KNS27" s="613">
        <f t="shared" ref="KNS27" si="3919">KNQ27*$C$27</f>
        <v>3.8627690846118231E+21</v>
      </c>
      <c r="KNU27" s="613">
        <f t="shared" ref="KNU27" si="3920">KNS27*$C$27</f>
        <v>3.9013967754579416E+21</v>
      </c>
      <c r="KNW27" s="613">
        <f t="shared" ref="KNW27" si="3921">KNU27*$C$27</f>
        <v>3.940410743212521E+21</v>
      </c>
      <c r="KNY27" s="613">
        <f t="shared" ref="KNY27" si="3922">KNW27*$C$27</f>
        <v>3.9798148506446463E+21</v>
      </c>
      <c r="KOA27" s="613">
        <f t="shared" ref="KOA27" si="3923">KNY27*$C$27</f>
        <v>4.019612999151093E+21</v>
      </c>
      <c r="KOC27" s="613">
        <f t="shared" ref="KOC27" si="3924">KOA27*$C$27</f>
        <v>4.059809129142604E+21</v>
      </c>
      <c r="KOE27" s="613">
        <f t="shared" ref="KOE27" si="3925">KOC27*$C$27</f>
        <v>4.1004072204340303E+21</v>
      </c>
      <c r="KOG27" s="613">
        <f t="shared" ref="KOG27" si="3926">KOE27*$C$27</f>
        <v>4.1414112926383709E+21</v>
      </c>
      <c r="KOI27" s="613">
        <f t="shared" ref="KOI27" si="3927">KOG27*$C$27</f>
        <v>4.1828254055647549E+21</v>
      </c>
      <c r="KOK27" s="613">
        <f t="shared" ref="KOK27" si="3928">KOI27*$C$27</f>
        <v>4.2246536596204023E+21</v>
      </c>
      <c r="KOM27" s="613">
        <f t="shared" ref="KOM27" si="3929">KOK27*$C$27</f>
        <v>4.2669001962166063E+21</v>
      </c>
      <c r="KOO27" s="613">
        <f t="shared" ref="KOO27" si="3930">KOM27*$C$27</f>
        <v>4.3095691981787722E+21</v>
      </c>
      <c r="KOQ27" s="613">
        <f t="shared" ref="KOQ27" si="3931">KOO27*$C$27</f>
        <v>4.3526648901605602E+21</v>
      </c>
      <c r="KOS27" s="613">
        <f t="shared" ref="KOS27" si="3932">KOQ27*$C$27</f>
        <v>4.3961915390621657E+21</v>
      </c>
      <c r="KOU27" s="613">
        <f t="shared" ref="KOU27" si="3933">KOS27*$C$27</f>
        <v>4.4401534544527874E+21</v>
      </c>
      <c r="KOW27" s="613">
        <f t="shared" ref="KOW27" si="3934">KOU27*$C$27</f>
        <v>4.4845549889973151E+21</v>
      </c>
      <c r="KOY27" s="613">
        <f t="shared" ref="KOY27" si="3935">KOW27*$C$27</f>
        <v>4.5294005388872883E+21</v>
      </c>
      <c r="KPA27" s="613">
        <f t="shared" ref="KPA27" si="3936">KOY27*$C$27</f>
        <v>4.5746945442761613E+21</v>
      </c>
      <c r="KPC27" s="613">
        <f t="shared" ref="KPC27" si="3937">KPA27*$C$27</f>
        <v>4.6204414897189227E+21</v>
      </c>
      <c r="KPE27" s="613">
        <f t="shared" ref="KPE27" si="3938">KPC27*$C$27</f>
        <v>4.6666459046161117E+21</v>
      </c>
      <c r="KPG27" s="613">
        <f t="shared" ref="KPG27" si="3939">KPE27*$C$27</f>
        <v>4.7133123636622729E+21</v>
      </c>
      <c r="KPI27" s="613">
        <f t="shared" ref="KPI27" si="3940">KPG27*$C$27</f>
        <v>4.7604454872988957E+21</v>
      </c>
      <c r="KPK27" s="613">
        <f t="shared" ref="KPK27" si="3941">KPI27*$C$27</f>
        <v>4.8080499421718847E+21</v>
      </c>
      <c r="KPM27" s="613">
        <f t="shared" ref="KPM27" si="3942">KPK27*$C$27</f>
        <v>4.8561304415936038E+21</v>
      </c>
      <c r="KPO27" s="613">
        <f t="shared" ref="KPO27" si="3943">KPM27*$C$27</f>
        <v>4.9046917460095402E+21</v>
      </c>
      <c r="KPQ27" s="613">
        <f t="shared" ref="KPQ27" si="3944">KPO27*$C$27</f>
        <v>4.9537386634696353E+21</v>
      </c>
      <c r="KPS27" s="613">
        <f t="shared" ref="KPS27" si="3945">KPQ27*$C$27</f>
        <v>5.0032760501043315E+21</v>
      </c>
      <c r="KPU27" s="613">
        <f t="shared" ref="KPU27" si="3946">KPS27*$C$27</f>
        <v>5.0533088106053747E+21</v>
      </c>
      <c r="KPW27" s="613">
        <f t="shared" ref="KPW27" si="3947">KPU27*$C$27</f>
        <v>5.1038418987114289E+21</v>
      </c>
      <c r="KPY27" s="613">
        <f t="shared" ref="KPY27" si="3948">KPW27*$C$27</f>
        <v>5.1548803176985432E+21</v>
      </c>
      <c r="KQA27" s="613">
        <f t="shared" ref="KQA27" si="3949">KPY27*$C$27</f>
        <v>5.2064291208755287E+21</v>
      </c>
      <c r="KQC27" s="613">
        <f t="shared" ref="KQC27" si="3950">KQA27*$C$27</f>
        <v>5.2584934120842844E+21</v>
      </c>
      <c r="KQE27" s="613">
        <f t="shared" ref="KQE27" si="3951">KQC27*$C$27</f>
        <v>5.3110783462051278E+21</v>
      </c>
      <c r="KQG27" s="613">
        <f t="shared" ref="KQG27" si="3952">KQE27*$C$27</f>
        <v>5.3641891296671789E+21</v>
      </c>
      <c r="KQI27" s="613">
        <f t="shared" ref="KQI27" si="3953">KQG27*$C$27</f>
        <v>5.4178310209638509E+21</v>
      </c>
      <c r="KQK27" s="613">
        <f t="shared" ref="KQK27" si="3954">KQI27*$C$27</f>
        <v>5.4720093311734896E+21</v>
      </c>
      <c r="KQM27" s="613">
        <f t="shared" ref="KQM27" si="3955">KQK27*$C$27</f>
        <v>5.5267294244852245E+21</v>
      </c>
      <c r="KQO27" s="613">
        <f t="shared" ref="KQO27" si="3956">KQM27*$C$27</f>
        <v>5.5819967187300773E+21</v>
      </c>
      <c r="KQQ27" s="613">
        <f t="shared" ref="KQQ27" si="3957">KQO27*$C$27</f>
        <v>5.6378166859173777E+21</v>
      </c>
      <c r="KQS27" s="613">
        <f t="shared" ref="KQS27" si="3958">KQQ27*$C$27</f>
        <v>5.6941948527765514E+21</v>
      </c>
      <c r="KQU27" s="613">
        <f t="shared" ref="KQU27" si="3959">KQS27*$C$27</f>
        <v>5.7511368013043173E+21</v>
      </c>
      <c r="KQW27" s="613">
        <f t="shared" ref="KQW27" si="3960">KQU27*$C$27</f>
        <v>5.8086481693173602E+21</v>
      </c>
      <c r="KQY27" s="613">
        <f t="shared" ref="KQY27" si="3961">KQW27*$C$27</f>
        <v>5.8667346510105343E+21</v>
      </c>
      <c r="KRA27" s="613">
        <f t="shared" ref="KRA27" si="3962">KQY27*$C$27</f>
        <v>5.9254019975206394E+21</v>
      </c>
      <c r="KRC27" s="613">
        <f t="shared" ref="KRC27" si="3963">KRA27*$C$27</f>
        <v>5.9846560174958455E+21</v>
      </c>
      <c r="KRE27" s="613">
        <f t="shared" ref="KRE27" si="3964">KRC27*$C$27</f>
        <v>6.0445025776708039E+21</v>
      </c>
      <c r="KRG27" s="613">
        <f t="shared" ref="KRG27" si="3965">KRE27*$C$27</f>
        <v>6.1049476034475118E+21</v>
      </c>
      <c r="KRI27" s="613">
        <f t="shared" ref="KRI27" si="3966">KRG27*$C$27</f>
        <v>6.1659970794819871E+21</v>
      </c>
      <c r="KRK27" s="613">
        <f t="shared" ref="KRK27" si="3967">KRI27*$C$27</f>
        <v>6.2276570502768068E+21</v>
      </c>
      <c r="KRM27" s="613">
        <f t="shared" ref="KRM27" si="3968">KRK27*$C$27</f>
        <v>6.2899336207795749E+21</v>
      </c>
      <c r="KRO27" s="613">
        <f t="shared" ref="KRO27" si="3969">KRM27*$C$27</f>
        <v>6.3528329569873712E+21</v>
      </c>
      <c r="KRQ27" s="613">
        <f t="shared" ref="KRQ27" si="3970">KRO27*$C$27</f>
        <v>6.4163612865572446E+21</v>
      </c>
      <c r="KRS27" s="613">
        <f t="shared" ref="KRS27" si="3971">KRQ27*$C$27</f>
        <v>6.480524899422817E+21</v>
      </c>
      <c r="KRU27" s="613">
        <f t="shared" ref="KRU27" si="3972">KRS27*$C$27</f>
        <v>6.5453301484170447E+21</v>
      </c>
      <c r="KRW27" s="613">
        <f t="shared" ref="KRW27" si="3973">KRU27*$C$27</f>
        <v>6.6107834499012147E+21</v>
      </c>
      <c r="KRY27" s="613">
        <f t="shared" ref="KRY27" si="3974">KRW27*$C$27</f>
        <v>6.676891284400227E+21</v>
      </c>
      <c r="KSA27" s="613">
        <f t="shared" ref="KSA27" si="3975">KRY27*$C$27</f>
        <v>6.7436601972442289E+21</v>
      </c>
      <c r="KSC27" s="613">
        <f t="shared" ref="KSC27" si="3976">KSA27*$C$27</f>
        <v>6.8110967992166709E+21</v>
      </c>
      <c r="KSE27" s="613">
        <f t="shared" ref="KSE27" si="3977">KSC27*$C$27</f>
        <v>6.879207767208838E+21</v>
      </c>
      <c r="KSG27" s="613">
        <f t="shared" ref="KSG27" si="3978">KSE27*$C$27</f>
        <v>6.9479998448809269E+21</v>
      </c>
      <c r="KSI27" s="613">
        <f t="shared" ref="KSI27" si="3979">KSG27*$C$27</f>
        <v>7.0174798433297367E+21</v>
      </c>
      <c r="KSK27" s="613">
        <f t="shared" ref="KSK27" si="3980">KSI27*$C$27</f>
        <v>7.0876546417630338E+21</v>
      </c>
      <c r="KSM27" s="613">
        <f t="shared" ref="KSM27" si="3981">KSK27*$C$27</f>
        <v>7.1585311881806647E+21</v>
      </c>
      <c r="KSO27" s="613">
        <f t="shared" ref="KSO27" si="3982">KSM27*$C$27</f>
        <v>7.2301165000624712E+21</v>
      </c>
      <c r="KSQ27" s="613">
        <f t="shared" ref="KSQ27" si="3983">KSO27*$C$27</f>
        <v>7.3024176650630956E+21</v>
      </c>
      <c r="KSS27" s="613">
        <f t="shared" ref="KSS27" si="3984">KSQ27*$C$27</f>
        <v>7.3754418417137269E+21</v>
      </c>
      <c r="KSU27" s="613">
        <f t="shared" ref="KSU27" si="3985">KSS27*$C$27</f>
        <v>7.4491962601308642E+21</v>
      </c>
      <c r="KSW27" s="613">
        <f t="shared" ref="KSW27" si="3986">KSU27*$C$27</f>
        <v>7.5236882227321729E+21</v>
      </c>
      <c r="KSY27" s="613">
        <f t="shared" ref="KSY27" si="3987">KSW27*$C$27</f>
        <v>7.5989251049594951E+21</v>
      </c>
      <c r="KTA27" s="613">
        <f t="shared" ref="KTA27" si="3988">KSY27*$C$27</f>
        <v>7.6749143560090896E+21</v>
      </c>
      <c r="KTC27" s="613">
        <f t="shared" ref="KTC27" si="3989">KTA27*$C$27</f>
        <v>7.7516634995691807E+21</v>
      </c>
      <c r="KTE27" s="613">
        <f t="shared" ref="KTE27" si="3990">KTC27*$C$27</f>
        <v>7.8291801345648723E+21</v>
      </c>
      <c r="KTG27" s="613">
        <f t="shared" ref="KTG27" si="3991">KTE27*$C$27</f>
        <v>7.9074719359105216E+21</v>
      </c>
      <c r="KTI27" s="613">
        <f t="shared" ref="KTI27" si="3992">KTG27*$C$27</f>
        <v>7.9865466552696271E+21</v>
      </c>
      <c r="KTK27" s="613">
        <f t="shared" ref="KTK27" si="3993">KTI27*$C$27</f>
        <v>8.0664121218223235E+21</v>
      </c>
      <c r="KTM27" s="613">
        <f t="shared" ref="KTM27" si="3994">KTK27*$C$27</f>
        <v>8.1470762430405468E+21</v>
      </c>
      <c r="KTO27" s="613">
        <f t="shared" ref="KTO27" si="3995">KTM27*$C$27</f>
        <v>8.2285470054709524E+21</v>
      </c>
      <c r="KTQ27" s="613">
        <f t="shared" ref="KTQ27" si="3996">KTO27*$C$27</f>
        <v>8.3108324755256619E+21</v>
      </c>
      <c r="KTS27" s="613">
        <f t="shared" ref="KTS27" si="3997">KTQ27*$C$27</f>
        <v>8.3939408002809185E+21</v>
      </c>
      <c r="KTU27" s="613">
        <f t="shared" ref="KTU27" si="3998">KTS27*$C$27</f>
        <v>8.4778802082837273E+21</v>
      </c>
      <c r="KTW27" s="613">
        <f t="shared" ref="KTW27" si="3999">KTU27*$C$27</f>
        <v>8.562659010366565E+21</v>
      </c>
      <c r="KTY27" s="613">
        <f t="shared" ref="KTY27" si="4000">KTW27*$C$27</f>
        <v>8.6482856004702312E+21</v>
      </c>
      <c r="KUA27" s="613">
        <f t="shared" ref="KUA27" si="4001">KTY27*$C$27</f>
        <v>8.7347684564749339E+21</v>
      </c>
      <c r="KUC27" s="613">
        <f t="shared" ref="KUC27" si="4002">KUA27*$C$27</f>
        <v>8.8221161410396831E+21</v>
      </c>
      <c r="KUE27" s="613">
        <f t="shared" ref="KUE27" si="4003">KUC27*$C$27</f>
        <v>8.9103373024500803E+21</v>
      </c>
      <c r="KUG27" s="613">
        <f t="shared" ref="KUG27" si="4004">KUE27*$C$27</f>
        <v>8.9994406754745812E+21</v>
      </c>
      <c r="KUI27" s="613">
        <f t="shared" ref="KUI27" si="4005">KUG27*$C$27</f>
        <v>9.0894350822293268E+21</v>
      </c>
      <c r="KUK27" s="613">
        <f t="shared" ref="KUK27" si="4006">KUI27*$C$27</f>
        <v>9.1803294330516197E+21</v>
      </c>
      <c r="KUM27" s="613">
        <f t="shared" ref="KUM27" si="4007">KUK27*$C$27</f>
        <v>9.2721327273821361E+21</v>
      </c>
      <c r="KUO27" s="613">
        <f t="shared" ref="KUO27" si="4008">KUM27*$C$27</f>
        <v>9.3648540546559577E+21</v>
      </c>
      <c r="KUQ27" s="613">
        <f t="shared" ref="KUQ27" si="4009">KUO27*$C$27</f>
        <v>9.458502595202517E+21</v>
      </c>
      <c r="KUS27" s="613">
        <f t="shared" ref="KUS27" si="4010">KUQ27*$C$27</f>
        <v>9.5530876211545432E+21</v>
      </c>
      <c r="KUU27" s="613">
        <f t="shared" ref="KUU27" si="4011">KUS27*$C$27</f>
        <v>9.648618497366089E+21</v>
      </c>
      <c r="KUW27" s="613">
        <f t="shared" ref="KUW27" si="4012">KUU27*$C$27</f>
        <v>9.7451046823397509E+21</v>
      </c>
      <c r="KUY27" s="613">
        <f t="shared" ref="KUY27" si="4013">KUW27*$C$27</f>
        <v>9.8425557291631494E+21</v>
      </c>
      <c r="KVA27" s="613">
        <f t="shared" ref="KVA27" si="4014">KUY27*$C$27</f>
        <v>9.94098128645478E+21</v>
      </c>
      <c r="KVC27" s="613">
        <f t="shared" ref="KVC27" si="4015">KVA27*$C$27</f>
        <v>1.0040391099319327E+22</v>
      </c>
      <c r="KVE27" s="613">
        <f t="shared" ref="KVE27" si="4016">KVC27*$C$27</f>
        <v>1.0140795010312521E+22</v>
      </c>
      <c r="KVG27" s="613">
        <f t="shared" ref="KVG27" si="4017">KVE27*$C$27</f>
        <v>1.0242202960415647E+22</v>
      </c>
      <c r="KVI27" s="613">
        <f t="shared" ref="KVI27" si="4018">KVG27*$C$27</f>
        <v>1.0344624990019803E+22</v>
      </c>
      <c r="KVK27" s="613">
        <f t="shared" ref="KVK27" si="4019">KVI27*$C$27</f>
        <v>1.0448071239920001E+22</v>
      </c>
      <c r="KVM27" s="613">
        <f t="shared" ref="KVM27" si="4020">KVK27*$C$27</f>
        <v>1.0552551952319202E+22</v>
      </c>
      <c r="KVO27" s="613">
        <f t="shared" ref="KVO27" si="4021">KVM27*$C$27</f>
        <v>1.0658077471842394E+22</v>
      </c>
      <c r="KVQ27" s="613">
        <f t="shared" ref="KVQ27" si="4022">KVO27*$C$27</f>
        <v>1.0764658246560818E+22</v>
      </c>
      <c r="KVS27" s="613">
        <f t="shared" ref="KVS27" si="4023">KVQ27*$C$27</f>
        <v>1.0872304829026426E+22</v>
      </c>
      <c r="KVU27" s="613">
        <f t="shared" ref="KVU27" si="4024">KVS27*$C$27</f>
        <v>1.0981027877316691E+22</v>
      </c>
      <c r="KVW27" s="613">
        <f t="shared" ref="KVW27" si="4025">KVU27*$C$27</f>
        <v>1.1090838156089858E+22</v>
      </c>
      <c r="KVY27" s="613">
        <f t="shared" ref="KVY27" si="4026">KVW27*$C$27</f>
        <v>1.1201746537650758E+22</v>
      </c>
      <c r="KWA27" s="613">
        <f t="shared" ref="KWA27" si="4027">KVY27*$C$27</f>
        <v>1.1313764003027266E+22</v>
      </c>
      <c r="KWC27" s="613">
        <f t="shared" ref="KWC27" si="4028">KWA27*$C$27</f>
        <v>1.1426901643057537E+22</v>
      </c>
      <c r="KWE27" s="613">
        <f t="shared" ref="KWE27" si="4029">KWC27*$C$27</f>
        <v>1.1541170659488113E+22</v>
      </c>
      <c r="KWG27" s="613">
        <f t="shared" ref="KWG27" si="4030">KWE27*$C$27</f>
        <v>1.1656582366082995E+22</v>
      </c>
      <c r="KWI27" s="613">
        <f t="shared" ref="KWI27" si="4031">KWG27*$C$27</f>
        <v>1.1773148189743825E+22</v>
      </c>
      <c r="KWK27" s="613">
        <f t="shared" ref="KWK27" si="4032">KWI27*$C$27</f>
        <v>1.1890879671641263E+22</v>
      </c>
      <c r="KWM27" s="613">
        <f t="shared" ref="KWM27" si="4033">KWK27*$C$27</f>
        <v>1.2009788468357675E+22</v>
      </c>
      <c r="KWO27" s="613">
        <f t="shared" ref="KWO27" si="4034">KWM27*$C$27</f>
        <v>1.2129886353041251E+22</v>
      </c>
      <c r="KWQ27" s="613">
        <f t="shared" ref="KWQ27" si="4035">KWO27*$C$27</f>
        <v>1.2251185216571664E+22</v>
      </c>
      <c r="KWS27" s="613">
        <f t="shared" ref="KWS27" si="4036">KWQ27*$C$27</f>
        <v>1.2373697068737382E+22</v>
      </c>
      <c r="KWU27" s="613">
        <f t="shared" ref="KWU27" si="4037">KWS27*$C$27</f>
        <v>1.2497434039424756E+22</v>
      </c>
      <c r="KWW27" s="613">
        <f t="shared" ref="KWW27" si="4038">KWU27*$C$27</f>
        <v>1.2622408379819004E+22</v>
      </c>
      <c r="KWY27" s="613">
        <f t="shared" ref="KWY27" si="4039">KWW27*$C$27</f>
        <v>1.2748632463617194E+22</v>
      </c>
      <c r="KXA27" s="613">
        <f t="shared" ref="KXA27" si="4040">KWY27*$C$27</f>
        <v>1.2876118788253365E+22</v>
      </c>
      <c r="KXC27" s="613">
        <f t="shared" ref="KXC27" si="4041">KXA27*$C$27</f>
        <v>1.3004879976135899E+22</v>
      </c>
      <c r="KXE27" s="613">
        <f t="shared" ref="KXE27" si="4042">KXC27*$C$27</f>
        <v>1.3134928775897258E+22</v>
      </c>
      <c r="KXG27" s="613">
        <f t="shared" ref="KXG27" si="4043">KXE27*$C$27</f>
        <v>1.3266278063656231E+22</v>
      </c>
      <c r="KXI27" s="613">
        <f t="shared" ref="KXI27" si="4044">KXG27*$C$27</f>
        <v>1.3398940844292793E+22</v>
      </c>
      <c r="KXK27" s="613">
        <f t="shared" ref="KXK27" si="4045">KXI27*$C$27</f>
        <v>1.3532930252735722E+22</v>
      </c>
      <c r="KXM27" s="613">
        <f t="shared" ref="KXM27" si="4046">KXK27*$C$27</f>
        <v>1.366825955526308E+22</v>
      </c>
      <c r="KXO27" s="613">
        <f t="shared" ref="KXO27" si="4047">KXM27*$C$27</f>
        <v>1.3804942150815711E+22</v>
      </c>
      <c r="KXQ27" s="613">
        <f t="shared" ref="KXQ27" si="4048">KXO27*$C$27</f>
        <v>1.3942991572323868E+22</v>
      </c>
      <c r="KXS27" s="613">
        <f t="shared" ref="KXS27" si="4049">KXQ27*$C$27</f>
        <v>1.4082421488047106E+22</v>
      </c>
      <c r="KXU27" s="613">
        <f t="shared" ref="KXU27" si="4050">KXS27*$C$27</f>
        <v>1.4223245702927577E+22</v>
      </c>
      <c r="KXW27" s="613">
        <f t="shared" ref="KXW27" si="4051">KXU27*$C$27</f>
        <v>1.4365478159956853E+22</v>
      </c>
      <c r="KXY27" s="613">
        <f t="shared" ref="KXY27" si="4052">KXW27*$C$27</f>
        <v>1.4509132941556422E+22</v>
      </c>
      <c r="KYA27" s="613">
        <f t="shared" ref="KYA27" si="4053">KXY27*$C$27</f>
        <v>1.4654224270971986E+22</v>
      </c>
      <c r="KYC27" s="613">
        <f t="shared" ref="KYC27" si="4054">KYA27*$C$27</f>
        <v>1.4800766513681705E+22</v>
      </c>
      <c r="KYE27" s="613">
        <f t="shared" ref="KYE27" si="4055">KYC27*$C$27</f>
        <v>1.4948774178818523E+22</v>
      </c>
      <c r="KYG27" s="613">
        <f t="shared" ref="KYG27" si="4056">KYE27*$C$27</f>
        <v>1.5098261920606709E+22</v>
      </c>
      <c r="KYI27" s="613">
        <f t="shared" ref="KYI27" si="4057">KYG27*$C$27</f>
        <v>1.5249244539812777E+22</v>
      </c>
      <c r="KYK27" s="613">
        <f t="shared" ref="KYK27" si="4058">KYI27*$C$27</f>
        <v>1.5401736985210905E+22</v>
      </c>
      <c r="KYM27" s="613">
        <f t="shared" ref="KYM27" si="4059">KYK27*$C$27</f>
        <v>1.5555754355063014E+22</v>
      </c>
      <c r="KYO27" s="613">
        <f t="shared" ref="KYO27" si="4060">KYM27*$C$27</f>
        <v>1.5711311898613643E+22</v>
      </c>
      <c r="KYQ27" s="613">
        <f t="shared" ref="KYQ27" si="4061">KYO27*$C$27</f>
        <v>1.586842501759978E+22</v>
      </c>
      <c r="KYS27" s="613">
        <f t="shared" ref="KYS27" si="4062">KYQ27*$C$27</f>
        <v>1.6027109267775779E+22</v>
      </c>
      <c r="KYU27" s="613">
        <f t="shared" ref="KYU27" si="4063">KYS27*$C$27</f>
        <v>1.6187380360453537E+22</v>
      </c>
      <c r="KYW27" s="613">
        <f t="shared" ref="KYW27" si="4064">KYU27*$C$27</f>
        <v>1.6349254164058072E+22</v>
      </c>
      <c r="KYY27" s="613">
        <f t="shared" ref="KYY27" si="4065">KYW27*$C$27</f>
        <v>1.6512746705698653E+22</v>
      </c>
      <c r="KZA27" s="613">
        <f t="shared" ref="KZA27" si="4066">KYY27*$C$27</f>
        <v>1.6677874172755641E+22</v>
      </c>
      <c r="KZC27" s="613">
        <f t="shared" ref="KZC27" si="4067">KZA27*$C$27</f>
        <v>1.6844652914483197E+22</v>
      </c>
      <c r="KZE27" s="613">
        <f t="shared" ref="KZE27" si="4068">KZC27*$C$27</f>
        <v>1.701309944362803E+22</v>
      </c>
      <c r="KZG27" s="613">
        <f t="shared" ref="KZG27" si="4069">KZE27*$C$27</f>
        <v>1.7183230438064312E+22</v>
      </c>
      <c r="KZI27" s="613">
        <f t="shared" ref="KZI27" si="4070">KZG27*$C$27</f>
        <v>1.7355062742444954E+22</v>
      </c>
      <c r="KZK27" s="613">
        <f t="shared" ref="KZK27" si="4071">KZI27*$C$27</f>
        <v>1.7528613369869404E+22</v>
      </c>
      <c r="KZM27" s="613">
        <f t="shared" ref="KZM27" si="4072">KZK27*$C$27</f>
        <v>1.7703899503568097E+22</v>
      </c>
      <c r="KZO27" s="613">
        <f t="shared" ref="KZO27" si="4073">KZM27*$C$27</f>
        <v>1.7880938498603778E+22</v>
      </c>
      <c r="KZQ27" s="613">
        <f t="shared" ref="KZQ27" si="4074">KZO27*$C$27</f>
        <v>1.8059747883589816E+22</v>
      </c>
      <c r="KZS27" s="613">
        <f t="shared" ref="KZS27" si="4075">KZQ27*$C$27</f>
        <v>1.8240345362425715E+22</v>
      </c>
      <c r="KZU27" s="613">
        <f t="shared" ref="KZU27" si="4076">KZS27*$C$27</f>
        <v>1.8422748816049971E+22</v>
      </c>
      <c r="KZW27" s="613">
        <f t="shared" ref="KZW27" si="4077">KZU27*$C$27</f>
        <v>1.8606976304210472E+22</v>
      </c>
      <c r="KZY27" s="613">
        <f t="shared" ref="KZY27" si="4078">KZW27*$C$27</f>
        <v>1.8793046067252577E+22</v>
      </c>
      <c r="LAA27" s="613">
        <f t="shared" ref="LAA27" si="4079">KZY27*$C$27</f>
        <v>1.8980976527925102E+22</v>
      </c>
      <c r="LAC27" s="613">
        <f t="shared" ref="LAC27" si="4080">LAA27*$C$27</f>
        <v>1.9170786293204352E+22</v>
      </c>
      <c r="LAE27" s="613">
        <f t="shared" ref="LAE27" si="4081">LAC27*$C$27</f>
        <v>1.9362494156136396E+22</v>
      </c>
      <c r="LAG27" s="613">
        <f t="shared" ref="LAG27" si="4082">LAE27*$C$27</f>
        <v>1.9556119097697762E+22</v>
      </c>
      <c r="LAI27" s="613">
        <f t="shared" ref="LAI27" si="4083">LAG27*$C$27</f>
        <v>1.9751680288674739E+22</v>
      </c>
      <c r="LAK27" s="613">
        <f t="shared" ref="LAK27" si="4084">LAI27*$C$27</f>
        <v>1.9949197091561487E+22</v>
      </c>
      <c r="LAM27" s="613">
        <f t="shared" ref="LAM27" si="4085">LAK27*$C$27</f>
        <v>2.0148689062477102E+22</v>
      </c>
      <c r="LAO27" s="613">
        <f t="shared" ref="LAO27" si="4086">LAM27*$C$27</f>
        <v>2.0350175953101873E+22</v>
      </c>
      <c r="LAQ27" s="613">
        <f t="shared" ref="LAQ27" si="4087">LAO27*$C$27</f>
        <v>2.0553677712632891E+22</v>
      </c>
      <c r="LAS27" s="613">
        <f t="shared" ref="LAS27" si="4088">LAQ27*$C$27</f>
        <v>2.075921448975922E+22</v>
      </c>
      <c r="LAU27" s="613">
        <f t="shared" ref="LAU27" si="4089">LAS27*$C$27</f>
        <v>2.0966806634656814E+22</v>
      </c>
      <c r="LAW27" s="613">
        <f t="shared" ref="LAW27" si="4090">LAU27*$C$27</f>
        <v>2.1176474701003382E+22</v>
      </c>
      <c r="LAY27" s="613">
        <f t="shared" ref="LAY27" si="4091">LAW27*$C$27</f>
        <v>2.1388239448013416E+22</v>
      </c>
      <c r="LBA27" s="613">
        <f t="shared" ref="LBA27" si="4092">LAY27*$C$27</f>
        <v>2.1602121842493552E+22</v>
      </c>
      <c r="LBC27" s="613">
        <f t="shared" ref="LBC27" si="4093">LBA27*$C$27</f>
        <v>2.1818143060918486E+22</v>
      </c>
      <c r="LBE27" s="613">
        <f t="shared" ref="LBE27" si="4094">LBC27*$C$27</f>
        <v>2.2036324491527671E+22</v>
      </c>
      <c r="LBG27" s="613">
        <f t="shared" ref="LBG27" si="4095">LBE27*$C$27</f>
        <v>2.2256687736442948E+22</v>
      </c>
      <c r="LBI27" s="613">
        <f t="shared" ref="LBI27" si="4096">LBG27*$C$27</f>
        <v>2.2479254613807377E+22</v>
      </c>
      <c r="LBK27" s="613">
        <f t="shared" ref="LBK27" si="4097">LBI27*$C$27</f>
        <v>2.2704047159945451E+22</v>
      </c>
      <c r="LBM27" s="613">
        <f t="shared" ref="LBM27" si="4098">LBK27*$C$27</f>
        <v>2.2931087631544907E+22</v>
      </c>
      <c r="LBO27" s="613">
        <f t="shared" ref="LBO27" si="4099">LBM27*$C$27</f>
        <v>2.3160398507860359E+22</v>
      </c>
      <c r="LBQ27" s="613">
        <f t="shared" ref="LBQ27" si="4100">LBO27*$C$27</f>
        <v>2.3392002492938962E+22</v>
      </c>
      <c r="LBS27" s="613">
        <f t="shared" ref="LBS27" si="4101">LBQ27*$C$27</f>
        <v>2.3625922517868351E+22</v>
      </c>
      <c r="LBU27" s="613">
        <f t="shared" ref="LBU27" si="4102">LBS27*$C$27</f>
        <v>2.3862181743047035E+22</v>
      </c>
      <c r="LBW27" s="613">
        <f t="shared" ref="LBW27" si="4103">LBU27*$C$27</f>
        <v>2.4100803560477504E+22</v>
      </c>
      <c r="LBY27" s="613">
        <f t="shared" ref="LBY27" si="4104">LBW27*$C$27</f>
        <v>2.4341811596082278E+22</v>
      </c>
      <c r="LCA27" s="613">
        <f t="shared" ref="LCA27" si="4105">LBY27*$C$27</f>
        <v>2.4585229712043102E+22</v>
      </c>
      <c r="LCC27" s="613">
        <f t="shared" ref="LCC27" si="4106">LCA27*$C$27</f>
        <v>2.4831082009163532E+22</v>
      </c>
      <c r="LCE27" s="613">
        <f t="shared" ref="LCE27" si="4107">LCC27*$C$27</f>
        <v>2.5079392829255165E+22</v>
      </c>
      <c r="LCG27" s="613">
        <f t="shared" ref="LCG27" si="4108">LCE27*$C$27</f>
        <v>2.5330186757547716E+22</v>
      </c>
      <c r="LCI27" s="613">
        <f t="shared" ref="LCI27" si="4109">LCG27*$C$27</f>
        <v>2.5583488625123191E+22</v>
      </c>
      <c r="LCK27" s="613">
        <f t="shared" ref="LCK27" si="4110">LCI27*$C$27</f>
        <v>2.5839323511374425E+22</v>
      </c>
      <c r="LCM27" s="613">
        <f t="shared" ref="LCM27" si="4111">LCK27*$C$27</f>
        <v>2.609771674648817E+22</v>
      </c>
      <c r="LCO27" s="613">
        <f t="shared" ref="LCO27" si="4112">LCM27*$C$27</f>
        <v>2.6358693913953053E+22</v>
      </c>
      <c r="LCQ27" s="613">
        <f t="shared" ref="LCQ27" si="4113">LCO27*$C$27</f>
        <v>2.6622280853092584E+22</v>
      </c>
      <c r="LCS27" s="613">
        <f t="shared" ref="LCS27" si="4114">LCQ27*$C$27</f>
        <v>2.6888503661623511E+22</v>
      </c>
      <c r="LCU27" s="613">
        <f t="shared" ref="LCU27" si="4115">LCS27*$C$27</f>
        <v>2.7157388698239745E+22</v>
      </c>
      <c r="LCW27" s="613">
        <f t="shared" ref="LCW27" si="4116">LCU27*$C$27</f>
        <v>2.7428962585222144E+22</v>
      </c>
      <c r="LCY27" s="613">
        <f t="shared" ref="LCY27" si="4117">LCW27*$C$27</f>
        <v>2.7703252211074366E+22</v>
      </c>
      <c r="LDA27" s="613">
        <f t="shared" ref="LDA27" si="4118">LCY27*$C$27</f>
        <v>2.7980284733185111E+22</v>
      </c>
      <c r="LDC27" s="613">
        <f t="shared" ref="LDC27" si="4119">LDA27*$C$27</f>
        <v>2.8260087580516961E+22</v>
      </c>
      <c r="LDE27" s="613">
        <f t="shared" ref="LDE27" si="4120">LDC27*$C$27</f>
        <v>2.8542688456322132E+22</v>
      </c>
      <c r="LDG27" s="613">
        <f t="shared" ref="LDG27" si="4121">LDE27*$C$27</f>
        <v>2.8828115340885353E+22</v>
      </c>
      <c r="LDI27" s="613">
        <f t="shared" ref="LDI27" si="4122">LDG27*$C$27</f>
        <v>2.9116396494294205E+22</v>
      </c>
      <c r="LDK27" s="613">
        <f t="shared" ref="LDK27" si="4123">LDI27*$C$27</f>
        <v>2.9407560459237145E+22</v>
      </c>
      <c r="LDM27" s="613">
        <f t="shared" ref="LDM27" si="4124">LDK27*$C$27</f>
        <v>2.9701636063829516E+22</v>
      </c>
      <c r="LDO27" s="613">
        <f t="shared" ref="LDO27" si="4125">LDM27*$C$27</f>
        <v>2.9998652424467813E+22</v>
      </c>
      <c r="LDQ27" s="613">
        <f t="shared" ref="LDQ27" si="4126">LDO27*$C$27</f>
        <v>3.0298638948712493E+22</v>
      </c>
      <c r="LDS27" s="613">
        <f t="shared" ref="LDS27" si="4127">LDQ27*$C$27</f>
        <v>3.0601625338199618E+22</v>
      </c>
      <c r="LDU27" s="613">
        <f t="shared" ref="LDU27" si="4128">LDS27*$C$27</f>
        <v>3.0907641591581613E+22</v>
      </c>
      <c r="LDW27" s="613">
        <f t="shared" ref="LDW27" si="4129">LDU27*$C$27</f>
        <v>3.1216718007497432E+22</v>
      </c>
      <c r="LDY27" s="613">
        <f t="shared" ref="LDY27" si="4130">LDW27*$C$27</f>
        <v>3.1528885187572406E+22</v>
      </c>
      <c r="LEA27" s="613">
        <f t="shared" ref="LEA27" si="4131">LDY27*$C$27</f>
        <v>3.184417403944813E+22</v>
      </c>
      <c r="LEC27" s="613">
        <f t="shared" ref="LEC27" si="4132">LEA27*$C$27</f>
        <v>3.2162615779842612E+22</v>
      </c>
      <c r="LEE27" s="613">
        <f t="shared" ref="LEE27" si="4133">LEC27*$C$27</f>
        <v>3.2484241937641039E+22</v>
      </c>
      <c r="LEG27" s="613">
        <f t="shared" ref="LEG27" si="4134">LEE27*$C$27</f>
        <v>3.2809084357017451E+22</v>
      </c>
      <c r="LEI27" s="613">
        <f t="shared" ref="LEI27" si="4135">LEG27*$C$27</f>
        <v>3.3137175200587626E+22</v>
      </c>
      <c r="LEK27" s="613">
        <f t="shared" ref="LEK27" si="4136">LEI27*$C$27</f>
        <v>3.34685469525935E+22</v>
      </c>
      <c r="LEM27" s="613">
        <f t="shared" ref="LEM27" si="4137">LEK27*$C$27</f>
        <v>3.3803232422119436E+22</v>
      </c>
      <c r="LEO27" s="613">
        <f t="shared" ref="LEO27" si="4138">LEM27*$C$27</f>
        <v>3.4141264746340631E+22</v>
      </c>
      <c r="LEQ27" s="613">
        <f t="shared" ref="LEQ27" si="4139">LEO27*$C$27</f>
        <v>3.4482677393804038E+22</v>
      </c>
      <c r="LES27" s="613">
        <f t="shared" ref="LES27" si="4140">LEQ27*$C$27</f>
        <v>3.4827504167742077E+22</v>
      </c>
      <c r="LEU27" s="613">
        <f t="shared" ref="LEU27" si="4141">LES27*$C$27</f>
        <v>3.5175779209419497E+22</v>
      </c>
      <c r="LEW27" s="613">
        <f t="shared" ref="LEW27" si="4142">LEU27*$C$27</f>
        <v>3.5527537001513693E+22</v>
      </c>
      <c r="LEY27" s="613">
        <f t="shared" ref="LEY27" si="4143">LEW27*$C$27</f>
        <v>3.5882812371528831E+22</v>
      </c>
      <c r="LFA27" s="613">
        <f t="shared" ref="LFA27" si="4144">LEY27*$C$27</f>
        <v>3.624164049524412E+22</v>
      </c>
      <c r="LFC27" s="613">
        <f t="shared" ref="LFC27" si="4145">LFA27*$C$27</f>
        <v>3.6604056900196563E+22</v>
      </c>
      <c r="LFE27" s="613">
        <f t="shared" ref="LFE27" si="4146">LFC27*$C$27</f>
        <v>3.6970097469198529E+22</v>
      </c>
      <c r="LFG27" s="613">
        <f t="shared" ref="LFG27" si="4147">LFE27*$C$27</f>
        <v>3.7339798443890515E+22</v>
      </c>
      <c r="LFI27" s="613">
        <f t="shared" ref="LFI27" si="4148">LFG27*$C$27</f>
        <v>3.7713196428329419E+22</v>
      </c>
      <c r="LFK27" s="613">
        <f t="shared" ref="LFK27" si="4149">LFI27*$C$27</f>
        <v>3.8090328392612713E+22</v>
      </c>
      <c r="LFM27" s="613">
        <f t="shared" ref="LFM27" si="4150">LFK27*$C$27</f>
        <v>3.8471231676538839E+22</v>
      </c>
      <c r="LFO27" s="613">
        <f t="shared" ref="LFO27" si="4151">LFM27*$C$27</f>
        <v>3.8855943993304226E+22</v>
      </c>
      <c r="LFQ27" s="613">
        <f t="shared" ref="LFQ27" si="4152">LFO27*$C$27</f>
        <v>3.9244503433237265E+22</v>
      </c>
      <c r="LFS27" s="613">
        <f t="shared" ref="LFS27" si="4153">LFQ27*$C$27</f>
        <v>3.9636948467569637E+22</v>
      </c>
      <c r="LFU27" s="613">
        <f t="shared" ref="LFU27" si="4154">LFS27*$C$27</f>
        <v>4.0033317952245333E+22</v>
      </c>
      <c r="LFW27" s="613">
        <f t="shared" ref="LFW27" si="4155">LFU27*$C$27</f>
        <v>4.0433651131767786E+22</v>
      </c>
      <c r="LFY27" s="613">
        <f t="shared" ref="LFY27" si="4156">LFW27*$C$27</f>
        <v>4.0837987643085466E+22</v>
      </c>
      <c r="LGA27" s="613">
        <f t="shared" ref="LGA27" si="4157">LFY27*$C$27</f>
        <v>4.124636751951632E+22</v>
      </c>
      <c r="LGC27" s="613">
        <f t="shared" ref="LGC27" si="4158">LGA27*$C$27</f>
        <v>4.1658831194711487E+22</v>
      </c>
      <c r="LGE27" s="613">
        <f t="shared" ref="LGE27" si="4159">LGC27*$C$27</f>
        <v>4.2075419506658603E+22</v>
      </c>
      <c r="LGG27" s="613">
        <f t="shared" ref="LGG27" si="4160">LGE27*$C$27</f>
        <v>4.2496173701725193E+22</v>
      </c>
      <c r="LGI27" s="613">
        <f t="shared" ref="LGI27" si="4161">LGG27*$C$27</f>
        <v>4.2921135438742449E+22</v>
      </c>
      <c r="LGK27" s="613">
        <f t="shared" ref="LGK27" si="4162">LGI27*$C$27</f>
        <v>4.3350346793129878E+22</v>
      </c>
      <c r="LGM27" s="613">
        <f t="shared" ref="LGM27" si="4163">LGK27*$C$27</f>
        <v>4.3783850261061176E+22</v>
      </c>
      <c r="LGO27" s="613">
        <f t="shared" ref="LGO27" si="4164">LGM27*$C$27</f>
        <v>4.4221688763671789E+22</v>
      </c>
      <c r="LGQ27" s="613">
        <f t="shared" ref="LGQ27" si="4165">LGO27*$C$27</f>
        <v>4.4663905651308508E+22</v>
      </c>
      <c r="LGS27" s="613">
        <f t="shared" ref="LGS27" si="4166">LGQ27*$C$27</f>
        <v>4.5110544707821593E+22</v>
      </c>
      <c r="LGU27" s="613">
        <f t="shared" ref="LGU27" si="4167">LGS27*$C$27</f>
        <v>4.5561650154899811E+22</v>
      </c>
      <c r="LGW27" s="613">
        <f t="shared" ref="LGW27" si="4168">LGU27*$C$27</f>
        <v>4.6017266656448814E+22</v>
      </c>
      <c r="LGY27" s="613">
        <f t="shared" ref="LGY27" si="4169">LGW27*$C$27</f>
        <v>4.64774393230133E+22</v>
      </c>
      <c r="LHA27" s="613">
        <f t="shared" ref="LHA27" si="4170">LGY27*$C$27</f>
        <v>4.6942213716243437E+22</v>
      </c>
      <c r="LHC27" s="613">
        <f t="shared" ref="LHC27" si="4171">LHA27*$C$27</f>
        <v>4.741163585340587E+22</v>
      </c>
      <c r="LHE27" s="613">
        <f t="shared" ref="LHE27" si="4172">LHC27*$C$27</f>
        <v>4.7885752211939931E+22</v>
      </c>
      <c r="LHG27" s="613">
        <f t="shared" ref="LHG27" si="4173">LHE27*$C$27</f>
        <v>4.836460973405933E+22</v>
      </c>
      <c r="LHI27" s="613">
        <f t="shared" ref="LHI27" si="4174">LHG27*$C$27</f>
        <v>4.8848255831399922E+22</v>
      </c>
      <c r="LHK27" s="613">
        <f t="shared" ref="LHK27" si="4175">LHI27*$C$27</f>
        <v>4.9336738389713922E+22</v>
      </c>
      <c r="LHM27" s="613">
        <f t="shared" ref="LHM27" si="4176">LHK27*$C$27</f>
        <v>4.9830105773611065E+22</v>
      </c>
      <c r="LHO27" s="613">
        <f t="shared" ref="LHO27" si="4177">LHM27*$C$27</f>
        <v>5.0328406831347179E+22</v>
      </c>
      <c r="LHQ27" s="613">
        <f t="shared" ref="LHQ27" si="4178">LHO27*$C$27</f>
        <v>5.0831690899660653E+22</v>
      </c>
      <c r="LHS27" s="613">
        <f t="shared" ref="LHS27" si="4179">LHQ27*$C$27</f>
        <v>5.1340007808657263E+22</v>
      </c>
      <c r="LHU27" s="613">
        <f t="shared" ref="LHU27" si="4180">LHS27*$C$27</f>
        <v>5.1853407886743836E+22</v>
      </c>
      <c r="LHW27" s="613">
        <f t="shared" ref="LHW27" si="4181">LHU27*$C$27</f>
        <v>5.2371941965611273E+22</v>
      </c>
      <c r="LHY27" s="613">
        <f t="shared" ref="LHY27" si="4182">LHW27*$C$27</f>
        <v>5.2895661385267389E+22</v>
      </c>
      <c r="LIA27" s="613">
        <f t="shared" ref="LIA27" si="4183">LHY27*$C$27</f>
        <v>5.3424617999120061E+22</v>
      </c>
      <c r="LIC27" s="613">
        <f t="shared" ref="LIC27" si="4184">LIA27*$C$27</f>
        <v>5.3958864179111263E+22</v>
      </c>
      <c r="LIE27" s="613">
        <f t="shared" ref="LIE27" si="4185">LIC27*$C$27</f>
        <v>5.449845282090238E+22</v>
      </c>
      <c r="LIG27" s="613">
        <f t="shared" ref="LIG27" si="4186">LIE27*$C$27</f>
        <v>5.50434373491114E+22</v>
      </c>
      <c r="LII27" s="613">
        <f t="shared" ref="LII27" si="4187">LIG27*$C$27</f>
        <v>5.5593871722602513E+22</v>
      </c>
      <c r="LIK27" s="613">
        <f t="shared" ref="LIK27" si="4188">LII27*$C$27</f>
        <v>5.6149810439828537E+22</v>
      </c>
      <c r="LIM27" s="613">
        <f t="shared" ref="LIM27" si="4189">LIK27*$C$27</f>
        <v>5.6711308544226823E+22</v>
      </c>
      <c r="LIO27" s="613">
        <f t="shared" ref="LIO27" si="4190">LIM27*$C$27</f>
        <v>5.7278421629669088E+22</v>
      </c>
      <c r="LIQ27" s="613">
        <f t="shared" ref="LIQ27" si="4191">LIO27*$C$27</f>
        <v>5.7851205845965783E+22</v>
      </c>
      <c r="LIS27" s="613">
        <f t="shared" ref="LIS27" si="4192">LIQ27*$C$27</f>
        <v>5.8429717904425442E+22</v>
      </c>
      <c r="LIU27" s="613">
        <f t="shared" ref="LIU27" si="4193">LIS27*$C$27</f>
        <v>5.9014015083469695E+22</v>
      </c>
      <c r="LIW27" s="613">
        <f t="shared" ref="LIW27" si="4194">LIU27*$C$27</f>
        <v>5.9604155234304391E+22</v>
      </c>
      <c r="LIY27" s="613">
        <f t="shared" ref="LIY27" si="4195">LIW27*$C$27</f>
        <v>6.0200196786647435E+22</v>
      </c>
      <c r="LJA27" s="613">
        <f t="shared" ref="LJA27" si="4196">LIY27*$C$27</f>
        <v>6.0802198754513912E+22</v>
      </c>
      <c r="LJC27" s="613">
        <f t="shared" ref="LJC27" si="4197">LJA27*$C$27</f>
        <v>6.1410220742059051E+22</v>
      </c>
      <c r="LJE27" s="613">
        <f t="shared" ref="LJE27" si="4198">LJC27*$C$27</f>
        <v>6.2024322949479641E+22</v>
      </c>
      <c r="LJG27" s="613">
        <f t="shared" ref="LJG27" si="4199">LJE27*$C$27</f>
        <v>6.2644566178974438E+22</v>
      </c>
      <c r="LJI27" s="613">
        <f t="shared" ref="LJI27" si="4200">LJG27*$C$27</f>
        <v>6.3271011840764179E+22</v>
      </c>
      <c r="LJK27" s="613">
        <f t="shared" ref="LJK27" si="4201">LJI27*$C$27</f>
        <v>6.3903721959171824E+22</v>
      </c>
      <c r="LJM27" s="613">
        <f t="shared" ref="LJM27" si="4202">LJK27*$C$27</f>
        <v>6.4542759178763539E+22</v>
      </c>
      <c r="LJO27" s="613">
        <f t="shared" ref="LJO27" si="4203">LJM27*$C$27</f>
        <v>6.5188186770551177E+22</v>
      </c>
      <c r="LJQ27" s="613">
        <f t="shared" ref="LJQ27" si="4204">LJO27*$C$27</f>
        <v>6.5840068638256686E+22</v>
      </c>
      <c r="LJS27" s="613">
        <f t="shared" ref="LJS27" si="4205">LJQ27*$C$27</f>
        <v>6.6498469324639256E+22</v>
      </c>
      <c r="LJU27" s="613">
        <f t="shared" ref="LJU27" si="4206">LJS27*$C$27</f>
        <v>6.7163454017885652E+22</v>
      </c>
      <c r="LJW27" s="613">
        <f t="shared" ref="LJW27" si="4207">LJU27*$C$27</f>
        <v>6.7835088558064507E+22</v>
      </c>
      <c r="LJY27" s="613">
        <f t="shared" ref="LJY27" si="4208">LJW27*$C$27</f>
        <v>6.8513439443645152E+22</v>
      </c>
      <c r="LKA27" s="613">
        <f t="shared" ref="LKA27" si="4209">LJY27*$C$27</f>
        <v>6.9198573838081603E+22</v>
      </c>
      <c r="LKC27" s="613">
        <f t="shared" ref="LKC27" si="4210">LKA27*$C$27</f>
        <v>6.989055957646242E+22</v>
      </c>
      <c r="LKE27" s="613">
        <f t="shared" ref="LKE27" si="4211">LKC27*$C$27</f>
        <v>7.0589465172227041E+22</v>
      </c>
      <c r="LKG27" s="613">
        <f t="shared" ref="LKG27" si="4212">LKE27*$C$27</f>
        <v>7.1295359823949312E+22</v>
      </c>
      <c r="LKI27" s="613">
        <f t="shared" ref="LKI27" si="4213">LKG27*$C$27</f>
        <v>7.2008313422188804E+22</v>
      </c>
      <c r="LKK27" s="613">
        <f t="shared" ref="LKK27" si="4214">LKI27*$C$27</f>
        <v>7.2728396556410691E+22</v>
      </c>
      <c r="LKM27" s="613">
        <f t="shared" ref="LKM27" si="4215">LKK27*$C$27</f>
        <v>7.3455680521974797E+22</v>
      </c>
      <c r="LKO27" s="613">
        <f t="shared" ref="LKO27" si="4216">LKM27*$C$27</f>
        <v>7.4190237327194547E+22</v>
      </c>
      <c r="LKQ27" s="613">
        <f t="shared" ref="LKQ27" si="4217">LKO27*$C$27</f>
        <v>7.4932139700466492E+22</v>
      </c>
      <c r="LKS27" s="613">
        <f t="shared" ref="LKS27" si="4218">LKQ27*$C$27</f>
        <v>7.5681461097471156E+22</v>
      </c>
      <c r="LKU27" s="613">
        <f t="shared" ref="LKU27" si="4219">LKS27*$C$27</f>
        <v>7.6438275708445866E+22</v>
      </c>
      <c r="LKW27" s="613">
        <f t="shared" ref="LKW27" si="4220">LKU27*$C$27</f>
        <v>7.7202658465530327E+22</v>
      </c>
      <c r="LKY27" s="613">
        <f t="shared" ref="LKY27" si="4221">LKW27*$C$27</f>
        <v>7.7974685050185624E+22</v>
      </c>
      <c r="LLA27" s="613">
        <f t="shared" ref="LLA27" si="4222">LKY27*$C$27</f>
        <v>7.8754431900687484E+22</v>
      </c>
      <c r="LLC27" s="613">
        <f t="shared" ref="LLC27" si="4223">LLA27*$C$27</f>
        <v>7.9541976219694364E+22</v>
      </c>
      <c r="LLE27" s="613">
        <f t="shared" ref="LLE27" si="4224">LLC27*$C$27</f>
        <v>8.0337395981891316E+22</v>
      </c>
      <c r="LLG27" s="613">
        <f t="shared" ref="LLG27" si="4225">LLE27*$C$27</f>
        <v>8.1140769941710224E+22</v>
      </c>
      <c r="LLI27" s="613">
        <f t="shared" ref="LLI27" si="4226">LLG27*$C$27</f>
        <v>8.1952177641127322E+22</v>
      </c>
      <c r="LLK27" s="613">
        <f t="shared" ref="LLK27" si="4227">LLI27*$C$27</f>
        <v>8.2771699417538594E+22</v>
      </c>
      <c r="LLM27" s="613">
        <f t="shared" ref="LLM27" si="4228">LLK27*$C$27</f>
        <v>8.3599416411713981E+22</v>
      </c>
      <c r="LLO27" s="613">
        <f t="shared" ref="LLO27" si="4229">LLM27*$C$27</f>
        <v>8.4435410575831125E+22</v>
      </c>
      <c r="LLQ27" s="613">
        <f t="shared" ref="LLQ27" si="4230">LLO27*$C$27</f>
        <v>8.5279764681589441E+22</v>
      </c>
      <c r="LLS27" s="613">
        <f t="shared" ref="LLS27" si="4231">LLQ27*$C$27</f>
        <v>8.6132562328405328E+22</v>
      </c>
      <c r="LLU27" s="613">
        <f t="shared" ref="LLU27" si="4232">LLS27*$C$27</f>
        <v>8.6993887951689383E+22</v>
      </c>
      <c r="LLW27" s="613">
        <f t="shared" ref="LLW27" si="4233">LLU27*$C$27</f>
        <v>8.786382683120628E+22</v>
      </c>
      <c r="LLY27" s="613">
        <f t="shared" ref="LLY27" si="4234">LLW27*$C$27</f>
        <v>8.8742465099518345E+22</v>
      </c>
      <c r="LMA27" s="613">
        <f t="shared" ref="LMA27" si="4235">LLY27*$C$27</f>
        <v>8.962988975051353E+22</v>
      </c>
      <c r="LMC27" s="613">
        <f t="shared" ref="LMC27" si="4236">LMA27*$C$27</f>
        <v>9.0526188648018668E+22</v>
      </c>
      <c r="LME27" s="613">
        <f t="shared" ref="LME27" si="4237">LMC27*$C$27</f>
        <v>9.1431450534498863E+22</v>
      </c>
      <c r="LMG27" s="613">
        <f t="shared" ref="LMG27" si="4238">LME27*$C$27</f>
        <v>9.2345765039843851E+22</v>
      </c>
      <c r="LMI27" s="613">
        <f t="shared" ref="LMI27" si="4239">LMG27*$C$27</f>
        <v>9.3269222690242293E+22</v>
      </c>
      <c r="LMK27" s="613">
        <f t="shared" ref="LMK27" si="4240">LMI27*$C$27</f>
        <v>9.4201914917144716E+22</v>
      </c>
      <c r="LMM27" s="613">
        <f t="shared" ref="LMM27" si="4241">LMK27*$C$27</f>
        <v>9.5143934066316167E+22</v>
      </c>
      <c r="LMO27" s="613">
        <f t="shared" ref="LMO27" si="4242">LMM27*$C$27</f>
        <v>9.6095373406979335E+22</v>
      </c>
      <c r="LMQ27" s="613">
        <f t="shared" ref="LMQ27" si="4243">LMO27*$C$27</f>
        <v>9.7056327141049124E+22</v>
      </c>
      <c r="LMS27" s="613">
        <f t="shared" ref="LMS27" si="4244">LMQ27*$C$27</f>
        <v>9.8026890412459609E+22</v>
      </c>
      <c r="LMU27" s="613">
        <f t="shared" ref="LMU27" si="4245">LMS27*$C$27</f>
        <v>9.9007159316584205E+22</v>
      </c>
      <c r="LMW27" s="613">
        <f t="shared" ref="LMW27" si="4246">LMU27*$C$27</f>
        <v>9.9997230909750046E+22</v>
      </c>
      <c r="LMY27" s="613">
        <f t="shared" ref="LMY27" si="4247">LMW27*$C$27</f>
        <v>1.0099720321884755E+23</v>
      </c>
      <c r="LNA27" s="613">
        <f t="shared" ref="LNA27" si="4248">LMY27*$C$27</f>
        <v>1.0200717525103604E+23</v>
      </c>
      <c r="LNC27" s="613">
        <f t="shared" ref="LNC27" si="4249">LNA27*$C$27</f>
        <v>1.0302724700354639E+23</v>
      </c>
      <c r="LNE27" s="613">
        <f t="shared" ref="LNE27" si="4250">LNC27*$C$27</f>
        <v>1.0405751947358186E+23</v>
      </c>
      <c r="LNG27" s="613">
        <f t="shared" ref="LNG27" si="4251">LNE27*$C$27</f>
        <v>1.0509809466831767E+23</v>
      </c>
      <c r="LNI27" s="613">
        <f t="shared" ref="LNI27" si="4252">LNG27*$C$27</f>
        <v>1.0614907561500085E+23</v>
      </c>
      <c r="LNK27" s="613">
        <f t="shared" ref="LNK27" si="4253">LNI27*$C$27</f>
        <v>1.0721056637115086E+23</v>
      </c>
      <c r="LNM27" s="613">
        <f t="shared" ref="LNM27" si="4254">LNK27*$C$27</f>
        <v>1.0828267203486237E+23</v>
      </c>
      <c r="LNO27" s="613">
        <f t="shared" ref="LNO27" si="4255">LNM27*$C$27</f>
        <v>1.09365498755211E+23</v>
      </c>
      <c r="LNQ27" s="613">
        <f t="shared" ref="LNQ27" si="4256">LNO27*$C$27</f>
        <v>1.1045915374276311E+23</v>
      </c>
      <c r="LNS27" s="613">
        <f t="shared" ref="LNS27" si="4257">LNQ27*$C$27</f>
        <v>1.1156374528019075E+23</v>
      </c>
      <c r="LNU27" s="613">
        <f t="shared" ref="LNU27" si="4258">LNS27*$C$27</f>
        <v>1.1267938273299265E+23</v>
      </c>
      <c r="LNW27" s="613">
        <f t="shared" ref="LNW27" si="4259">LNU27*$C$27</f>
        <v>1.1380617656032258E+23</v>
      </c>
      <c r="LNY27" s="613">
        <f t="shared" ref="LNY27" si="4260">LNW27*$C$27</f>
        <v>1.149442383259258E+23</v>
      </c>
      <c r="LOA27" s="613">
        <f t="shared" ref="LOA27" si="4261">LNY27*$C$27</f>
        <v>1.1609368070918507E+23</v>
      </c>
      <c r="LOC27" s="613">
        <f t="shared" ref="LOC27" si="4262">LOA27*$C$27</f>
        <v>1.1725461751627692E+23</v>
      </c>
      <c r="LOE27" s="613">
        <f t="shared" ref="LOE27" si="4263">LOC27*$C$27</f>
        <v>1.1842716369143969E+23</v>
      </c>
      <c r="LOG27" s="613">
        <f t="shared" ref="LOG27" si="4264">LOE27*$C$27</f>
        <v>1.1961143532835409E+23</v>
      </c>
      <c r="LOI27" s="613">
        <f t="shared" ref="LOI27" si="4265">LOG27*$C$27</f>
        <v>1.2080754968163763E+23</v>
      </c>
      <c r="LOK27" s="613">
        <f t="shared" ref="LOK27" si="4266">LOI27*$C$27</f>
        <v>1.2201562517845402E+23</v>
      </c>
      <c r="LOM27" s="613">
        <f t="shared" ref="LOM27" si="4267">LOK27*$C$27</f>
        <v>1.2323578143023856E+23</v>
      </c>
      <c r="LOO27" s="613">
        <f t="shared" ref="LOO27" si="4268">LOM27*$C$27</f>
        <v>1.2446813924454096E+23</v>
      </c>
      <c r="LOQ27" s="613">
        <f t="shared" ref="LOQ27" si="4269">LOO27*$C$27</f>
        <v>1.2571282063698636E+23</v>
      </c>
      <c r="LOS27" s="613">
        <f t="shared" ref="LOS27" si="4270">LOQ27*$C$27</f>
        <v>1.2696994884335623E+23</v>
      </c>
      <c r="LOU27" s="613">
        <f t="shared" ref="LOU27" si="4271">LOS27*$C$27</f>
        <v>1.282396483317898E+23</v>
      </c>
      <c r="LOW27" s="613">
        <f t="shared" ref="LOW27" si="4272">LOU27*$C$27</f>
        <v>1.2952204481510771E+23</v>
      </c>
      <c r="LOY27" s="613">
        <f t="shared" ref="LOY27" si="4273">LOW27*$C$27</f>
        <v>1.3081726526325878E+23</v>
      </c>
      <c r="LPA27" s="613">
        <f t="shared" ref="LPA27" si="4274">LOY27*$C$27</f>
        <v>1.3212543791589137E+23</v>
      </c>
      <c r="LPC27" s="613">
        <f t="shared" ref="LPC27" si="4275">LPA27*$C$27</f>
        <v>1.3344669229505028E+23</v>
      </c>
      <c r="LPE27" s="613">
        <f t="shared" ref="LPE27" si="4276">LPC27*$C$27</f>
        <v>1.3478115921800078E+23</v>
      </c>
      <c r="LPG27" s="613">
        <f t="shared" ref="LPG27" si="4277">LPE27*$C$27</f>
        <v>1.3612897081018078E+23</v>
      </c>
      <c r="LPI27" s="613">
        <f t="shared" ref="LPI27" si="4278">LPG27*$C$27</f>
        <v>1.374902605182826E+23</v>
      </c>
      <c r="LPK27" s="613">
        <f t="shared" ref="LPK27" si="4279">LPI27*$C$27</f>
        <v>1.3886516312346544E+23</v>
      </c>
      <c r="LPM27" s="613">
        <f t="shared" ref="LPM27" si="4280">LPK27*$C$27</f>
        <v>1.4025381475470009E+23</v>
      </c>
      <c r="LPO27" s="613">
        <f t="shared" ref="LPO27" si="4281">LPM27*$C$27</f>
        <v>1.4165635290224708E+23</v>
      </c>
      <c r="LPQ27" s="613">
        <f t="shared" ref="LPQ27" si="4282">LPO27*$C$27</f>
        <v>1.4307291643126955E+23</v>
      </c>
      <c r="LPS27" s="613">
        <f t="shared" ref="LPS27" si="4283">LPQ27*$C$27</f>
        <v>1.4450364559558225E+23</v>
      </c>
      <c r="LPU27" s="613">
        <f t="shared" ref="LPU27" si="4284">LPS27*$C$27</f>
        <v>1.4594868205153807E+23</v>
      </c>
      <c r="LPW27" s="613">
        <f t="shared" ref="LPW27" si="4285">LPU27*$C$27</f>
        <v>1.4740816887205346E+23</v>
      </c>
      <c r="LPY27" s="613">
        <f t="shared" ref="LPY27" si="4286">LPW27*$C$27</f>
        <v>1.4888225056077398E+23</v>
      </c>
      <c r="LQA27" s="613">
        <f t="shared" ref="LQA27" si="4287">LPY27*$C$27</f>
        <v>1.5037107306638172E+23</v>
      </c>
      <c r="LQC27" s="613">
        <f t="shared" ref="LQC27" si="4288">LQA27*$C$27</f>
        <v>1.5187478379704552E+23</v>
      </c>
      <c r="LQE27" s="613">
        <f t="shared" ref="LQE27" si="4289">LQC27*$C$27</f>
        <v>1.5339353163501598E+23</v>
      </c>
      <c r="LQG27" s="613">
        <f t="shared" ref="LQG27" si="4290">LQE27*$C$27</f>
        <v>1.5492746695136615E+23</v>
      </c>
      <c r="LQI27" s="613">
        <f t="shared" ref="LQI27" si="4291">LQG27*$C$27</f>
        <v>1.564767416208798E+23</v>
      </c>
      <c r="LQK27" s="613">
        <f t="shared" ref="LQK27" si="4292">LQI27*$C$27</f>
        <v>1.5804150903708861E+23</v>
      </c>
      <c r="LQM27" s="613">
        <f t="shared" ref="LQM27" si="4293">LQK27*$C$27</f>
        <v>1.5962192412745951E+23</v>
      </c>
      <c r="LQO27" s="613">
        <f t="shared" ref="LQO27" si="4294">LQM27*$C$27</f>
        <v>1.612181433687341E+23</v>
      </c>
      <c r="LQQ27" s="613">
        <f t="shared" ref="LQQ27" si="4295">LQO27*$C$27</f>
        <v>1.6283032480242145E+23</v>
      </c>
      <c r="LQS27" s="613">
        <f t="shared" ref="LQS27" si="4296">LQQ27*$C$27</f>
        <v>1.6445862805044566E+23</v>
      </c>
      <c r="LQU27" s="613">
        <f t="shared" ref="LQU27" si="4297">LQS27*$C$27</f>
        <v>1.6610321433095013E+23</v>
      </c>
      <c r="LQW27" s="613">
        <f t="shared" ref="LQW27" si="4298">LQU27*$C$27</f>
        <v>1.6776424647425962E+23</v>
      </c>
      <c r="LQY27" s="613">
        <f t="shared" ref="LQY27" si="4299">LQW27*$C$27</f>
        <v>1.6944188893900223E+23</v>
      </c>
      <c r="LRA27" s="613">
        <f t="shared" ref="LRA27" si="4300">LQY27*$C$27</f>
        <v>1.7113630782839225E+23</v>
      </c>
      <c r="LRC27" s="613">
        <f t="shared" ref="LRC27" si="4301">LRA27*$C$27</f>
        <v>1.7284767090667617E+23</v>
      </c>
      <c r="LRE27" s="613">
        <f t="shared" ref="LRE27" si="4302">LRC27*$C$27</f>
        <v>1.7457614761574292E+23</v>
      </c>
      <c r="LRG27" s="613">
        <f t="shared" ref="LRG27" si="4303">LRE27*$C$27</f>
        <v>1.7632190909190037E+23</v>
      </c>
      <c r="LRI27" s="613">
        <f t="shared" ref="LRI27" si="4304">LRG27*$C$27</f>
        <v>1.7808512818281936E+23</v>
      </c>
      <c r="LRK27" s="613">
        <f t="shared" ref="LRK27" si="4305">LRI27*$C$27</f>
        <v>1.7986597946464755E+23</v>
      </c>
      <c r="LRM27" s="613">
        <f t="shared" ref="LRM27" si="4306">LRK27*$C$27</f>
        <v>1.8166463925929402E+23</v>
      </c>
      <c r="LRO27" s="613">
        <f t="shared" ref="LRO27" si="4307">LRM27*$C$27</f>
        <v>1.8348128565188698E+23</v>
      </c>
      <c r="LRQ27" s="613">
        <f t="shared" ref="LRQ27" si="4308">LRO27*$C$27</f>
        <v>1.8531609850840586E+23</v>
      </c>
      <c r="LRS27" s="613">
        <f t="shared" ref="LRS27" si="4309">LRQ27*$C$27</f>
        <v>1.8716925949348992E+23</v>
      </c>
      <c r="LRU27" s="613">
        <f t="shared" ref="LRU27" si="4310">LRS27*$C$27</f>
        <v>1.8904095208842482E+23</v>
      </c>
      <c r="LRW27" s="613">
        <f t="shared" ref="LRW27" si="4311">LRU27*$C$27</f>
        <v>1.9093136160930907E+23</v>
      </c>
      <c r="LRY27" s="613">
        <f t="shared" ref="LRY27" si="4312">LRW27*$C$27</f>
        <v>1.9284067522540217E+23</v>
      </c>
      <c r="LSA27" s="613">
        <f t="shared" ref="LSA27" si="4313">LRY27*$C$27</f>
        <v>1.947690819776562E+23</v>
      </c>
      <c r="LSC27" s="613">
        <f t="shared" ref="LSC27" si="4314">LSA27*$C$27</f>
        <v>1.9671677279743277E+23</v>
      </c>
      <c r="LSE27" s="613">
        <f t="shared" ref="LSE27" si="4315">LSC27*$C$27</f>
        <v>1.986839405254071E+23</v>
      </c>
      <c r="LSG27" s="613">
        <f t="shared" ref="LSG27" si="4316">LSE27*$C$27</f>
        <v>2.0067077993066118E+23</v>
      </c>
      <c r="LSI27" s="613">
        <f t="shared" ref="LSI27" si="4317">LSG27*$C$27</f>
        <v>2.0267748772996779E+23</v>
      </c>
      <c r="LSK27" s="613">
        <f t="shared" ref="LSK27" si="4318">LSI27*$C$27</f>
        <v>2.0470426260726748E+23</v>
      </c>
      <c r="LSM27" s="613">
        <f t="shared" ref="LSM27" si="4319">LSK27*$C$27</f>
        <v>2.0675130523334014E+23</v>
      </c>
      <c r="LSO27" s="613">
        <f t="shared" ref="LSO27" si="4320">LSM27*$C$27</f>
        <v>2.0881881828567355E+23</v>
      </c>
      <c r="LSQ27" s="613">
        <f t="shared" ref="LSQ27" si="4321">LSO27*$C$27</f>
        <v>2.1090700646853028E+23</v>
      </c>
      <c r="LSS27" s="613">
        <f t="shared" ref="LSS27" si="4322">LSQ27*$C$27</f>
        <v>2.1301607653321559E+23</v>
      </c>
      <c r="LSU27" s="613">
        <f t="shared" ref="LSU27" si="4323">LSS27*$C$27</f>
        <v>2.1514623729854775E+23</v>
      </c>
      <c r="LSW27" s="613">
        <f t="shared" ref="LSW27" si="4324">LSU27*$C$27</f>
        <v>2.1729769967153323E+23</v>
      </c>
      <c r="LSY27" s="613">
        <f t="shared" ref="LSY27" si="4325">LSW27*$C$27</f>
        <v>2.1947067666824855E+23</v>
      </c>
      <c r="LTA27" s="613">
        <f t="shared" ref="LTA27" si="4326">LSY27*$C$27</f>
        <v>2.2166538343493104E+23</v>
      </c>
      <c r="LTC27" s="613">
        <f t="shared" ref="LTC27" si="4327">LTA27*$C$27</f>
        <v>2.2388203726928035E+23</v>
      </c>
      <c r="LTE27" s="613">
        <f t="shared" ref="LTE27" si="4328">LTC27*$C$27</f>
        <v>2.2612085764197315E+23</v>
      </c>
      <c r="LTG27" s="613">
        <f t="shared" ref="LTG27" si="4329">LTE27*$C$27</f>
        <v>2.2838206621839286E+23</v>
      </c>
      <c r="LTI27" s="613">
        <f t="shared" ref="LTI27" si="4330">LTG27*$C$27</f>
        <v>2.3066588688057679E+23</v>
      </c>
      <c r="LTK27" s="613">
        <f t="shared" ref="LTK27" si="4331">LTI27*$C$27</f>
        <v>2.3297254574938255E+23</v>
      </c>
      <c r="LTM27" s="613">
        <f t="shared" ref="LTM27" si="4332">LTK27*$C$27</f>
        <v>2.3530227120687638E+23</v>
      </c>
      <c r="LTO27" s="613">
        <f t="shared" ref="LTO27" si="4333">LTM27*$C$27</f>
        <v>2.3765529391894516E+23</v>
      </c>
      <c r="LTQ27" s="613">
        <f t="shared" ref="LTQ27" si="4334">LTO27*$C$27</f>
        <v>2.4003184685813462E+23</v>
      </c>
      <c r="LTS27" s="613">
        <f t="shared" ref="LTS27" si="4335">LTQ27*$C$27</f>
        <v>2.4243216532671595E+23</v>
      </c>
      <c r="LTU27" s="613">
        <f t="shared" ref="LTU27" si="4336">LTS27*$C$27</f>
        <v>2.448564869799831E+23</v>
      </c>
      <c r="LTW27" s="613">
        <f t="shared" ref="LTW27" si="4337">LTU27*$C$27</f>
        <v>2.4730505184978293E+23</v>
      </c>
      <c r="LTY27" s="613">
        <f t="shared" ref="LTY27" si="4338">LTW27*$C$27</f>
        <v>2.4977810236828075E+23</v>
      </c>
      <c r="LUA27" s="613">
        <f t="shared" ref="LUA27" si="4339">LTY27*$C$27</f>
        <v>2.5227588339196357E+23</v>
      </c>
      <c r="LUC27" s="613">
        <f t="shared" ref="LUC27" si="4340">LUA27*$C$27</f>
        <v>2.547986422258832E+23</v>
      </c>
      <c r="LUE27" s="613">
        <f t="shared" ref="LUE27" si="4341">LUC27*$C$27</f>
        <v>2.5734662864814203E+23</v>
      </c>
      <c r="LUG27" s="613">
        <f t="shared" ref="LUG27" si="4342">LUE27*$C$27</f>
        <v>2.5992009493462344E+23</v>
      </c>
      <c r="LUI27" s="613">
        <f t="shared" ref="LUI27" si="4343">LUG27*$C$27</f>
        <v>2.6251929588396966E+23</v>
      </c>
      <c r="LUK27" s="613">
        <f t="shared" ref="LUK27" si="4344">LUI27*$C$27</f>
        <v>2.6514448884280935E+23</v>
      </c>
      <c r="LUM27" s="613">
        <f t="shared" ref="LUM27" si="4345">LUK27*$C$27</f>
        <v>2.6779593373123744E+23</v>
      </c>
      <c r="LUO27" s="613">
        <f t="shared" ref="LUO27" si="4346">LUM27*$C$27</f>
        <v>2.7047389306854981E+23</v>
      </c>
      <c r="LUQ27" s="613">
        <f t="shared" ref="LUQ27" si="4347">LUO27*$C$27</f>
        <v>2.7317863199923532E+23</v>
      </c>
      <c r="LUS27" s="613">
        <f t="shared" ref="LUS27" si="4348">LUQ27*$C$27</f>
        <v>2.7591041831922768E+23</v>
      </c>
      <c r="LUU27" s="613">
        <f t="shared" ref="LUU27" si="4349">LUS27*$C$27</f>
        <v>2.7866952250241996E+23</v>
      </c>
      <c r="LUW27" s="613">
        <f t="shared" ref="LUW27" si="4350">LUU27*$C$27</f>
        <v>2.8145621772744415E+23</v>
      </c>
      <c r="LUY27" s="613">
        <f t="shared" ref="LUY27" si="4351">LUW27*$C$27</f>
        <v>2.842707799047186E+23</v>
      </c>
      <c r="LVA27" s="613">
        <f t="shared" ref="LVA27" si="4352">LUY27*$C$27</f>
        <v>2.8711348770376579E+23</v>
      </c>
      <c r="LVC27" s="613">
        <f t="shared" ref="LVC27" si="4353">LVA27*$C$27</f>
        <v>2.8998462258080344E+23</v>
      </c>
      <c r="LVE27" s="613">
        <f t="shared" ref="LVE27" si="4354">LVC27*$C$27</f>
        <v>2.9288446880661149E+23</v>
      </c>
      <c r="LVG27" s="613">
        <f t="shared" ref="LVG27" si="4355">LVE27*$C$27</f>
        <v>2.958133134946776E+23</v>
      </c>
      <c r="LVI27" s="613">
        <f t="shared" ref="LVI27" si="4356">LVG27*$C$27</f>
        <v>2.9877144662962438E+23</v>
      </c>
      <c r="LVK27" s="613">
        <f t="shared" ref="LVK27" si="4357">LVI27*$C$27</f>
        <v>3.0175916109592064E+23</v>
      </c>
      <c r="LVM27" s="613">
        <f t="shared" ref="LVM27" si="4358">LVK27*$C$27</f>
        <v>3.0477675270687987E+23</v>
      </c>
      <c r="LVO27" s="613">
        <f t="shared" ref="LVO27" si="4359">LVM27*$C$27</f>
        <v>3.078245202339487E+23</v>
      </c>
      <c r="LVQ27" s="613">
        <f t="shared" ref="LVQ27" si="4360">LVO27*$C$27</f>
        <v>3.1090276543628819E+23</v>
      </c>
      <c r="LVS27" s="613">
        <f t="shared" ref="LVS27" si="4361">LVQ27*$C$27</f>
        <v>3.1401179309065105E+23</v>
      </c>
      <c r="LVU27" s="613">
        <f t="shared" ref="LVU27" si="4362">LVS27*$C$27</f>
        <v>3.1715191102155754E+23</v>
      </c>
      <c r="LVW27" s="613">
        <f t="shared" ref="LVW27" si="4363">LVU27*$C$27</f>
        <v>3.2032343013177314E+23</v>
      </c>
      <c r="LVY27" s="613">
        <f t="shared" ref="LVY27" si="4364">LVW27*$C$27</f>
        <v>3.2352666443309091E+23</v>
      </c>
      <c r="LWA27" s="613">
        <f t="shared" ref="LWA27" si="4365">LVY27*$C$27</f>
        <v>3.2676193107742185E+23</v>
      </c>
      <c r="LWC27" s="613">
        <f t="shared" ref="LWC27" si="4366">LWA27*$C$27</f>
        <v>3.3002955038819607E+23</v>
      </c>
      <c r="LWE27" s="613">
        <f t="shared" ref="LWE27" si="4367">LWC27*$C$27</f>
        <v>3.3332984589207805E+23</v>
      </c>
      <c r="LWG27" s="613">
        <f t="shared" ref="LWG27" si="4368">LWE27*$C$27</f>
        <v>3.3666314435099886E+23</v>
      </c>
      <c r="LWI27" s="613">
        <f t="shared" ref="LWI27" si="4369">LWG27*$C$27</f>
        <v>3.4002977579450882E+23</v>
      </c>
      <c r="LWK27" s="613">
        <f t="shared" ref="LWK27" si="4370">LWI27*$C$27</f>
        <v>3.4343007355245394E+23</v>
      </c>
      <c r="LWM27" s="613">
        <f t="shared" ref="LWM27" si="4371">LWK27*$C$27</f>
        <v>3.468643742879785E+23</v>
      </c>
      <c r="LWO27" s="613">
        <f t="shared" ref="LWO27" si="4372">LWM27*$C$27</f>
        <v>3.503330180308583E+23</v>
      </c>
      <c r="LWQ27" s="613">
        <f t="shared" ref="LWQ27" si="4373">LWO27*$C$27</f>
        <v>3.5383634821116692E+23</v>
      </c>
      <c r="LWS27" s="613">
        <f t="shared" ref="LWS27" si="4374">LWQ27*$C$27</f>
        <v>3.5737471169327858E+23</v>
      </c>
      <c r="LWU27" s="613">
        <f t="shared" ref="LWU27" si="4375">LWS27*$C$27</f>
        <v>3.6094845881021138E+23</v>
      </c>
      <c r="LWW27" s="613">
        <f t="shared" ref="LWW27" si="4376">LWU27*$C$27</f>
        <v>3.6455794339831347E+23</v>
      </c>
      <c r="LWY27" s="613">
        <f t="shared" ref="LWY27" si="4377">LWW27*$C$27</f>
        <v>3.6820352283229663E+23</v>
      </c>
      <c r="LXA27" s="613">
        <f t="shared" ref="LXA27" si="4378">LWY27*$C$27</f>
        <v>3.7188555806061958E+23</v>
      </c>
      <c r="LXC27" s="613">
        <f t="shared" ref="LXC27" si="4379">LXA27*$C$27</f>
        <v>3.7560441364122579E+23</v>
      </c>
      <c r="LXE27" s="613">
        <f t="shared" ref="LXE27" si="4380">LXC27*$C$27</f>
        <v>3.7936045777763802E+23</v>
      </c>
      <c r="LXG27" s="613">
        <f t="shared" ref="LXG27" si="4381">LXE27*$C$27</f>
        <v>3.8315406235541439E+23</v>
      </c>
      <c r="LXI27" s="613">
        <f t="shared" ref="LXI27" si="4382">LXG27*$C$27</f>
        <v>3.8698560297896854E+23</v>
      </c>
      <c r="LXK27" s="613">
        <f t="shared" ref="LXK27" si="4383">LXI27*$C$27</f>
        <v>3.908554590087582E+23</v>
      </c>
      <c r="LXM27" s="613">
        <f t="shared" ref="LXM27" si="4384">LXK27*$C$27</f>
        <v>3.9476401359884577E+23</v>
      </c>
      <c r="LXO27" s="613">
        <f t="shared" ref="LXO27" si="4385">LXM27*$C$27</f>
        <v>3.9871165373483425E+23</v>
      </c>
      <c r="LXQ27" s="613">
        <f t="shared" ref="LXQ27" si="4386">LXO27*$C$27</f>
        <v>4.0269877027218256E+23</v>
      </c>
      <c r="LXS27" s="613">
        <f t="shared" ref="LXS27" si="4387">LXQ27*$C$27</f>
        <v>4.0672575797490438E+23</v>
      </c>
      <c r="LXU27" s="613">
        <f t="shared" ref="LXU27" si="4388">LXS27*$C$27</f>
        <v>4.1079301555465341E+23</v>
      </c>
      <c r="LXW27" s="613">
        <f t="shared" ref="LXW27" si="4389">LXU27*$C$27</f>
        <v>4.1490094571019997E+23</v>
      </c>
      <c r="LXY27" s="613">
        <f t="shared" ref="LXY27" si="4390">LXW27*$C$27</f>
        <v>4.1904995516730195E+23</v>
      </c>
      <c r="LYA27" s="613">
        <f t="shared" ref="LYA27" si="4391">LXY27*$C$27</f>
        <v>4.2324045471897497E+23</v>
      </c>
      <c r="LYC27" s="613">
        <f t="shared" ref="LYC27" si="4392">LYA27*$C$27</f>
        <v>4.274728592661647E+23</v>
      </c>
      <c r="LYE27" s="613">
        <f t="shared" ref="LYE27" si="4393">LYC27*$C$27</f>
        <v>4.3174758785882637E+23</v>
      </c>
      <c r="LYG27" s="613">
        <f t="shared" ref="LYG27" si="4394">LYE27*$C$27</f>
        <v>4.3606506373741465E+23</v>
      </c>
      <c r="LYI27" s="613">
        <f t="shared" ref="LYI27" si="4395">LYG27*$C$27</f>
        <v>4.4042571437478882E+23</v>
      </c>
      <c r="LYK27" s="613">
        <f t="shared" ref="LYK27" si="4396">LYI27*$C$27</f>
        <v>4.4482997151853668E+23</v>
      </c>
      <c r="LYM27" s="613">
        <f t="shared" ref="LYM27" si="4397">LYK27*$C$27</f>
        <v>4.4927827123372206E+23</v>
      </c>
      <c r="LYO27" s="613">
        <f t="shared" ref="LYO27" si="4398">LYM27*$C$27</f>
        <v>4.5377105394605928E+23</v>
      </c>
      <c r="LYQ27" s="613">
        <f t="shared" ref="LYQ27" si="4399">LYO27*$C$27</f>
        <v>4.583087644855199E+23</v>
      </c>
      <c r="LYS27" s="613">
        <f t="shared" ref="LYS27" si="4400">LYQ27*$C$27</f>
        <v>4.628918521303751E+23</v>
      </c>
      <c r="LYU27" s="613">
        <f t="shared" ref="LYU27" si="4401">LYS27*$C$27</f>
        <v>4.6752077065167884E+23</v>
      </c>
      <c r="LYW27" s="613">
        <f t="shared" ref="LYW27" si="4402">LYU27*$C$27</f>
        <v>4.7219597835819567E+23</v>
      </c>
      <c r="LYY27" s="613">
        <f t="shared" ref="LYY27" si="4403">LYW27*$C$27</f>
        <v>4.7691793814177764E+23</v>
      </c>
      <c r="LZA27" s="613">
        <f t="shared" ref="LZA27" si="4404">LYY27*$C$27</f>
        <v>4.8168711752319542E+23</v>
      </c>
      <c r="LZC27" s="613">
        <f t="shared" ref="LZC27" si="4405">LZA27*$C$27</f>
        <v>4.8650398869842739E+23</v>
      </c>
      <c r="LZE27" s="613">
        <f t="shared" ref="LZE27" si="4406">LZC27*$C$27</f>
        <v>4.9136902858541166E+23</v>
      </c>
      <c r="LZG27" s="613">
        <f t="shared" ref="LZG27" si="4407">LZE27*$C$27</f>
        <v>4.9628271887126581E+23</v>
      </c>
      <c r="LZI27" s="613">
        <f t="shared" ref="LZI27" si="4408">LZG27*$C$27</f>
        <v>5.0124554605997846E+23</v>
      </c>
      <c r="LZK27" s="613">
        <f t="shared" ref="LZK27" si="4409">LZI27*$C$27</f>
        <v>5.0625800152057823E+23</v>
      </c>
      <c r="LZM27" s="613">
        <f t="shared" ref="LZM27" si="4410">LZK27*$C$27</f>
        <v>5.11320581535784E+23</v>
      </c>
      <c r="LZO27" s="613">
        <f t="shared" ref="LZO27" si="4411">LZM27*$C$27</f>
        <v>5.1643378735114181E+23</v>
      </c>
      <c r="LZQ27" s="613">
        <f t="shared" ref="LZQ27" si="4412">LZO27*$C$27</f>
        <v>5.2159812522465323E+23</v>
      </c>
      <c r="LZS27" s="613">
        <f t="shared" ref="LZS27" si="4413">LZQ27*$C$27</f>
        <v>5.2681410647689977E+23</v>
      </c>
      <c r="LZU27" s="613">
        <f t="shared" ref="LZU27" si="4414">LZS27*$C$27</f>
        <v>5.3208224754166876E+23</v>
      </c>
      <c r="LZW27" s="613">
        <f t="shared" ref="LZW27" si="4415">LZU27*$C$27</f>
        <v>5.3740307001708548E+23</v>
      </c>
      <c r="LZY27" s="613">
        <f t="shared" ref="LZY27" si="4416">LZW27*$C$27</f>
        <v>5.4277710071725634E+23</v>
      </c>
      <c r="MAA27" s="613">
        <f t="shared" ref="MAA27" si="4417">LZY27*$C$27</f>
        <v>5.4820487172442889E+23</v>
      </c>
      <c r="MAC27" s="613">
        <f t="shared" ref="MAC27" si="4418">MAA27*$C$27</f>
        <v>5.5368692044167318E+23</v>
      </c>
      <c r="MAE27" s="613">
        <f t="shared" ref="MAE27" si="4419">MAC27*$C$27</f>
        <v>5.5922378964608993E+23</v>
      </c>
      <c r="MAG27" s="613">
        <f t="shared" ref="MAG27" si="4420">MAE27*$C$27</f>
        <v>5.648160275425508E+23</v>
      </c>
      <c r="MAI27" s="613">
        <f t="shared" ref="MAI27" si="4421">MAG27*$C$27</f>
        <v>5.7046418781797635E+23</v>
      </c>
      <c r="MAK27" s="613">
        <f t="shared" ref="MAK27" si="4422">MAI27*$C$27</f>
        <v>5.7616882969615614E+23</v>
      </c>
      <c r="MAM27" s="613">
        <f t="shared" ref="MAM27" si="4423">MAK27*$C$27</f>
        <v>5.8193051799311772E+23</v>
      </c>
      <c r="MAO27" s="613">
        <f t="shared" ref="MAO27" si="4424">MAM27*$C$27</f>
        <v>5.8774982317304889E+23</v>
      </c>
      <c r="MAQ27" s="613">
        <f t="shared" ref="MAQ27" si="4425">MAO27*$C$27</f>
        <v>5.936273214047794E+23</v>
      </c>
      <c r="MAS27" s="613">
        <f t="shared" ref="MAS27" si="4426">MAQ27*$C$27</f>
        <v>5.9956359461882718E+23</v>
      </c>
      <c r="MAU27" s="613">
        <f t="shared" ref="MAU27" si="4427">MAS27*$C$27</f>
        <v>6.0555923056501547E+23</v>
      </c>
      <c r="MAW27" s="613">
        <f t="shared" ref="MAW27" si="4428">MAU27*$C$27</f>
        <v>6.1161482287066558E+23</v>
      </c>
      <c r="MAY27" s="613">
        <f t="shared" ref="MAY27" si="4429">MAW27*$C$27</f>
        <v>6.1773097109937226E+23</v>
      </c>
      <c r="MBA27" s="613">
        <f t="shared" ref="MBA27" si="4430">MAY27*$C$27</f>
        <v>6.2390828081036599E+23</v>
      </c>
      <c r="MBC27" s="613">
        <f t="shared" ref="MBC27" si="4431">MBA27*$C$27</f>
        <v>6.3014736361846963E+23</v>
      </c>
      <c r="MBE27" s="613">
        <f t="shared" ref="MBE27" si="4432">MBC27*$C$27</f>
        <v>6.3644883725465436E+23</v>
      </c>
      <c r="MBG27" s="613">
        <f t="shared" ref="MBG27" si="4433">MBE27*$C$27</f>
        <v>6.4281332562720096E+23</v>
      </c>
      <c r="MBI27" s="613">
        <f t="shared" ref="MBI27" si="4434">MBG27*$C$27</f>
        <v>6.4924145888347296E+23</v>
      </c>
      <c r="MBK27" s="613">
        <f t="shared" ref="MBK27" si="4435">MBI27*$C$27</f>
        <v>6.5573387347230766E+23</v>
      </c>
      <c r="MBM27" s="613">
        <f t="shared" ref="MBM27" si="4436">MBK27*$C$27</f>
        <v>6.6229121220703076E+23</v>
      </c>
      <c r="MBO27" s="613">
        <f t="shared" ref="MBO27" si="4437">MBM27*$C$27</f>
        <v>6.6891412432910112E+23</v>
      </c>
      <c r="MBQ27" s="613">
        <f t="shared" ref="MBQ27" si="4438">MBO27*$C$27</f>
        <v>6.7560326557239214E+23</v>
      </c>
      <c r="MBS27" s="613">
        <f t="shared" ref="MBS27" si="4439">MBQ27*$C$27</f>
        <v>6.8235929822811601E+23</v>
      </c>
      <c r="MBU27" s="613">
        <f t="shared" ref="MBU27" si="4440">MBS27*$C$27</f>
        <v>6.8918289121039722E+23</v>
      </c>
      <c r="MBW27" s="613">
        <f t="shared" ref="MBW27" si="4441">MBU27*$C$27</f>
        <v>6.9607472012250126E+23</v>
      </c>
      <c r="MBY27" s="613">
        <f t="shared" ref="MBY27" si="4442">MBW27*$C$27</f>
        <v>7.0303546732372628E+23</v>
      </c>
      <c r="MCA27" s="613">
        <f t="shared" ref="MCA27" si="4443">MBY27*$C$27</f>
        <v>7.100658219969635E+23</v>
      </c>
      <c r="MCC27" s="613">
        <f t="shared" ref="MCC27" si="4444">MCA27*$C$27</f>
        <v>7.1716648021693307E+23</v>
      </c>
      <c r="MCE27" s="613">
        <f t="shared" ref="MCE27" si="4445">MCC27*$C$27</f>
        <v>7.2433814501910235E+23</v>
      </c>
      <c r="MCG27" s="613">
        <f t="shared" ref="MCG27" si="4446">MCE27*$C$27</f>
        <v>7.3158152646929335E+23</v>
      </c>
      <c r="MCI27" s="613">
        <f t="shared" ref="MCI27" si="4447">MCG27*$C$27</f>
        <v>7.3889734173398624E+23</v>
      </c>
      <c r="MCK27" s="613">
        <f t="shared" ref="MCK27" si="4448">MCI27*$C$27</f>
        <v>7.4628631515132606E+23</v>
      </c>
      <c r="MCM27" s="613">
        <f t="shared" ref="MCM27" si="4449">MCK27*$C$27</f>
        <v>7.5374917830283938E+23</v>
      </c>
      <c r="MCO27" s="613">
        <f t="shared" ref="MCO27" si="4450">MCM27*$C$27</f>
        <v>7.6128667008586776E+23</v>
      </c>
      <c r="MCQ27" s="613">
        <f t="shared" ref="MCQ27" si="4451">MCO27*$C$27</f>
        <v>7.6889953678672641E+23</v>
      </c>
      <c r="MCS27" s="613">
        <f t="shared" ref="MCS27" si="4452">MCQ27*$C$27</f>
        <v>7.7658853215459367E+23</v>
      </c>
      <c r="MCU27" s="613">
        <f t="shared" ref="MCU27" si="4453">MCS27*$C$27</f>
        <v>7.8435441747613964E+23</v>
      </c>
      <c r="MCW27" s="613">
        <f t="shared" ref="MCW27" si="4454">MCU27*$C$27</f>
        <v>7.9219796165090102E+23</v>
      </c>
      <c r="MCY27" s="613">
        <f t="shared" ref="MCY27" si="4455">MCW27*$C$27</f>
        <v>8.0011994126741001E+23</v>
      </c>
      <c r="MDA27" s="613">
        <f t="shared" ref="MDA27" si="4456">MCY27*$C$27</f>
        <v>8.0812114068008412E+23</v>
      </c>
      <c r="MDC27" s="613">
        <f t="shared" ref="MDC27" si="4457">MDA27*$C$27</f>
        <v>8.1620235208688498E+23</v>
      </c>
      <c r="MDE27" s="613">
        <f t="shared" ref="MDE27" si="4458">MDC27*$C$27</f>
        <v>8.2436437560775378E+23</v>
      </c>
      <c r="MDG27" s="613">
        <f t="shared" ref="MDG27" si="4459">MDE27*$C$27</f>
        <v>8.3260801936383137E+23</v>
      </c>
      <c r="MDI27" s="613">
        <f t="shared" ref="MDI27" si="4460">MDG27*$C$27</f>
        <v>8.4093409955746963E+23</v>
      </c>
      <c r="MDK27" s="613">
        <f t="shared" ref="MDK27" si="4461">MDI27*$C$27</f>
        <v>8.4934344055304434E+23</v>
      </c>
      <c r="MDM27" s="613">
        <f t="shared" ref="MDM27" si="4462">MDK27*$C$27</f>
        <v>8.5783687495857473E+23</v>
      </c>
      <c r="MDO27" s="613">
        <f t="shared" ref="MDO27" si="4463">MDM27*$C$27</f>
        <v>8.6641524370816044E+23</v>
      </c>
      <c r="MDQ27" s="613">
        <f t="shared" ref="MDQ27" si="4464">MDO27*$C$27</f>
        <v>8.7507939614524211E+23</v>
      </c>
      <c r="MDS27" s="613">
        <f t="shared" ref="MDS27" si="4465">MDQ27*$C$27</f>
        <v>8.8383019010669458E+23</v>
      </c>
      <c r="MDU27" s="613">
        <f t="shared" ref="MDU27" si="4466">MDS27*$C$27</f>
        <v>8.9266849200776148E+23</v>
      </c>
      <c r="MDW27" s="613">
        <f t="shared" ref="MDW27" si="4467">MDU27*$C$27</f>
        <v>9.0159517692783912E+23</v>
      </c>
      <c r="MDY27" s="613">
        <f t="shared" ref="MDY27" si="4468">MDW27*$C$27</f>
        <v>9.1061112869711756E+23</v>
      </c>
      <c r="MEA27" s="613">
        <f t="shared" ref="MEA27" si="4469">MDY27*$C$27</f>
        <v>9.197172399840888E+23</v>
      </c>
      <c r="MEC27" s="613">
        <f t="shared" ref="MEC27" si="4470">MEA27*$C$27</f>
        <v>9.289144123839297E+23</v>
      </c>
      <c r="MEE27" s="613">
        <f t="shared" ref="MEE27" si="4471">MEC27*$C$27</f>
        <v>9.3820355650776899E+23</v>
      </c>
      <c r="MEG27" s="613">
        <f t="shared" ref="MEG27" si="4472">MEE27*$C$27</f>
        <v>9.4758559207284666E+23</v>
      </c>
      <c r="MEI27" s="613">
        <f t="shared" ref="MEI27" si="4473">MEG27*$C$27</f>
        <v>9.5706144799357509E+23</v>
      </c>
      <c r="MEK27" s="613">
        <f t="shared" ref="MEK27" si="4474">MEI27*$C$27</f>
        <v>9.6663206247351091E+23</v>
      </c>
      <c r="MEM27" s="613">
        <f t="shared" ref="MEM27" si="4475">MEK27*$C$27</f>
        <v>9.7629838309824601E+23</v>
      </c>
      <c r="MEO27" s="613">
        <f t="shared" ref="MEO27" si="4476">MEM27*$C$27</f>
        <v>9.8606136692922847E+23</v>
      </c>
      <c r="MEQ27" s="613">
        <f t="shared" ref="MEQ27" si="4477">MEO27*$C$27</f>
        <v>9.9592198059852076E+23</v>
      </c>
      <c r="MES27" s="613">
        <f t="shared" ref="MES27" si="4478">MEQ27*$C$27</f>
        <v>1.005881200404506E+24</v>
      </c>
      <c r="MEU27" s="613">
        <f t="shared" ref="MEU27" si="4479">MES27*$C$27</f>
        <v>1.0159400124085511E+24</v>
      </c>
      <c r="MEW27" s="613">
        <f t="shared" ref="MEW27" si="4480">MEU27*$C$27</f>
        <v>1.0260994125326366E+24</v>
      </c>
      <c r="MEY27" s="613">
        <f t="shared" ref="MEY27" si="4481">MEW27*$C$27</f>
        <v>1.036360406657963E+24</v>
      </c>
      <c r="MFA27" s="613">
        <f t="shared" ref="MFA27" si="4482">MEY27*$C$27</f>
        <v>1.0467240107245426E+24</v>
      </c>
      <c r="MFC27" s="613">
        <f t="shared" ref="MFC27" si="4483">MFA27*$C$27</f>
        <v>1.0571912508317881E+24</v>
      </c>
      <c r="MFE27" s="613">
        <f t="shared" ref="MFE27" si="4484">MFC27*$C$27</f>
        <v>1.067763163340106E+24</v>
      </c>
      <c r="MFG27" s="613">
        <f t="shared" ref="MFG27" si="4485">MFE27*$C$27</f>
        <v>1.0784407949735071E+24</v>
      </c>
      <c r="MFI27" s="613">
        <f t="shared" ref="MFI27" si="4486">MFG27*$C$27</f>
        <v>1.0892252029232421E+24</v>
      </c>
      <c r="MFK27" s="613">
        <f t="shared" ref="MFK27" si="4487">MFI27*$C$27</f>
        <v>1.1001174549524745E+24</v>
      </c>
      <c r="MFM27" s="613">
        <f t="shared" ref="MFM27" si="4488">MFK27*$C$27</f>
        <v>1.1111186295019992E+24</v>
      </c>
      <c r="MFO27" s="613">
        <f t="shared" ref="MFO27" si="4489">MFM27*$C$27</f>
        <v>1.1222298157970192E+24</v>
      </c>
      <c r="MFQ27" s="613">
        <f t="shared" ref="MFQ27" si="4490">MFO27*$C$27</f>
        <v>1.1334521139549894E+24</v>
      </c>
      <c r="MFS27" s="613">
        <f t="shared" ref="MFS27" si="4491">MFQ27*$C$27</f>
        <v>1.1447866350945393E+24</v>
      </c>
      <c r="MFU27" s="613">
        <f t="shared" ref="MFU27" si="4492">MFS27*$C$27</f>
        <v>1.1562345014454847E+24</v>
      </c>
      <c r="MFW27" s="613">
        <f t="shared" ref="MFW27" si="4493">MFU27*$C$27</f>
        <v>1.1677968464599395E+24</v>
      </c>
      <c r="MFY27" s="613">
        <f t="shared" ref="MFY27" si="4494">MFW27*$C$27</f>
        <v>1.1794748149245389E+24</v>
      </c>
      <c r="MGA27" s="613">
        <f t="shared" ref="MGA27" si="4495">MFY27*$C$27</f>
        <v>1.1912695630737843E+24</v>
      </c>
      <c r="MGC27" s="613">
        <f t="shared" ref="MGC27" si="4496">MGA27*$C$27</f>
        <v>1.2031822587045222E+24</v>
      </c>
      <c r="MGE27" s="613">
        <f t="shared" ref="MGE27" si="4497">MGC27*$C$27</f>
        <v>1.2152140812915674E+24</v>
      </c>
      <c r="MGG27" s="613">
        <f t="shared" ref="MGG27" si="4498">MGE27*$C$27</f>
        <v>1.2273662221044832E+24</v>
      </c>
      <c r="MGI27" s="613">
        <f t="shared" ref="MGI27" si="4499">MGG27*$C$27</f>
        <v>1.239639884325528E+24</v>
      </c>
      <c r="MGK27" s="613">
        <f t="shared" ref="MGK27" si="4500">MGI27*$C$27</f>
        <v>1.2520362831687832E+24</v>
      </c>
      <c r="MGM27" s="613">
        <f t="shared" ref="MGM27" si="4501">MGK27*$C$27</f>
        <v>1.2645566460004711E+24</v>
      </c>
      <c r="MGO27" s="613">
        <f t="shared" ref="MGO27" si="4502">MGM27*$C$27</f>
        <v>1.2772022124604758E+24</v>
      </c>
      <c r="MGQ27" s="613">
        <f t="shared" ref="MGQ27" si="4503">MGO27*$C$27</f>
        <v>1.2899742345850806E+24</v>
      </c>
      <c r="MGS27" s="613">
        <f t="shared" ref="MGS27" si="4504">MGQ27*$C$27</f>
        <v>1.3028739769309313E+24</v>
      </c>
      <c r="MGU27" s="613">
        <f t="shared" ref="MGU27" si="4505">MGS27*$C$27</f>
        <v>1.3159027167002406E+24</v>
      </c>
      <c r="MGW27" s="613">
        <f t="shared" ref="MGW27" si="4506">MGU27*$C$27</f>
        <v>1.3290617438672431E+24</v>
      </c>
      <c r="MGY27" s="613">
        <f t="shared" ref="MGY27" si="4507">MGW27*$C$27</f>
        <v>1.3423523613059155E+24</v>
      </c>
      <c r="MHA27" s="613">
        <f t="shared" ref="MHA27" si="4508">MGY27*$C$27</f>
        <v>1.3557758849189747E+24</v>
      </c>
      <c r="MHC27" s="613">
        <f t="shared" ref="MHC27" si="4509">MHA27*$C$27</f>
        <v>1.3693336437681645E+24</v>
      </c>
      <c r="MHE27" s="613">
        <f t="shared" ref="MHE27" si="4510">MHC27*$C$27</f>
        <v>1.3830269802058463E+24</v>
      </c>
      <c r="MHG27" s="613">
        <f t="shared" ref="MHG27" si="4511">MHE27*$C$27</f>
        <v>1.3968572500079048E+24</v>
      </c>
      <c r="MHI27" s="613">
        <f t="shared" ref="MHI27" si="4512">MHG27*$C$27</f>
        <v>1.4108258225079837E+24</v>
      </c>
      <c r="MHK27" s="613">
        <f t="shared" ref="MHK27" si="4513">MHI27*$C$27</f>
        <v>1.4249340807330634E+24</v>
      </c>
      <c r="MHM27" s="613">
        <f t="shared" ref="MHM27" si="4514">MHK27*$C$27</f>
        <v>1.439183421540394E+24</v>
      </c>
      <c r="MHO27" s="613">
        <f t="shared" ref="MHO27" si="4515">MHM27*$C$27</f>
        <v>1.4535752557557981E+24</v>
      </c>
      <c r="MHQ27" s="613">
        <f t="shared" ref="MHQ27" si="4516">MHO27*$C$27</f>
        <v>1.4681110083133561E+24</v>
      </c>
      <c r="MHS27" s="613">
        <f t="shared" ref="MHS27" si="4517">MHQ27*$C$27</f>
        <v>1.4827921183964897E+24</v>
      </c>
      <c r="MHU27" s="613">
        <f t="shared" ref="MHU27" si="4518">MHS27*$C$27</f>
        <v>1.4976200395804545E+24</v>
      </c>
      <c r="MHW27" s="613">
        <f t="shared" ref="MHW27" si="4519">MHU27*$C$27</f>
        <v>1.512596239976259E+24</v>
      </c>
      <c r="MHY27" s="613">
        <f t="shared" ref="MHY27" si="4520">MHW27*$C$27</f>
        <v>1.5277222023760216E+24</v>
      </c>
      <c r="MIA27" s="613">
        <f t="shared" ref="MIA27" si="4521">MHY27*$C$27</f>
        <v>1.5429994243997819E+24</v>
      </c>
      <c r="MIC27" s="613">
        <f t="shared" ref="MIC27" si="4522">MIA27*$C$27</f>
        <v>1.5584294186437796E+24</v>
      </c>
      <c r="MIE27" s="613">
        <f t="shared" ref="MIE27" si="4523">MIC27*$C$27</f>
        <v>1.5740137128302174E+24</v>
      </c>
      <c r="MIG27" s="613">
        <f t="shared" ref="MIG27" si="4524">MIE27*$C$27</f>
        <v>1.5897538499585195E+24</v>
      </c>
      <c r="MII27" s="613">
        <f t="shared" ref="MII27" si="4525">MIG27*$C$27</f>
        <v>1.6056513884581048E+24</v>
      </c>
      <c r="MIK27" s="613">
        <f t="shared" ref="MIK27" si="4526">MII27*$C$27</f>
        <v>1.6217079023426859E+24</v>
      </c>
      <c r="MIM27" s="613">
        <f t="shared" ref="MIM27" si="4527">MIK27*$C$27</f>
        <v>1.6379249813661127E+24</v>
      </c>
      <c r="MIO27" s="613">
        <f t="shared" ref="MIO27" si="4528">MIM27*$C$27</f>
        <v>1.6543042311797738E+24</v>
      </c>
      <c r="MIQ27" s="613">
        <f t="shared" ref="MIQ27" si="4529">MIO27*$C$27</f>
        <v>1.6708472734915716E+24</v>
      </c>
      <c r="MIS27" s="613">
        <f t="shared" ref="MIS27" si="4530">MIQ27*$C$27</f>
        <v>1.6875557462264873E+24</v>
      </c>
      <c r="MIU27" s="613">
        <f t="shared" ref="MIU27" si="4531">MIS27*$C$27</f>
        <v>1.7044313036887522E+24</v>
      </c>
      <c r="MIW27" s="613">
        <f t="shared" ref="MIW27" si="4532">MIU27*$C$27</f>
        <v>1.7214756167256397E+24</v>
      </c>
      <c r="MIY27" s="613">
        <f t="shared" ref="MIY27" si="4533">MIW27*$C$27</f>
        <v>1.7386903728928962E+24</v>
      </c>
      <c r="MJA27" s="613">
        <f t="shared" ref="MJA27" si="4534">MIY27*$C$27</f>
        <v>1.7560772766218251E+24</v>
      </c>
      <c r="MJC27" s="613">
        <f t="shared" ref="MJC27" si="4535">MJA27*$C$27</f>
        <v>1.7736380493880433E+24</v>
      </c>
      <c r="MJE27" s="613">
        <f t="shared" ref="MJE27" si="4536">MJC27*$C$27</f>
        <v>1.7913744298819238E+24</v>
      </c>
      <c r="MJG27" s="613">
        <f t="shared" ref="MJG27" si="4537">MJE27*$C$27</f>
        <v>1.8092881741807431E+24</v>
      </c>
      <c r="MJI27" s="613">
        <f t="shared" ref="MJI27" si="4538">MJG27*$C$27</f>
        <v>1.8273810559225505E+24</v>
      </c>
      <c r="MJK27" s="613">
        <f t="shared" ref="MJK27" si="4539">MJI27*$C$27</f>
        <v>1.8456548664817761E+24</v>
      </c>
      <c r="MJM27" s="613">
        <f t="shared" ref="MJM27" si="4540">MJK27*$C$27</f>
        <v>1.864111415146594E+24</v>
      </c>
      <c r="MJO27" s="613">
        <f t="shared" ref="MJO27" si="4541">MJM27*$C$27</f>
        <v>1.8827525292980599E+24</v>
      </c>
      <c r="MJQ27" s="613">
        <f t="shared" ref="MJQ27" si="4542">MJO27*$C$27</f>
        <v>1.9015800545910405E+24</v>
      </c>
      <c r="MJS27" s="613">
        <f t="shared" ref="MJS27" si="4543">MJQ27*$C$27</f>
        <v>1.9205958551369509E+24</v>
      </c>
      <c r="MJU27" s="613">
        <f t="shared" ref="MJU27" si="4544">MJS27*$C$27</f>
        <v>1.9398018136883206E+24</v>
      </c>
      <c r="MJW27" s="613">
        <f t="shared" ref="MJW27" si="4545">MJU27*$C$27</f>
        <v>1.9591998318252037E+24</v>
      </c>
      <c r="MJY27" s="613">
        <f t="shared" ref="MJY27" si="4546">MJW27*$C$27</f>
        <v>1.9787918301434559E+24</v>
      </c>
      <c r="MKA27" s="613">
        <f t="shared" ref="MKA27" si="4547">MJY27*$C$27</f>
        <v>1.9985797484448904E+24</v>
      </c>
      <c r="MKC27" s="613">
        <f t="shared" ref="MKC27" si="4548">MKA27*$C$27</f>
        <v>2.0185655459293393E+24</v>
      </c>
      <c r="MKE27" s="613">
        <f t="shared" ref="MKE27" si="4549">MKC27*$C$27</f>
        <v>2.0387512013886329E+24</v>
      </c>
      <c r="MKG27" s="613">
        <f t="shared" ref="MKG27" si="4550">MKE27*$C$27</f>
        <v>2.0591387134025193E+24</v>
      </c>
      <c r="MKI27" s="613">
        <f t="shared" ref="MKI27" si="4551">MKG27*$C$27</f>
        <v>2.0797301005365447E+24</v>
      </c>
      <c r="MKK27" s="613">
        <f t="shared" ref="MKK27" si="4552">MKI27*$C$27</f>
        <v>2.1005274015419101E+24</v>
      </c>
      <c r="MKM27" s="613">
        <f t="shared" ref="MKM27" si="4553">MKK27*$C$27</f>
        <v>2.1215326755573292E+24</v>
      </c>
      <c r="MKO27" s="613">
        <f t="shared" ref="MKO27" si="4554">MKM27*$C$27</f>
        <v>2.1427480023129026E+24</v>
      </c>
      <c r="MKQ27" s="613">
        <f t="shared" ref="MKQ27" si="4555">MKO27*$C$27</f>
        <v>2.1641754823360316E+24</v>
      </c>
      <c r="MKS27" s="613">
        <f t="shared" ref="MKS27" si="4556">MKQ27*$C$27</f>
        <v>2.185817237159392E+24</v>
      </c>
      <c r="MKU27" s="613">
        <f t="shared" ref="MKU27" si="4557">MKS27*$C$27</f>
        <v>2.2076754095309859E+24</v>
      </c>
      <c r="MKW27" s="613">
        <f t="shared" ref="MKW27" si="4558">MKU27*$C$27</f>
        <v>2.2297521636262958E+24</v>
      </c>
      <c r="MKY27" s="613">
        <f t="shared" ref="MKY27" si="4559">MKW27*$C$27</f>
        <v>2.2520496852625587E+24</v>
      </c>
      <c r="MLA27" s="613">
        <f t="shared" ref="MLA27" si="4560">MKY27*$C$27</f>
        <v>2.2745701821151843E+24</v>
      </c>
      <c r="MLC27" s="613">
        <f t="shared" ref="MLC27" si="4561">MLA27*$C$27</f>
        <v>2.2973158839363363E+24</v>
      </c>
      <c r="MLE27" s="613">
        <f t="shared" ref="MLE27" si="4562">MLC27*$C$27</f>
        <v>2.3202890427756996E+24</v>
      </c>
      <c r="MLG27" s="613">
        <f t="shared" ref="MLG27" si="4563">MLE27*$C$27</f>
        <v>2.3434919332034567E+24</v>
      </c>
      <c r="MLI27" s="613">
        <f t="shared" ref="MLI27" si="4564">MLG27*$C$27</f>
        <v>2.3669268525354912E+24</v>
      </c>
      <c r="MLK27" s="613">
        <f t="shared" ref="MLK27" si="4565">MLI27*$C$27</f>
        <v>2.3905961210608463E+24</v>
      </c>
      <c r="MLM27" s="613">
        <f t="shared" ref="MLM27" si="4566">MLK27*$C$27</f>
        <v>2.4145020822714548E+24</v>
      </c>
      <c r="MLO27" s="613">
        <f t="shared" ref="MLO27" si="4567">MLM27*$C$27</f>
        <v>2.4386471030941693E+24</v>
      </c>
      <c r="MLQ27" s="613">
        <f t="shared" ref="MLQ27" si="4568">MLO27*$C$27</f>
        <v>2.4630335741251111E+24</v>
      </c>
      <c r="MLS27" s="613">
        <f t="shared" ref="MLS27" si="4569">MLQ27*$C$27</f>
        <v>2.4876639098663621E+24</v>
      </c>
      <c r="MLU27" s="613">
        <f t="shared" ref="MLU27" si="4570">MLS27*$C$27</f>
        <v>2.5125405489650257E+24</v>
      </c>
      <c r="MLW27" s="613">
        <f t="shared" ref="MLW27" si="4571">MLU27*$C$27</f>
        <v>2.537665954454676E+24</v>
      </c>
      <c r="MLY27" s="613">
        <f t="shared" ref="MLY27" si="4572">MLW27*$C$27</f>
        <v>2.563042613999223E+24</v>
      </c>
      <c r="MMA27" s="613">
        <f t="shared" ref="MMA27" si="4573">MLY27*$C$27</f>
        <v>2.5886730401392154E+24</v>
      </c>
      <c r="MMC27" s="613">
        <f t="shared" ref="MMC27" si="4574">MMA27*$C$27</f>
        <v>2.6145597705406077E+24</v>
      </c>
      <c r="MME27" s="613">
        <f t="shared" ref="MME27" si="4575">MMC27*$C$27</f>
        <v>2.640705368246014E+24</v>
      </c>
      <c r="MMG27" s="613">
        <f t="shared" ref="MMG27" si="4576">MME27*$C$27</f>
        <v>2.6671124219284742E+24</v>
      </c>
      <c r="MMI27" s="613">
        <f t="shared" ref="MMI27" si="4577">MMG27*$C$27</f>
        <v>2.6937835461477589E+24</v>
      </c>
      <c r="MMK27" s="613">
        <f t="shared" ref="MMK27" si="4578">MMI27*$C$27</f>
        <v>2.7207213816092365E+24</v>
      </c>
      <c r="MMM27" s="613">
        <f t="shared" ref="MMM27" si="4579">MMK27*$C$27</f>
        <v>2.747928595425329E+24</v>
      </c>
      <c r="MMO27" s="613">
        <f t="shared" ref="MMO27" si="4580">MMM27*$C$27</f>
        <v>2.7754078813795821E+24</v>
      </c>
      <c r="MMQ27" s="613">
        <f t="shared" ref="MMQ27" si="4581">MMO27*$C$27</f>
        <v>2.8031619601933782E+24</v>
      </c>
      <c r="MMS27" s="613">
        <f t="shared" ref="MMS27" si="4582">MMQ27*$C$27</f>
        <v>2.8311935797953118E+24</v>
      </c>
      <c r="MMU27" s="613">
        <f t="shared" ref="MMU27" si="4583">MMS27*$C$27</f>
        <v>2.8595055155932651E+24</v>
      </c>
      <c r="MMW27" s="613">
        <f t="shared" ref="MMW27" si="4584">MMU27*$C$27</f>
        <v>2.888100570749198E+24</v>
      </c>
      <c r="MMY27" s="613">
        <f t="shared" ref="MMY27" si="4585">MMW27*$C$27</f>
        <v>2.9169815764566902E+24</v>
      </c>
      <c r="MNA27" s="613">
        <f t="shared" ref="MNA27" si="4586">MMY27*$C$27</f>
        <v>2.946151392221257E+24</v>
      </c>
      <c r="MNC27" s="613">
        <f t="shared" ref="MNC27" si="4587">MNA27*$C$27</f>
        <v>2.9756129061434698E+24</v>
      </c>
      <c r="MNE27" s="613">
        <f t="shared" ref="MNE27" si="4588">MNC27*$C$27</f>
        <v>3.0053690352049047E+24</v>
      </c>
      <c r="MNG27" s="613">
        <f t="shared" ref="MNG27" si="4589">MNE27*$C$27</f>
        <v>3.0354227255569535E+24</v>
      </c>
      <c r="MNI27" s="613">
        <f t="shared" ref="MNI27" si="4590">MNG27*$C$27</f>
        <v>3.0657769528125232E+24</v>
      </c>
      <c r="MNK27" s="613">
        <f t="shared" ref="MNK27" si="4591">MNI27*$C$27</f>
        <v>3.0964347223406484E+24</v>
      </c>
      <c r="MNM27" s="613">
        <f t="shared" ref="MNM27" si="4592">MNK27*$C$27</f>
        <v>3.1273990695640548E+24</v>
      </c>
      <c r="MNO27" s="613">
        <f t="shared" ref="MNO27" si="4593">MNM27*$C$27</f>
        <v>3.1586730602596954E+24</v>
      </c>
      <c r="MNQ27" s="613">
        <f t="shared" ref="MNQ27" si="4594">MNO27*$C$27</f>
        <v>3.1902597908622922E+24</v>
      </c>
      <c r="MNS27" s="613">
        <f t="shared" ref="MNS27" si="4595">MNQ27*$C$27</f>
        <v>3.222162388770915E+24</v>
      </c>
      <c r="MNU27" s="613">
        <f t="shared" ref="MNU27" si="4596">MNS27*$C$27</f>
        <v>3.2543840126586243E+24</v>
      </c>
      <c r="MNW27" s="613">
        <f t="shared" ref="MNW27" si="4597">MNU27*$C$27</f>
        <v>3.2869278527852107E+24</v>
      </c>
      <c r="MNY27" s="613">
        <f t="shared" ref="MNY27" si="4598">MNW27*$C$27</f>
        <v>3.3197971313130628E+24</v>
      </c>
      <c r="MOA27" s="613">
        <f t="shared" ref="MOA27" si="4599">MNY27*$C$27</f>
        <v>3.3529951026261934E+24</v>
      </c>
      <c r="MOC27" s="613">
        <f t="shared" ref="MOC27" si="4600">MOA27*$C$27</f>
        <v>3.3865250536524551E+24</v>
      </c>
      <c r="MOE27" s="613">
        <f t="shared" ref="MOE27" si="4601">MOC27*$C$27</f>
        <v>3.4203903041889799E+24</v>
      </c>
      <c r="MOG27" s="613">
        <f t="shared" ref="MOG27" si="4602">MOE27*$C$27</f>
        <v>3.4545942072308697E+24</v>
      </c>
      <c r="MOI27" s="613">
        <f t="shared" ref="MOI27" si="4603">MOG27*$C$27</f>
        <v>3.4891401493031782E+24</v>
      </c>
      <c r="MOK27" s="613">
        <f t="shared" ref="MOK27" si="4604">MOI27*$C$27</f>
        <v>3.5240315507962097E+24</v>
      </c>
      <c r="MOM27" s="613">
        <f t="shared" ref="MOM27" si="4605">MOK27*$C$27</f>
        <v>3.5592718663041718E+24</v>
      </c>
      <c r="MOO27" s="613">
        <f t="shared" ref="MOO27" si="4606">MOM27*$C$27</f>
        <v>3.5948645849672136E+24</v>
      </c>
      <c r="MOQ27" s="613">
        <f t="shared" ref="MOQ27" si="4607">MOO27*$C$27</f>
        <v>3.6308132308168855E+24</v>
      </c>
      <c r="MOS27" s="613">
        <f t="shared" ref="MOS27" si="4608">MOQ27*$C$27</f>
        <v>3.6671213631250547E+24</v>
      </c>
      <c r="MOU27" s="613">
        <f t="shared" ref="MOU27" si="4609">MOS27*$C$27</f>
        <v>3.7037925767563052E+24</v>
      </c>
      <c r="MOW27" s="613">
        <f t="shared" ref="MOW27" si="4610">MOU27*$C$27</f>
        <v>3.7408305025238685E+24</v>
      </c>
      <c r="MOY27" s="613">
        <f t="shared" ref="MOY27" si="4611">MOW27*$C$27</f>
        <v>3.7782388075491072E+24</v>
      </c>
      <c r="MPA27" s="613">
        <f t="shared" ref="MPA27" si="4612">MOY27*$C$27</f>
        <v>3.8160211956245983E+24</v>
      </c>
      <c r="MPC27" s="613">
        <f t="shared" ref="MPC27" si="4613">MPA27*$C$27</f>
        <v>3.8541814075808444E+24</v>
      </c>
      <c r="MPE27" s="613">
        <f t="shared" ref="MPE27" si="4614">MPC27*$C$27</f>
        <v>3.8927232216566529E+24</v>
      </c>
      <c r="MPG27" s="613">
        <f t="shared" ref="MPG27" si="4615">MPE27*$C$27</f>
        <v>3.9316504538732196E+24</v>
      </c>
      <c r="MPI27" s="613">
        <f t="shared" ref="MPI27" si="4616">MPG27*$C$27</f>
        <v>3.9709669584119515E+24</v>
      </c>
      <c r="MPK27" s="613">
        <f t="shared" ref="MPK27" si="4617">MPI27*$C$27</f>
        <v>4.0106766279960709E+24</v>
      </c>
      <c r="MPM27" s="613">
        <f t="shared" ref="MPM27" si="4618">MPK27*$C$27</f>
        <v>4.0507833942760319E+24</v>
      </c>
      <c r="MPO27" s="613">
        <f t="shared" ref="MPO27" si="4619">MPM27*$C$27</f>
        <v>4.0912912282187924E+24</v>
      </c>
      <c r="MPQ27" s="613">
        <f t="shared" ref="MPQ27" si="4620">MPO27*$C$27</f>
        <v>4.1322041405009803E+24</v>
      </c>
      <c r="MPS27" s="613">
        <f t="shared" ref="MPS27" si="4621">MPQ27*$C$27</f>
        <v>4.17352618190599E+24</v>
      </c>
      <c r="MPU27" s="613">
        <f t="shared" ref="MPU27" si="4622">MPS27*$C$27</f>
        <v>4.2152614437250499E+24</v>
      </c>
      <c r="MPW27" s="613">
        <f t="shared" ref="MPW27" si="4623">MPU27*$C$27</f>
        <v>4.2574140581623007E+24</v>
      </c>
      <c r="MPY27" s="613">
        <f t="shared" ref="MPY27" si="4624">MPW27*$C$27</f>
        <v>4.2999881987439238E+24</v>
      </c>
      <c r="MQA27" s="613">
        <f t="shared" ref="MQA27" si="4625">MPY27*$C$27</f>
        <v>4.3429880807313628E+24</v>
      </c>
      <c r="MQC27" s="613">
        <f t="shared" ref="MQC27" si="4626">MQA27*$C$27</f>
        <v>4.3864179615386763E+24</v>
      </c>
      <c r="MQE27" s="613">
        <f t="shared" ref="MQE27" si="4627">MQC27*$C$27</f>
        <v>4.4302821411540633E+24</v>
      </c>
      <c r="MQG27" s="613">
        <f t="shared" ref="MQG27" si="4628">MQE27*$C$27</f>
        <v>4.4745849625656041E+24</v>
      </c>
      <c r="MQI27" s="613">
        <f t="shared" ref="MQI27" si="4629">MQG27*$C$27</f>
        <v>4.5193308121912601E+24</v>
      </c>
      <c r="MQK27" s="613">
        <f t="shared" ref="MQK27" si="4630">MQI27*$C$27</f>
        <v>4.564524120313173E+24</v>
      </c>
      <c r="MQM27" s="613">
        <f t="shared" ref="MQM27" si="4631">MQK27*$C$27</f>
        <v>4.6101693615163046E+24</v>
      </c>
      <c r="MQO27" s="613">
        <f t="shared" ref="MQO27" si="4632">MQM27*$C$27</f>
        <v>4.6562710551314675E+24</v>
      </c>
      <c r="MQQ27" s="613">
        <f t="shared" ref="MQQ27" si="4633">MQO27*$C$27</f>
        <v>4.702833765682782E+24</v>
      </c>
      <c r="MQS27" s="613">
        <f t="shared" ref="MQS27" si="4634">MQQ27*$C$27</f>
        <v>4.7498621033396098E+24</v>
      </c>
      <c r="MQU27" s="613">
        <f t="shared" ref="MQU27" si="4635">MQS27*$C$27</f>
        <v>4.7973607243730061E+24</v>
      </c>
      <c r="MQW27" s="613">
        <f t="shared" ref="MQW27" si="4636">MQU27*$C$27</f>
        <v>4.8453343316167356E+24</v>
      </c>
      <c r="MQY27" s="613">
        <f t="shared" ref="MQY27" si="4637">MQW27*$C$27</f>
        <v>4.8937876749329034E+24</v>
      </c>
      <c r="MRA27" s="613">
        <f t="shared" ref="MRA27" si="4638">MQY27*$C$27</f>
        <v>4.9427255516822323E+24</v>
      </c>
      <c r="MRC27" s="613">
        <f t="shared" ref="MRC27" si="4639">MRA27*$C$27</f>
        <v>4.9921528071990545E+24</v>
      </c>
      <c r="MRE27" s="613">
        <f t="shared" ref="MRE27" si="4640">MRC27*$C$27</f>
        <v>5.042074335271045E+24</v>
      </c>
      <c r="MRG27" s="613">
        <f t="shared" ref="MRG27" si="4641">MRE27*$C$27</f>
        <v>5.0924950786237559E+24</v>
      </c>
      <c r="MRI27" s="613">
        <f t="shared" ref="MRI27" si="4642">MRG27*$C$27</f>
        <v>5.1434200294099931E+24</v>
      </c>
      <c r="MRK27" s="613">
        <f t="shared" ref="MRK27" si="4643">MRI27*$C$27</f>
        <v>5.1948542297040927E+24</v>
      </c>
      <c r="MRM27" s="613">
        <f t="shared" ref="MRM27" si="4644">MRK27*$C$27</f>
        <v>5.2468027720011333E+24</v>
      </c>
      <c r="MRO27" s="613">
        <f t="shared" ref="MRO27" si="4645">MRM27*$C$27</f>
        <v>5.2992707997211444E+24</v>
      </c>
      <c r="MRQ27" s="613">
        <f t="shared" ref="MRQ27" si="4646">MRO27*$C$27</f>
        <v>5.3522635077183556E+24</v>
      </c>
      <c r="MRS27" s="613">
        <f t="shared" ref="MRS27" si="4647">MRQ27*$C$27</f>
        <v>5.4057861427955388E+24</v>
      </c>
      <c r="MRU27" s="613">
        <f t="shared" ref="MRU27" si="4648">MRS27*$C$27</f>
        <v>5.459844004223494E+24</v>
      </c>
      <c r="MRW27" s="613">
        <f t="shared" ref="MRW27" si="4649">MRU27*$C$27</f>
        <v>5.5144424442657289E+24</v>
      </c>
      <c r="MRY27" s="613">
        <f t="shared" ref="MRY27" si="4650">MRW27*$C$27</f>
        <v>5.5695868687083858E+24</v>
      </c>
      <c r="MSA27" s="613">
        <f t="shared" ref="MSA27" si="4651">MRY27*$C$27</f>
        <v>5.6252827373954702E+24</v>
      </c>
      <c r="MSC27" s="613">
        <f t="shared" ref="MSC27" si="4652">MSA27*$C$27</f>
        <v>5.6815355647694253E+24</v>
      </c>
      <c r="MSE27" s="613">
        <f t="shared" ref="MSE27" si="4653">MSC27*$C$27</f>
        <v>5.7383509204171199E+24</v>
      </c>
      <c r="MSG27" s="613">
        <f t="shared" ref="MSG27" si="4654">MSE27*$C$27</f>
        <v>5.7957344296212914E+24</v>
      </c>
      <c r="MSI27" s="613">
        <f t="shared" ref="MSI27" si="4655">MSG27*$C$27</f>
        <v>5.8536917739175046E+24</v>
      </c>
      <c r="MSK27" s="613">
        <f t="shared" ref="MSK27" si="4656">MSI27*$C$27</f>
        <v>5.9122286916566797E+24</v>
      </c>
      <c r="MSM27" s="613">
        <f t="shared" ref="MSM27" si="4657">MSK27*$C$27</f>
        <v>5.9713509785732465E+24</v>
      </c>
      <c r="MSO27" s="613">
        <f t="shared" ref="MSO27" si="4658">MSM27*$C$27</f>
        <v>6.031064488358979E+24</v>
      </c>
      <c r="MSQ27" s="613">
        <f t="shared" ref="MSQ27" si="4659">MSO27*$C$27</f>
        <v>6.0913751332425692E+24</v>
      </c>
      <c r="MSS27" s="613">
        <f t="shared" ref="MSS27" si="4660">MSQ27*$C$27</f>
        <v>6.1522888845749951E+24</v>
      </c>
      <c r="MSU27" s="613">
        <f t="shared" ref="MSU27" si="4661">MSS27*$C$27</f>
        <v>6.2138117734207454E+24</v>
      </c>
      <c r="MSW27" s="613">
        <f t="shared" ref="MSW27" si="4662">MSU27*$C$27</f>
        <v>6.275949891154953E+24</v>
      </c>
      <c r="MSY27" s="613">
        <f t="shared" ref="MSY27" si="4663">MSW27*$C$27</f>
        <v>6.3387093900665029E+24</v>
      </c>
      <c r="MTA27" s="613">
        <f t="shared" ref="MTA27" si="4664">MSY27*$C$27</f>
        <v>6.4020964839671686E+24</v>
      </c>
      <c r="MTC27" s="613">
        <f t="shared" ref="MTC27" si="4665">MTA27*$C$27</f>
        <v>6.4661174488068402E+24</v>
      </c>
      <c r="MTE27" s="613">
        <f t="shared" ref="MTE27" si="4666">MTC27*$C$27</f>
        <v>6.5307786232949091E+24</v>
      </c>
      <c r="MTG27" s="613">
        <f t="shared" ref="MTG27" si="4667">MTE27*$C$27</f>
        <v>6.5960864095278587E+24</v>
      </c>
      <c r="MTI27" s="613">
        <f t="shared" ref="MTI27" si="4668">MTG27*$C$27</f>
        <v>6.6620472736231378E+24</v>
      </c>
      <c r="MTK27" s="613">
        <f t="shared" ref="MTK27" si="4669">MTI27*$C$27</f>
        <v>6.7286677463593689E+24</v>
      </c>
      <c r="MTM27" s="613">
        <f t="shared" ref="MTM27" si="4670">MTK27*$C$27</f>
        <v>6.7959544238229622E+24</v>
      </c>
      <c r="MTO27" s="613">
        <f t="shared" ref="MTO27" si="4671">MTM27*$C$27</f>
        <v>6.8639139680611923E+24</v>
      </c>
      <c r="MTQ27" s="613">
        <f t="shared" ref="MTQ27" si="4672">MTO27*$C$27</f>
        <v>6.9325531077418043E+24</v>
      </c>
      <c r="MTS27" s="613">
        <f t="shared" ref="MTS27" si="4673">MTQ27*$C$27</f>
        <v>7.001878638819222E+24</v>
      </c>
      <c r="MTU27" s="613">
        <f t="shared" ref="MTU27" si="4674">MTS27*$C$27</f>
        <v>7.0718974252074138E+24</v>
      </c>
      <c r="MTW27" s="613">
        <f t="shared" ref="MTW27" si="4675">MTU27*$C$27</f>
        <v>7.1426163994594875E+24</v>
      </c>
      <c r="MTY27" s="613">
        <f t="shared" ref="MTY27" si="4676">MTW27*$C$27</f>
        <v>7.2140425634540829E+24</v>
      </c>
      <c r="MUA27" s="613">
        <f t="shared" ref="MUA27" si="4677">MTY27*$C$27</f>
        <v>7.2861829890886237E+24</v>
      </c>
      <c r="MUC27" s="613">
        <f t="shared" ref="MUC27" si="4678">MUA27*$C$27</f>
        <v>7.3590448189795097E+24</v>
      </c>
      <c r="MUE27" s="613">
        <f t="shared" ref="MUE27" si="4679">MUC27*$C$27</f>
        <v>7.4326352671693048E+24</v>
      </c>
      <c r="MUG27" s="613">
        <f t="shared" ref="MUG27" si="4680">MUE27*$C$27</f>
        <v>7.5069616198409977E+24</v>
      </c>
      <c r="MUI27" s="613">
        <f t="shared" ref="MUI27" si="4681">MUG27*$C$27</f>
        <v>7.5820312360394076E+24</v>
      </c>
      <c r="MUK27" s="613">
        <f t="shared" ref="MUK27" si="4682">MUI27*$C$27</f>
        <v>7.6578515483998017E+24</v>
      </c>
      <c r="MUM27" s="613">
        <f t="shared" ref="MUM27" si="4683">MUK27*$C$27</f>
        <v>7.7344300638837994E+24</v>
      </c>
      <c r="MUO27" s="613">
        <f t="shared" ref="MUO27" si="4684">MUM27*$C$27</f>
        <v>7.8117743645226371E+24</v>
      </c>
      <c r="MUQ27" s="613">
        <f t="shared" ref="MUQ27" si="4685">MUO27*$C$27</f>
        <v>7.8898921081678633E+24</v>
      </c>
      <c r="MUS27" s="613">
        <f t="shared" ref="MUS27" si="4686">MUQ27*$C$27</f>
        <v>7.9687910292495416E+24</v>
      </c>
      <c r="MUU27" s="613">
        <f t="shared" ref="MUU27" si="4687">MUS27*$C$27</f>
        <v>8.0484789395420368E+24</v>
      </c>
      <c r="MUW27" s="613">
        <f t="shared" ref="MUW27" si="4688">MUU27*$C$27</f>
        <v>8.1289637289374578E+24</v>
      </c>
      <c r="MUY27" s="613">
        <f t="shared" ref="MUY27" si="4689">MUW27*$C$27</f>
        <v>8.2102533662268326E+24</v>
      </c>
      <c r="MVA27" s="613">
        <f t="shared" ref="MVA27" si="4690">MUY27*$C$27</f>
        <v>8.2923558998891013E+24</v>
      </c>
      <c r="MVC27" s="613">
        <f t="shared" ref="MVC27" si="4691">MVA27*$C$27</f>
        <v>8.3752794588879926E+24</v>
      </c>
      <c r="MVE27" s="613">
        <f t="shared" ref="MVE27" si="4692">MVC27*$C$27</f>
        <v>8.4590322534768725E+24</v>
      </c>
      <c r="MVG27" s="613">
        <f t="shared" ref="MVG27" si="4693">MVE27*$C$27</f>
        <v>8.5436225760116418E+24</v>
      </c>
      <c r="MVI27" s="613">
        <f t="shared" ref="MVI27" si="4694">MVG27*$C$27</f>
        <v>8.6290588017717583E+24</v>
      </c>
      <c r="MVK27" s="613">
        <f t="shared" ref="MVK27" si="4695">MVI27*$C$27</f>
        <v>8.7153493897894756E+24</v>
      </c>
      <c r="MVM27" s="613">
        <f t="shared" ref="MVM27" si="4696">MVK27*$C$27</f>
        <v>8.8025028836873706E+24</v>
      </c>
      <c r="MVO27" s="613">
        <f t="shared" ref="MVO27" si="4697">MVM27*$C$27</f>
        <v>8.8905279125242443E+24</v>
      </c>
      <c r="MVQ27" s="613">
        <f t="shared" ref="MVQ27" si="4698">MVO27*$C$27</f>
        <v>8.9794331916494873E+24</v>
      </c>
      <c r="MVS27" s="613">
        <f t="shared" ref="MVS27" si="4699">MVQ27*$C$27</f>
        <v>9.0692275235659823E+24</v>
      </c>
      <c r="MVU27" s="613">
        <f t="shared" ref="MVU27" si="4700">MVS27*$C$27</f>
        <v>9.1599197988016418E+24</v>
      </c>
      <c r="MVW27" s="613">
        <f t="shared" ref="MVW27" si="4701">MVU27*$C$27</f>
        <v>9.2515189967896578E+24</v>
      </c>
      <c r="MVY27" s="613">
        <f t="shared" ref="MVY27" si="4702">MVW27*$C$27</f>
        <v>9.3440341867575549E+24</v>
      </c>
      <c r="MWA27" s="613">
        <f t="shared" ref="MWA27" si="4703">MVY27*$C$27</f>
        <v>9.4374745286251305E+24</v>
      </c>
      <c r="MWC27" s="613">
        <f t="shared" ref="MWC27" si="4704">MWA27*$C$27</f>
        <v>9.5318492739113822E+24</v>
      </c>
      <c r="MWE27" s="613">
        <f t="shared" ref="MWE27" si="4705">MWC27*$C$27</f>
        <v>9.6271677666504958E+24</v>
      </c>
      <c r="MWG27" s="613">
        <f t="shared" ref="MWG27" si="4706">MWE27*$C$27</f>
        <v>9.7234394443169998E+24</v>
      </c>
      <c r="MWI27" s="613">
        <f t="shared" ref="MWI27" si="4707">MWG27*$C$27</f>
        <v>9.8206738387601697E+24</v>
      </c>
      <c r="MWK27" s="613">
        <f t="shared" ref="MWK27" si="4708">MWI27*$C$27</f>
        <v>9.9188805771477715E+24</v>
      </c>
      <c r="MWM27" s="613">
        <f t="shared" ref="MWM27" si="4709">MWK27*$C$27</f>
        <v>1.001806938291925E+25</v>
      </c>
      <c r="MWO27" s="613">
        <f t="shared" ref="MWO27" si="4710">MWM27*$C$27</f>
        <v>1.0118250076748442E+25</v>
      </c>
      <c r="MWQ27" s="613">
        <f t="shared" ref="MWQ27" si="4711">MWO27*$C$27</f>
        <v>1.0219432577515926E+25</v>
      </c>
      <c r="MWS27" s="613">
        <f t="shared" ref="MWS27" si="4712">MWQ27*$C$27</f>
        <v>1.0321626903291085E+25</v>
      </c>
      <c r="MWU27" s="613">
        <f t="shared" ref="MWU27" si="4713">MWS27*$C$27</f>
        <v>1.0424843172323995E+25</v>
      </c>
      <c r="MWW27" s="613">
        <f t="shared" ref="MWW27" si="4714">MWU27*$C$27</f>
        <v>1.0529091604047236E+25</v>
      </c>
      <c r="MWY27" s="613">
        <f t="shared" ref="MWY27" si="4715">MWW27*$C$27</f>
        <v>1.0634382520087707E+25</v>
      </c>
      <c r="MXA27" s="613">
        <f t="shared" ref="MXA27" si="4716">MWY27*$C$27</f>
        <v>1.0740726345288585E+25</v>
      </c>
      <c r="MXC27" s="613">
        <f t="shared" ref="MXC27" si="4717">MXA27*$C$27</f>
        <v>1.084813360874147E+25</v>
      </c>
      <c r="MXE27" s="613">
        <f t="shared" ref="MXE27" si="4718">MXC27*$C$27</f>
        <v>1.0956614944828885E+25</v>
      </c>
      <c r="MXG27" s="613">
        <f t="shared" ref="MXG27" si="4719">MXE27*$C$27</f>
        <v>1.1066181094277173E+25</v>
      </c>
      <c r="MXI27" s="613">
        <f t="shared" ref="MXI27" si="4720">MXG27*$C$27</f>
        <v>1.1176842905219945E+25</v>
      </c>
      <c r="MXK27" s="613">
        <f t="shared" ref="MXK27" si="4721">MXI27*$C$27</f>
        <v>1.1288611334272145E+25</v>
      </c>
      <c r="MXM27" s="613">
        <f t="shared" ref="MXM27" si="4722">MXK27*$C$27</f>
        <v>1.1401497447614866E+25</v>
      </c>
      <c r="MXO27" s="613">
        <f t="shared" ref="MXO27" si="4723">MXM27*$C$27</f>
        <v>1.1515512422091014E+25</v>
      </c>
      <c r="MXQ27" s="613">
        <f t="shared" ref="MXQ27" si="4724">MXO27*$C$27</f>
        <v>1.1630667546311925E+25</v>
      </c>
      <c r="MXS27" s="613">
        <f t="shared" ref="MXS27" si="4725">MXQ27*$C$27</f>
        <v>1.1746974221775045E+25</v>
      </c>
      <c r="MXU27" s="613">
        <f t="shared" ref="MXU27" si="4726">MXS27*$C$27</f>
        <v>1.1864443963992796E+25</v>
      </c>
      <c r="MXW27" s="613">
        <f t="shared" ref="MXW27" si="4727">MXU27*$C$27</f>
        <v>1.1983088403632723E+25</v>
      </c>
      <c r="MXY27" s="613">
        <f t="shared" ref="MXY27" si="4728">MXW27*$C$27</f>
        <v>1.2102919287669051E+25</v>
      </c>
      <c r="MYA27" s="613">
        <f t="shared" ref="MYA27" si="4729">MXY27*$C$27</f>
        <v>1.2223948480545741E+25</v>
      </c>
      <c r="MYC27" s="613">
        <f t="shared" ref="MYC27" si="4730">MYA27*$C$27</f>
        <v>1.2346187965351198E+25</v>
      </c>
      <c r="MYE27" s="613">
        <f t="shared" ref="MYE27" si="4731">MYC27*$C$27</f>
        <v>1.2469649845004711E+25</v>
      </c>
      <c r="MYG27" s="613">
        <f t="shared" ref="MYG27" si="4732">MYE27*$C$27</f>
        <v>1.2594346343454759E+25</v>
      </c>
      <c r="MYI27" s="613">
        <f t="shared" ref="MYI27" si="4733">MYG27*$C$27</f>
        <v>1.2720289806889308E+25</v>
      </c>
      <c r="MYK27" s="613">
        <f t="shared" ref="MYK27" si="4734">MYI27*$C$27</f>
        <v>1.2847492704958201E+25</v>
      </c>
      <c r="MYM27" s="613">
        <f t="shared" ref="MYM27" si="4735">MYK27*$C$27</f>
        <v>1.2975967632007782E+25</v>
      </c>
      <c r="MYO27" s="613">
        <f t="shared" ref="MYO27" si="4736">MYM27*$C$27</f>
        <v>1.310572730832786E+25</v>
      </c>
      <c r="MYQ27" s="613">
        <f t="shared" ref="MYQ27" si="4737">MYO27*$C$27</f>
        <v>1.3236784581411138E+25</v>
      </c>
      <c r="MYS27" s="613">
        <f t="shared" ref="MYS27" si="4738">MYQ27*$C$27</f>
        <v>1.336915242722525E+25</v>
      </c>
      <c r="MYU27" s="613">
        <f t="shared" ref="MYU27" si="4739">MYS27*$C$27</f>
        <v>1.3502843951497503E+25</v>
      </c>
      <c r="MYW27" s="613">
        <f t="shared" ref="MYW27" si="4740">MYU27*$C$27</f>
        <v>1.3637872391012479E+25</v>
      </c>
      <c r="MYY27" s="613">
        <f t="shared" ref="MYY27" si="4741">MYW27*$C$27</f>
        <v>1.3774251114922605E+25</v>
      </c>
      <c r="MZA27" s="613">
        <f t="shared" ref="MZA27" si="4742">MYY27*$C$27</f>
        <v>1.3911993626071831E+25</v>
      </c>
      <c r="MZC27" s="613">
        <f t="shared" ref="MZC27" si="4743">MZA27*$C$27</f>
        <v>1.405111356233255E+25</v>
      </c>
      <c r="MZE27" s="613">
        <f t="shared" ref="MZE27" si="4744">MZC27*$C$27</f>
        <v>1.4191624697955875E+25</v>
      </c>
      <c r="MZG27" s="613">
        <f t="shared" ref="MZG27" si="4745">MZE27*$C$27</f>
        <v>1.4333540944935433E+25</v>
      </c>
      <c r="MZI27" s="613">
        <f t="shared" ref="MZI27" si="4746">MZG27*$C$27</f>
        <v>1.4476876354384787E+25</v>
      </c>
      <c r="MZK27" s="613">
        <f t="shared" ref="MZK27" si="4747">MZI27*$C$27</f>
        <v>1.4621645117928635E+25</v>
      </c>
      <c r="MZM27" s="613">
        <f t="shared" ref="MZM27" si="4748">MZK27*$C$27</f>
        <v>1.4767861569107922E+25</v>
      </c>
      <c r="MZO27" s="613">
        <f t="shared" ref="MZO27" si="4749">MZM27*$C$27</f>
        <v>1.4915540184799001E+25</v>
      </c>
      <c r="MZQ27" s="613">
        <f t="shared" ref="MZQ27" si="4750">MZO27*$C$27</f>
        <v>1.5064695586646991E+25</v>
      </c>
      <c r="MZS27" s="613">
        <f t="shared" ref="MZS27" si="4751">MZQ27*$C$27</f>
        <v>1.5215342542513462E+25</v>
      </c>
      <c r="MZU27" s="613">
        <f t="shared" ref="MZU27" si="4752">MZS27*$C$27</f>
        <v>1.5367495967938596E+25</v>
      </c>
      <c r="MZW27" s="613">
        <f t="shared" ref="MZW27" si="4753">MZU27*$C$27</f>
        <v>1.5521170927617982E+25</v>
      </c>
      <c r="MZY27" s="613">
        <f t="shared" ref="MZY27" si="4754">MZW27*$C$27</f>
        <v>1.5676382636894163E+25</v>
      </c>
      <c r="NAA27" s="613">
        <f t="shared" ref="NAA27" si="4755">MZY27*$C$27</f>
        <v>1.5833146463263104E+25</v>
      </c>
      <c r="NAC27" s="613">
        <f t="shared" ref="NAC27" si="4756">NAA27*$C$27</f>
        <v>1.5991477927895736E+25</v>
      </c>
      <c r="NAE27" s="613">
        <f t="shared" ref="NAE27" si="4757">NAC27*$C$27</f>
        <v>1.6151392707174692E+25</v>
      </c>
      <c r="NAG27" s="613">
        <f t="shared" ref="NAG27" si="4758">NAE27*$C$27</f>
        <v>1.6312906634246439E+25</v>
      </c>
      <c r="NAI27" s="613">
        <f t="shared" ref="NAI27" si="4759">NAG27*$C$27</f>
        <v>1.6476035700588905E+25</v>
      </c>
      <c r="NAK27" s="613">
        <f t="shared" ref="NAK27" si="4760">NAI27*$C$27</f>
        <v>1.6640796057594794E+25</v>
      </c>
      <c r="NAM27" s="613">
        <f t="shared" ref="NAM27" si="4761">NAK27*$C$27</f>
        <v>1.6807204018170743E+25</v>
      </c>
      <c r="NAO27" s="613">
        <f t="shared" ref="NAO27" si="4762">NAM27*$C$27</f>
        <v>1.697527605835245E+25</v>
      </c>
      <c r="NAQ27" s="613">
        <f t="shared" ref="NAQ27" si="4763">NAO27*$C$27</f>
        <v>1.7145028818935976E+25</v>
      </c>
      <c r="NAS27" s="613">
        <f t="shared" ref="NAS27" si="4764">NAQ27*$C$27</f>
        <v>1.7316479107125335E+25</v>
      </c>
      <c r="NAU27" s="613">
        <f t="shared" ref="NAU27" si="4765">NAS27*$C$27</f>
        <v>1.748964389819659E+25</v>
      </c>
      <c r="NAW27" s="613">
        <f t="shared" ref="NAW27" si="4766">NAU27*$C$27</f>
        <v>1.7664540337178556E+25</v>
      </c>
      <c r="NAY27" s="613">
        <f t="shared" ref="NAY27" si="4767">NAW27*$C$27</f>
        <v>1.7841185740550343E+25</v>
      </c>
      <c r="NBA27" s="613">
        <f t="shared" ref="NBA27" si="4768">NAY27*$C$27</f>
        <v>1.8019597597955847E+25</v>
      </c>
      <c r="NBC27" s="613">
        <f t="shared" ref="NBC27" si="4769">NBA27*$C$27</f>
        <v>1.8199793573935406E+25</v>
      </c>
      <c r="NBE27" s="613">
        <f t="shared" ref="NBE27" si="4770">NBC27*$C$27</f>
        <v>1.8381791509674761E+25</v>
      </c>
      <c r="NBG27" s="613">
        <f t="shared" ref="NBG27" si="4771">NBE27*$C$27</f>
        <v>1.8565609424771508E+25</v>
      </c>
      <c r="NBI27" s="613">
        <f t="shared" ref="NBI27" si="4772">NBG27*$C$27</f>
        <v>1.8751265519019223E+25</v>
      </c>
      <c r="NBK27" s="613">
        <f t="shared" ref="NBK27" si="4773">NBI27*$C$27</f>
        <v>1.8938778174209415E+25</v>
      </c>
      <c r="NBM27" s="613">
        <f t="shared" ref="NBM27" si="4774">NBK27*$C$27</f>
        <v>1.912816595595151E+25</v>
      </c>
      <c r="NBO27" s="613">
        <f t="shared" ref="NBO27" si="4775">NBM27*$C$27</f>
        <v>1.9319447615511026E+25</v>
      </c>
      <c r="NBQ27" s="613">
        <f t="shared" ref="NBQ27" si="4776">NBO27*$C$27</f>
        <v>1.9512642091666138E+25</v>
      </c>
      <c r="NBS27" s="613">
        <f t="shared" ref="NBS27" si="4777">NBQ27*$C$27</f>
        <v>1.9707768512582799E+25</v>
      </c>
      <c r="NBU27" s="613">
        <f t="shared" ref="NBU27" si="4778">NBS27*$C$27</f>
        <v>1.9904846197708626E+25</v>
      </c>
      <c r="NBW27" s="613">
        <f t="shared" ref="NBW27" si="4779">NBU27*$C$27</f>
        <v>2.0103894659685714E+25</v>
      </c>
      <c r="NBY27" s="613">
        <f t="shared" ref="NBY27" si="4780">NBW27*$C$27</f>
        <v>2.030493360628257E+25</v>
      </c>
      <c r="NCA27" s="613">
        <f t="shared" ref="NCA27" si="4781">NBY27*$C$27</f>
        <v>2.0507982942345397E+25</v>
      </c>
      <c r="NCC27" s="613">
        <f t="shared" ref="NCC27" si="4782">NCA27*$C$27</f>
        <v>2.0713062771768853E+25</v>
      </c>
      <c r="NCE27" s="613">
        <f t="shared" ref="NCE27" si="4783">NCC27*$C$27</f>
        <v>2.0920193399486544E+25</v>
      </c>
      <c r="NCG27" s="613">
        <f t="shared" ref="NCG27" si="4784">NCE27*$C$27</f>
        <v>2.112939533348141E+25</v>
      </c>
      <c r="NCI27" s="613">
        <f t="shared" ref="NCI27" si="4785">NCG27*$C$27</f>
        <v>2.1340689286816226E+25</v>
      </c>
      <c r="NCK27" s="613">
        <f t="shared" ref="NCK27" si="4786">NCI27*$C$27</f>
        <v>2.155409617968439E+25</v>
      </c>
      <c r="NCM27" s="613">
        <f t="shared" ref="NCM27" si="4787">NCK27*$C$27</f>
        <v>2.1769637141481233E+25</v>
      </c>
      <c r="NCO27" s="613">
        <f t="shared" ref="NCO27" si="4788">NCM27*$C$27</f>
        <v>2.1987333512896047E+25</v>
      </c>
      <c r="NCQ27" s="613">
        <f t="shared" ref="NCQ27" si="4789">NCO27*$C$27</f>
        <v>2.2207206848025008E+25</v>
      </c>
      <c r="NCS27" s="613">
        <f t="shared" ref="NCS27" si="4790">NCQ27*$C$27</f>
        <v>2.2429278916505259E+25</v>
      </c>
      <c r="NCU27" s="613">
        <f t="shared" ref="NCU27" si="4791">NCS27*$C$27</f>
        <v>2.2653571705670312E+25</v>
      </c>
      <c r="NCW27" s="613">
        <f t="shared" ref="NCW27" si="4792">NCU27*$C$27</f>
        <v>2.2880107422727015E+25</v>
      </c>
      <c r="NCY27" s="613">
        <f t="shared" ref="NCY27" si="4793">NCW27*$C$27</f>
        <v>2.3108908496954284E+25</v>
      </c>
      <c r="NDA27" s="613">
        <f t="shared" ref="NDA27" si="4794">NCY27*$C$27</f>
        <v>2.3339997581923825E+25</v>
      </c>
      <c r="NDC27" s="613">
        <f t="shared" ref="NDC27" si="4795">NDA27*$C$27</f>
        <v>2.3573397557743064E+25</v>
      </c>
      <c r="NDE27" s="613">
        <f t="shared" ref="NDE27" si="4796">NDC27*$C$27</f>
        <v>2.3809131533320496E+25</v>
      </c>
      <c r="NDG27" s="613">
        <f t="shared" ref="NDG27" si="4797">NDE27*$C$27</f>
        <v>2.4047222848653703E+25</v>
      </c>
      <c r="NDI27" s="613">
        <f t="shared" ref="NDI27" si="4798">NDG27*$C$27</f>
        <v>2.4287695077140241E+25</v>
      </c>
      <c r="NDK27" s="613">
        <f t="shared" ref="NDK27" si="4799">NDI27*$C$27</f>
        <v>2.4530572027911644E+25</v>
      </c>
      <c r="NDM27" s="613">
        <f t="shared" ref="NDM27" si="4800">NDK27*$C$27</f>
        <v>2.4775877748190761E+25</v>
      </c>
      <c r="NDO27" s="613">
        <f t="shared" ref="NDO27" si="4801">NDM27*$C$27</f>
        <v>2.5023636525672667E+25</v>
      </c>
      <c r="NDQ27" s="613">
        <f t="shared" ref="NDQ27" si="4802">NDO27*$C$27</f>
        <v>2.5273872890929396E+25</v>
      </c>
      <c r="NDS27" s="613">
        <f t="shared" ref="NDS27" si="4803">NDQ27*$C$27</f>
        <v>2.5526611619838691E+25</v>
      </c>
      <c r="NDU27" s="613">
        <f t="shared" ref="NDU27" si="4804">NDS27*$C$27</f>
        <v>2.5781877736037078E+25</v>
      </c>
      <c r="NDW27" s="613">
        <f t="shared" ref="NDW27" si="4805">NDU27*$C$27</f>
        <v>2.603969651339745E+25</v>
      </c>
      <c r="NDY27" s="613">
        <f t="shared" ref="NDY27" si="4806">NDW27*$C$27</f>
        <v>2.6300093478531426E+25</v>
      </c>
      <c r="NEA27" s="613">
        <f t="shared" ref="NEA27" si="4807">NDY27*$C$27</f>
        <v>2.656309441331674E+25</v>
      </c>
      <c r="NEC27" s="613">
        <f t="shared" ref="NEC27" si="4808">NEA27*$C$27</f>
        <v>2.682872535744991E+25</v>
      </c>
      <c r="NEE27" s="613">
        <f t="shared" ref="NEE27" si="4809">NEC27*$C$27</f>
        <v>2.7097012611024411E+25</v>
      </c>
      <c r="NEG27" s="613">
        <f t="shared" ref="NEG27" si="4810">NEE27*$C$27</f>
        <v>2.7367982737134653E+25</v>
      </c>
      <c r="NEI27" s="613">
        <f t="shared" ref="NEI27" si="4811">NEG27*$C$27</f>
        <v>2.7641662564506002E+25</v>
      </c>
      <c r="NEK27" s="613">
        <f t="shared" ref="NEK27" si="4812">NEI27*$C$27</f>
        <v>2.7918079190151062E+25</v>
      </c>
      <c r="NEM27" s="613">
        <f t="shared" ref="NEM27" si="4813">NEK27*$C$27</f>
        <v>2.8197259982052573E+25</v>
      </c>
      <c r="NEO27" s="613">
        <f t="shared" ref="NEO27" si="4814">NEM27*$C$27</f>
        <v>2.8479232581873099E+25</v>
      </c>
      <c r="NEQ27" s="613">
        <f t="shared" ref="NEQ27" si="4815">NEO27*$C$27</f>
        <v>2.8764024907691831E+25</v>
      </c>
      <c r="NES27" s="613">
        <f t="shared" ref="NES27" si="4816">NEQ27*$C$27</f>
        <v>2.9051665156768748E+25</v>
      </c>
      <c r="NEU27" s="613">
        <f t="shared" ref="NEU27" si="4817">NES27*$C$27</f>
        <v>2.9342181808336437E+25</v>
      </c>
      <c r="NEW27" s="613">
        <f t="shared" ref="NEW27" si="4818">NEU27*$C$27</f>
        <v>2.96356036264198E+25</v>
      </c>
      <c r="NEY27" s="613">
        <f t="shared" ref="NEY27" si="4819">NEW27*$C$27</f>
        <v>2.9931959662683999E+25</v>
      </c>
      <c r="NFA27" s="613">
        <f t="shared" ref="NFA27" si="4820">NEY27*$C$27</f>
        <v>3.023127925931084E+25</v>
      </c>
      <c r="NFC27" s="613">
        <f t="shared" ref="NFC27" si="4821">NFA27*$C$27</f>
        <v>3.0533592051903948E+25</v>
      </c>
      <c r="NFE27" s="613">
        <f t="shared" ref="NFE27" si="4822">NFC27*$C$27</f>
        <v>3.0838927972422988E+25</v>
      </c>
      <c r="NFG27" s="613">
        <f t="shared" ref="NFG27" si="4823">NFE27*$C$27</f>
        <v>3.1147317252147219E+25</v>
      </c>
      <c r="NFI27" s="613">
        <f t="shared" ref="NFI27" si="4824">NFG27*$C$27</f>
        <v>3.1458790424668691E+25</v>
      </c>
      <c r="NFK27" s="613">
        <f t="shared" ref="NFK27" si="4825">NFI27*$C$27</f>
        <v>3.1773378328915378E+25</v>
      </c>
      <c r="NFM27" s="613">
        <f t="shared" ref="NFM27" si="4826">NFK27*$C$27</f>
        <v>3.2091112112204532E+25</v>
      </c>
      <c r="NFO27" s="613">
        <f t="shared" ref="NFO27" si="4827">NFM27*$C$27</f>
        <v>3.2412023233326579E+25</v>
      </c>
      <c r="NFQ27" s="613">
        <f t="shared" ref="NFQ27" si="4828">NFO27*$C$27</f>
        <v>3.2736143465659845E+25</v>
      </c>
      <c r="NFS27" s="613">
        <f t="shared" ref="NFS27" si="4829">NFQ27*$C$27</f>
        <v>3.3063504900316443E+25</v>
      </c>
      <c r="NFU27" s="613">
        <f t="shared" ref="NFU27" si="4830">NFS27*$C$27</f>
        <v>3.339413994931961E+25</v>
      </c>
      <c r="NFW27" s="613">
        <f t="shared" ref="NFW27" si="4831">NFU27*$C$27</f>
        <v>3.3728081348812806E+25</v>
      </c>
      <c r="NFY27" s="613">
        <f t="shared" ref="NFY27" si="4832">NFW27*$C$27</f>
        <v>3.4065362162300936E+25</v>
      </c>
      <c r="NGA27" s="613">
        <f t="shared" ref="NGA27" si="4833">NFY27*$C$27</f>
        <v>3.4406015783923945E+25</v>
      </c>
      <c r="NGC27" s="613">
        <f t="shared" ref="NGC27" si="4834">NGA27*$C$27</f>
        <v>3.4750075941763184E+25</v>
      </c>
      <c r="NGE27" s="613">
        <f t="shared" ref="NGE27" si="4835">NGC27*$C$27</f>
        <v>3.5097576701180817E+25</v>
      </c>
      <c r="NGG27" s="613">
        <f t="shared" ref="NGG27" si="4836">NGE27*$C$27</f>
        <v>3.5448552468192626E+25</v>
      </c>
      <c r="NGI27" s="613">
        <f t="shared" ref="NGI27" si="4837">NGG27*$C$27</f>
        <v>3.5803037992874554E+25</v>
      </c>
      <c r="NGK27" s="613">
        <f t="shared" ref="NGK27" si="4838">NGI27*$C$27</f>
        <v>3.6161068372803298E+25</v>
      </c>
      <c r="NGM27" s="613">
        <f t="shared" ref="NGM27" si="4839">NGK27*$C$27</f>
        <v>3.6522679056531332E+25</v>
      </c>
      <c r="NGO27" s="613">
        <f t="shared" ref="NGO27" si="4840">NGM27*$C$27</f>
        <v>3.6887905847096646E+25</v>
      </c>
      <c r="NGQ27" s="613">
        <f t="shared" ref="NGQ27" si="4841">NGO27*$C$27</f>
        <v>3.7256784905567614E+25</v>
      </c>
      <c r="NGS27" s="613">
        <f t="shared" ref="NGS27" si="4842">NGQ27*$C$27</f>
        <v>3.7629352754623291E+25</v>
      </c>
      <c r="NGU27" s="613">
        <f t="shared" ref="NGU27" si="4843">NGS27*$C$27</f>
        <v>3.8005646282169526E+25</v>
      </c>
      <c r="NGW27" s="613">
        <f t="shared" ref="NGW27" si="4844">NGU27*$C$27</f>
        <v>3.838570274499122E+25</v>
      </c>
      <c r="NGY27" s="613">
        <f t="shared" ref="NGY27" si="4845">NGW27*$C$27</f>
        <v>3.8769559772441132E+25</v>
      </c>
      <c r="NHA27" s="613">
        <f t="shared" ref="NHA27" si="4846">NGY27*$C$27</f>
        <v>3.9157255370165541E+25</v>
      </c>
      <c r="NHC27" s="613">
        <f t="shared" ref="NHC27" si="4847">NHA27*$C$27</f>
        <v>3.9548827923867197E+25</v>
      </c>
      <c r="NHE27" s="613">
        <f t="shared" ref="NHE27" si="4848">NHC27*$C$27</f>
        <v>3.9944316203105872E+25</v>
      </c>
      <c r="NHG27" s="613">
        <f t="shared" ref="NHG27" si="4849">NHE27*$C$27</f>
        <v>4.0343759365136929E+25</v>
      </c>
      <c r="NHI27" s="613">
        <f t="shared" ref="NHI27" si="4850">NHG27*$C$27</f>
        <v>4.0747196958788296E+25</v>
      </c>
      <c r="NHK27" s="613">
        <f t="shared" ref="NHK27" si="4851">NHI27*$C$27</f>
        <v>4.1154668928376176E+25</v>
      </c>
      <c r="NHM27" s="613">
        <f t="shared" ref="NHM27" si="4852">NHK27*$C$27</f>
        <v>4.156621561765994E+25</v>
      </c>
      <c r="NHO27" s="613">
        <f t="shared" ref="NHO27" si="4853">NHM27*$C$27</f>
        <v>4.1981877773836544E+25</v>
      </c>
      <c r="NHQ27" s="613">
        <f t="shared" ref="NHQ27" si="4854">NHO27*$C$27</f>
        <v>4.2401696551574908E+25</v>
      </c>
      <c r="NHS27" s="613">
        <f t="shared" ref="NHS27" si="4855">NHQ27*$C$27</f>
        <v>4.2825713517090655E+25</v>
      </c>
      <c r="NHU27" s="613">
        <f t="shared" ref="NHU27" si="4856">NHS27*$C$27</f>
        <v>4.3253970652261559E+25</v>
      </c>
      <c r="NHW27" s="613">
        <f t="shared" ref="NHW27" si="4857">NHU27*$C$27</f>
        <v>4.3686510358784173E+25</v>
      </c>
      <c r="NHY27" s="613">
        <f t="shared" ref="NHY27" si="4858">NHW27*$C$27</f>
        <v>4.4123375462372016E+25</v>
      </c>
      <c r="NIA27" s="613">
        <f t="shared" ref="NIA27" si="4859">NHY27*$C$27</f>
        <v>4.4564609216995735E+25</v>
      </c>
      <c r="NIC27" s="613">
        <f t="shared" ref="NIC27" si="4860">NIA27*$C$27</f>
        <v>4.5010255309165689E+25</v>
      </c>
      <c r="NIE27" s="613">
        <f t="shared" ref="NIE27" si="4861">NIC27*$C$27</f>
        <v>4.5460357862257343E+25</v>
      </c>
      <c r="NIG27" s="613">
        <f t="shared" ref="NIG27" si="4862">NIE27*$C$27</f>
        <v>4.5914961440879915E+25</v>
      </c>
      <c r="NII27" s="613">
        <f t="shared" ref="NII27" si="4863">NIG27*$C$27</f>
        <v>4.6374111055288711E+25</v>
      </c>
      <c r="NIK27" s="613">
        <f t="shared" ref="NIK27" si="4864">NII27*$C$27</f>
        <v>4.6837852165841603E+25</v>
      </c>
      <c r="NIM27" s="613">
        <f t="shared" ref="NIM27" si="4865">NIK27*$C$27</f>
        <v>4.7306230687500023E+25</v>
      </c>
      <c r="NIO27" s="613">
        <f t="shared" ref="NIO27" si="4866">NIM27*$C$27</f>
        <v>4.7779292994375021E+25</v>
      </c>
      <c r="NIQ27" s="613">
        <f t="shared" ref="NIQ27" si="4867">NIO27*$C$27</f>
        <v>4.8257085924318772E+25</v>
      </c>
      <c r="NIS27" s="613">
        <f t="shared" ref="NIS27" si="4868">NIQ27*$C$27</f>
        <v>4.8739656783561959E+25</v>
      </c>
      <c r="NIU27" s="613">
        <f t="shared" ref="NIU27" si="4869">NIS27*$C$27</f>
        <v>4.9227053351397577E+25</v>
      </c>
      <c r="NIW27" s="613">
        <f t="shared" ref="NIW27" si="4870">NIU27*$C$27</f>
        <v>4.971932388491155E+25</v>
      </c>
      <c r="NIY27" s="613">
        <f t="shared" ref="NIY27" si="4871">NIW27*$C$27</f>
        <v>5.0216517123760667E+25</v>
      </c>
      <c r="NJA27" s="613">
        <f t="shared" ref="NJA27" si="4872">NIY27*$C$27</f>
        <v>5.0718682294998275E+25</v>
      </c>
      <c r="NJC27" s="613">
        <f t="shared" ref="NJC27" si="4873">NJA27*$C$27</f>
        <v>5.1225869117948259E+25</v>
      </c>
      <c r="NJE27" s="613">
        <f t="shared" ref="NJE27" si="4874">NJC27*$C$27</f>
        <v>5.1738127809127743E+25</v>
      </c>
      <c r="NJG27" s="613">
        <f t="shared" ref="NJG27" si="4875">NJE27*$C$27</f>
        <v>5.2255509087219021E+25</v>
      </c>
      <c r="NJI27" s="613">
        <f t="shared" ref="NJI27" si="4876">NJG27*$C$27</f>
        <v>5.2778064178091209E+25</v>
      </c>
      <c r="NJK27" s="613">
        <f t="shared" ref="NJK27" si="4877">NJI27*$C$27</f>
        <v>5.3305844819872121E+25</v>
      </c>
      <c r="NJM27" s="613">
        <f t="shared" ref="NJM27" si="4878">NJK27*$C$27</f>
        <v>5.3838903268070845E+25</v>
      </c>
      <c r="NJO27" s="613">
        <f t="shared" ref="NJO27" si="4879">NJM27*$C$27</f>
        <v>5.4377292300751556E+25</v>
      </c>
      <c r="NJQ27" s="613">
        <f t="shared" ref="NJQ27" si="4880">NJO27*$C$27</f>
        <v>5.4921065223759071E+25</v>
      </c>
      <c r="NJS27" s="613">
        <f t="shared" ref="NJS27" si="4881">NJQ27*$C$27</f>
        <v>5.5470275875996663E+25</v>
      </c>
      <c r="NJU27" s="613">
        <f t="shared" ref="NJU27" si="4882">NJS27*$C$27</f>
        <v>5.6024978634756629E+25</v>
      </c>
      <c r="NJW27" s="613">
        <f t="shared" ref="NJW27" si="4883">NJU27*$C$27</f>
        <v>5.6585228421104192E+25</v>
      </c>
      <c r="NJY27" s="613">
        <f t="shared" ref="NJY27" si="4884">NJW27*$C$27</f>
        <v>5.7151080705315237E+25</v>
      </c>
      <c r="NKA27" s="613">
        <f t="shared" ref="NKA27" si="4885">NJY27*$C$27</f>
        <v>5.7722591512368389E+25</v>
      </c>
      <c r="NKC27" s="613">
        <f t="shared" ref="NKC27" si="4886">NKA27*$C$27</f>
        <v>5.8299817427492076E+25</v>
      </c>
      <c r="NKE27" s="613">
        <f t="shared" ref="NKE27" si="4887">NKC27*$C$27</f>
        <v>5.8882815601766994E+25</v>
      </c>
      <c r="NKG27" s="613">
        <f t="shared" ref="NKG27" si="4888">NKE27*$C$27</f>
        <v>5.9471643757784667E+25</v>
      </c>
      <c r="NKI27" s="613">
        <f t="shared" ref="NKI27" si="4889">NKG27*$C$27</f>
        <v>6.0066360195362512E+25</v>
      </c>
      <c r="NKK27" s="613">
        <f t="shared" ref="NKK27" si="4890">NKI27*$C$27</f>
        <v>6.0667023797316136E+25</v>
      </c>
      <c r="NKM27" s="613">
        <f t="shared" ref="NKM27" si="4891">NKK27*$C$27</f>
        <v>6.12736940352893E+25</v>
      </c>
      <c r="NKO27" s="613">
        <f t="shared" ref="NKO27" si="4892">NKM27*$C$27</f>
        <v>6.188643097564219E+25</v>
      </c>
      <c r="NKQ27" s="613">
        <f t="shared" ref="NKQ27" si="4893">NKO27*$C$27</f>
        <v>6.2505295285398614E+25</v>
      </c>
      <c r="NKS27" s="613">
        <f t="shared" ref="NKS27" si="4894">NKQ27*$C$27</f>
        <v>6.3130348238252602E+25</v>
      </c>
      <c r="NKU27" s="613">
        <f t="shared" ref="NKU27" si="4895">NKS27*$C$27</f>
        <v>6.3761651720635133E+25</v>
      </c>
      <c r="NKW27" s="613">
        <f t="shared" ref="NKW27" si="4896">NKU27*$C$27</f>
        <v>6.4399268237841487E+25</v>
      </c>
      <c r="NKY27" s="613">
        <f t="shared" ref="NKY27" si="4897">NKW27*$C$27</f>
        <v>6.50432609202199E+25</v>
      </c>
      <c r="NLA27" s="613">
        <f t="shared" ref="NLA27" si="4898">NKY27*$C$27</f>
        <v>6.56936935294221E+25</v>
      </c>
      <c r="NLC27" s="613">
        <f t="shared" ref="NLC27" si="4899">NLA27*$C$27</f>
        <v>6.6350630464716321E+25</v>
      </c>
      <c r="NLE27" s="613">
        <f t="shared" ref="NLE27" si="4900">NLC27*$C$27</f>
        <v>6.7014136769363486E+25</v>
      </c>
      <c r="NLG27" s="613">
        <f t="shared" ref="NLG27" si="4901">NLE27*$C$27</f>
        <v>6.7684278137057123E+25</v>
      </c>
      <c r="NLI27" s="613">
        <f t="shared" ref="NLI27" si="4902">NLG27*$C$27</f>
        <v>6.8361120918427697E+25</v>
      </c>
      <c r="NLK27" s="613">
        <f t="shared" ref="NLK27" si="4903">NLI27*$C$27</f>
        <v>6.9044732127611977E+25</v>
      </c>
      <c r="NLM27" s="613">
        <f t="shared" ref="NLM27" si="4904">NLK27*$C$27</f>
        <v>6.9735179448888101E+25</v>
      </c>
      <c r="NLO27" s="613">
        <f t="shared" ref="NLO27" si="4905">NLM27*$C$27</f>
        <v>7.0432531243376985E+25</v>
      </c>
      <c r="NLQ27" s="613">
        <f t="shared" ref="NLQ27" si="4906">NLO27*$C$27</f>
        <v>7.1136856555810757E+25</v>
      </c>
      <c r="NLS27" s="613">
        <f t="shared" ref="NLS27" si="4907">NLQ27*$C$27</f>
        <v>7.1848225121368864E+25</v>
      </c>
      <c r="NLU27" s="613">
        <f t="shared" ref="NLU27" si="4908">NLS27*$C$27</f>
        <v>7.2566707372582551E+25</v>
      </c>
      <c r="NLW27" s="613">
        <f t="shared" ref="NLW27" si="4909">NLU27*$C$27</f>
        <v>7.3292374446308377E+25</v>
      </c>
      <c r="NLY27" s="613">
        <f t="shared" ref="NLY27" si="4910">NLW27*$C$27</f>
        <v>7.402529819077146E+25</v>
      </c>
      <c r="NMA27" s="613">
        <f t="shared" ref="NMA27" si="4911">NLY27*$C$27</f>
        <v>7.4765551172679177E+25</v>
      </c>
      <c r="NMC27" s="613">
        <f t="shared" ref="NMC27" si="4912">NMA27*$C$27</f>
        <v>7.5513206684405968E+25</v>
      </c>
      <c r="NME27" s="613">
        <f t="shared" ref="NME27" si="4913">NMC27*$C$27</f>
        <v>7.626833875125003E+25</v>
      </c>
      <c r="NMG27" s="613">
        <f t="shared" ref="NMG27" si="4914">NME27*$C$27</f>
        <v>7.7031022138762535E+25</v>
      </c>
      <c r="NMI27" s="613">
        <f t="shared" ref="NMI27" si="4915">NMG27*$C$27</f>
        <v>7.7801332360150153E+25</v>
      </c>
      <c r="NMK27" s="613">
        <f t="shared" ref="NMK27" si="4916">NMI27*$C$27</f>
        <v>7.8579345683751655E+25</v>
      </c>
      <c r="NMM27" s="613">
        <f t="shared" ref="NMM27" si="4917">NMK27*$C$27</f>
        <v>7.9365139140589179E+25</v>
      </c>
      <c r="NMO27" s="613">
        <f t="shared" ref="NMO27" si="4918">NMM27*$C$27</f>
        <v>8.0158790531995075E+25</v>
      </c>
      <c r="NMQ27" s="613">
        <f t="shared" ref="NMQ27" si="4919">NMO27*$C$27</f>
        <v>8.096037843731502E+25</v>
      </c>
      <c r="NMS27" s="613">
        <f t="shared" ref="NMS27" si="4920">NMQ27*$C$27</f>
        <v>8.1769982221688165E+25</v>
      </c>
      <c r="NMU27" s="613">
        <f t="shared" ref="NMU27" si="4921">NMS27*$C$27</f>
        <v>8.258768204390505E+25</v>
      </c>
      <c r="NMW27" s="613">
        <f t="shared" ref="NMW27" si="4922">NMU27*$C$27</f>
        <v>8.3413558864344103E+25</v>
      </c>
      <c r="NMY27" s="613">
        <f t="shared" ref="NMY27" si="4923">NMW27*$C$27</f>
        <v>8.4247694452987545E+25</v>
      </c>
      <c r="NNA27" s="613">
        <f t="shared" ref="NNA27" si="4924">NMY27*$C$27</f>
        <v>8.5090171397517419E+25</v>
      </c>
      <c r="NNC27" s="613">
        <f t="shared" ref="NNC27" si="4925">NNA27*$C$27</f>
        <v>8.594107311149259E+25</v>
      </c>
      <c r="NNE27" s="613">
        <f t="shared" ref="NNE27" si="4926">NNC27*$C$27</f>
        <v>8.6800483842607521E+25</v>
      </c>
      <c r="NNG27" s="613">
        <f t="shared" ref="NNG27" si="4927">NNE27*$C$27</f>
        <v>8.7668488681033595E+25</v>
      </c>
      <c r="NNI27" s="613">
        <f t="shared" ref="NNI27" si="4928">NNG27*$C$27</f>
        <v>8.8545173567843938E+25</v>
      </c>
      <c r="NNK27" s="613">
        <f t="shared" ref="NNK27" si="4929">NNI27*$C$27</f>
        <v>8.9430625303522381E+25</v>
      </c>
      <c r="NNM27" s="613">
        <f t="shared" ref="NNM27" si="4930">NNK27*$C$27</f>
        <v>9.0324931556557607E+25</v>
      </c>
      <c r="NNO27" s="613">
        <f t="shared" ref="NNO27" si="4931">NNM27*$C$27</f>
        <v>9.1228180872123191E+25</v>
      </c>
      <c r="NNQ27" s="613">
        <f t="shared" ref="NNQ27" si="4932">NNO27*$C$27</f>
        <v>9.2140462680844419E+25</v>
      </c>
      <c r="NNS27" s="613">
        <f t="shared" ref="NNS27" si="4933">NNQ27*$C$27</f>
        <v>9.3061867307652865E+25</v>
      </c>
      <c r="NNU27" s="613">
        <f t="shared" ref="NNU27" si="4934">NNS27*$C$27</f>
        <v>9.3992485980729401E+25</v>
      </c>
      <c r="NNW27" s="613">
        <f t="shared" ref="NNW27" si="4935">NNU27*$C$27</f>
        <v>9.4932410840536689E+25</v>
      </c>
      <c r="NNY27" s="613">
        <f t="shared" ref="NNY27" si="4936">NNW27*$C$27</f>
        <v>9.5881734948942049E+25</v>
      </c>
      <c r="NOA27" s="613">
        <f t="shared" ref="NOA27" si="4937">NNY27*$C$27</f>
        <v>9.6840552298431474E+25</v>
      </c>
      <c r="NOC27" s="613">
        <f t="shared" ref="NOC27" si="4938">NOA27*$C$27</f>
        <v>9.7808957821415788E+25</v>
      </c>
      <c r="NOE27" s="613">
        <f t="shared" ref="NOE27" si="4939">NOC27*$C$27</f>
        <v>9.8787047399629945E+25</v>
      </c>
      <c r="NOG27" s="613">
        <f t="shared" ref="NOG27" si="4940">NOE27*$C$27</f>
        <v>9.9774917873626245E+25</v>
      </c>
      <c r="NOI27" s="613">
        <f t="shared" ref="NOI27" si="4941">NOG27*$C$27</f>
        <v>1.0077266705236251E+26</v>
      </c>
      <c r="NOK27" s="613">
        <f t="shared" ref="NOK27" si="4942">NOI27*$C$27</f>
        <v>1.0178039372288614E+26</v>
      </c>
      <c r="NOM27" s="613">
        <f t="shared" ref="NOM27" si="4943">NOK27*$C$27</f>
        <v>1.0279819766011501E+26</v>
      </c>
      <c r="NOO27" s="613">
        <f t="shared" ref="NOO27" si="4944">NOM27*$C$27</f>
        <v>1.0382617963671616E+26</v>
      </c>
      <c r="NOQ27" s="613">
        <f t="shared" ref="NOQ27" si="4945">NOO27*$C$27</f>
        <v>1.0486444143308332E+26</v>
      </c>
      <c r="NOS27" s="613">
        <f t="shared" ref="NOS27" si="4946">NOQ27*$C$27</f>
        <v>1.0591308584741416E+26</v>
      </c>
      <c r="NOU27" s="613">
        <f t="shared" ref="NOU27" si="4947">NOS27*$C$27</f>
        <v>1.0697221670588831E+26</v>
      </c>
      <c r="NOW27" s="613">
        <f t="shared" ref="NOW27" si="4948">NOU27*$C$27</f>
        <v>1.0804193887294719E+26</v>
      </c>
      <c r="NOY27" s="613">
        <f t="shared" ref="NOY27" si="4949">NOW27*$C$27</f>
        <v>1.0912235826167666E+26</v>
      </c>
      <c r="NPA27" s="613">
        <f t="shared" ref="NPA27" si="4950">NOY27*$C$27</f>
        <v>1.1021358184429343E+26</v>
      </c>
      <c r="NPC27" s="613">
        <f t="shared" ref="NPC27" si="4951">NPA27*$C$27</f>
        <v>1.1131571766273636E+26</v>
      </c>
      <c r="NPE27" s="613">
        <f t="shared" ref="NPE27" si="4952">NPC27*$C$27</f>
        <v>1.1242887483936372E+26</v>
      </c>
      <c r="NPG27" s="613">
        <f t="shared" ref="NPG27" si="4953">NPE27*$C$27</f>
        <v>1.1355316358775737E+26</v>
      </c>
      <c r="NPI27" s="613">
        <f t="shared" ref="NPI27" si="4954">NPG27*$C$27</f>
        <v>1.1468869522363495E+26</v>
      </c>
      <c r="NPK27" s="613">
        <f t="shared" ref="NPK27" si="4955">NPI27*$C$27</f>
        <v>1.158355821758713E+26</v>
      </c>
      <c r="NPM27" s="613">
        <f t="shared" ref="NPM27" si="4956">NPK27*$C$27</f>
        <v>1.1699393799763002E+26</v>
      </c>
      <c r="NPO27" s="613">
        <f t="shared" ref="NPO27" si="4957">NPM27*$C$27</f>
        <v>1.1816387737760632E+26</v>
      </c>
      <c r="NPQ27" s="613">
        <f t="shared" ref="NPQ27" si="4958">NPO27*$C$27</f>
        <v>1.1934551615138239E+26</v>
      </c>
      <c r="NPS27" s="613">
        <f t="shared" ref="NPS27" si="4959">NPQ27*$C$27</f>
        <v>1.2053897131289621E+26</v>
      </c>
      <c r="NPU27" s="613">
        <f t="shared" ref="NPU27" si="4960">NPS27*$C$27</f>
        <v>1.2174436102602517E+26</v>
      </c>
      <c r="NPW27" s="613">
        <f t="shared" ref="NPW27" si="4961">NPU27*$C$27</f>
        <v>1.2296180463628542E+26</v>
      </c>
      <c r="NPY27" s="613">
        <f t="shared" ref="NPY27" si="4962">NPW27*$C$27</f>
        <v>1.2419142268264827E+26</v>
      </c>
      <c r="NQA27" s="613">
        <f t="shared" ref="NQA27" si="4963">NPY27*$C$27</f>
        <v>1.2543333690947475E+26</v>
      </c>
      <c r="NQC27" s="613">
        <f t="shared" ref="NQC27" si="4964">NQA27*$C$27</f>
        <v>1.2668767027856949E+26</v>
      </c>
      <c r="NQE27" s="613">
        <f t="shared" ref="NQE27" si="4965">NQC27*$C$27</f>
        <v>1.2795454698135518E+26</v>
      </c>
      <c r="NQG27" s="613">
        <f t="shared" ref="NQG27" si="4966">NQE27*$C$27</f>
        <v>1.2923409245116874E+26</v>
      </c>
      <c r="NQI27" s="613">
        <f t="shared" ref="NQI27" si="4967">NQG27*$C$27</f>
        <v>1.3052643337568042E+26</v>
      </c>
      <c r="NQK27" s="613">
        <f t="shared" ref="NQK27" si="4968">NQI27*$C$27</f>
        <v>1.3183169770943723E+26</v>
      </c>
      <c r="NQM27" s="613">
        <f t="shared" ref="NQM27" si="4969">NQK27*$C$27</f>
        <v>1.3315001468653161E+26</v>
      </c>
      <c r="NQO27" s="613">
        <f t="shared" ref="NQO27" si="4970">NQM27*$C$27</f>
        <v>1.3448151483339692E+26</v>
      </c>
      <c r="NQQ27" s="613">
        <f t="shared" ref="NQQ27" si="4971">NQO27*$C$27</f>
        <v>1.3582632998173088E+26</v>
      </c>
      <c r="NQS27" s="613">
        <f t="shared" ref="NQS27" si="4972">NQQ27*$C$27</f>
        <v>1.3718459328154819E+26</v>
      </c>
      <c r="NQU27" s="613">
        <f t="shared" ref="NQU27" si="4973">NQS27*$C$27</f>
        <v>1.3855643921436367E+26</v>
      </c>
      <c r="NQW27" s="613">
        <f t="shared" ref="NQW27" si="4974">NQU27*$C$27</f>
        <v>1.399420036065073E+26</v>
      </c>
      <c r="NQY27" s="613">
        <f t="shared" ref="NQY27" si="4975">NQW27*$C$27</f>
        <v>1.4134142364257237E+26</v>
      </c>
      <c r="NRA27" s="613">
        <f t="shared" ref="NRA27" si="4976">NQY27*$C$27</f>
        <v>1.427548378789981E+26</v>
      </c>
      <c r="NRC27" s="613">
        <f t="shared" ref="NRC27" si="4977">NRA27*$C$27</f>
        <v>1.4418238625778807E+26</v>
      </c>
      <c r="NRE27" s="613">
        <f t="shared" ref="NRE27" si="4978">NRC27*$C$27</f>
        <v>1.4562421012036595E+26</v>
      </c>
      <c r="NRG27" s="613">
        <f t="shared" ref="NRG27" si="4979">NRE27*$C$27</f>
        <v>1.4708045222156961E+26</v>
      </c>
      <c r="NRI27" s="613">
        <f t="shared" ref="NRI27" si="4980">NRG27*$C$27</f>
        <v>1.4855125674378531E+26</v>
      </c>
      <c r="NRK27" s="613">
        <f t="shared" ref="NRK27" si="4981">NRI27*$C$27</f>
        <v>1.5003676931122317E+26</v>
      </c>
      <c r="NRM27" s="613">
        <f t="shared" ref="NRM27" si="4982">NRK27*$C$27</f>
        <v>1.515371370043354E+26</v>
      </c>
      <c r="NRO27" s="613">
        <f t="shared" ref="NRO27" si="4983">NRM27*$C$27</f>
        <v>1.5305250837437875E+26</v>
      </c>
      <c r="NRQ27" s="613">
        <f t="shared" ref="NRQ27" si="4984">NRO27*$C$27</f>
        <v>1.5458303345812254E+26</v>
      </c>
      <c r="NRS27" s="613">
        <f t="shared" ref="NRS27" si="4985">NRQ27*$C$27</f>
        <v>1.5612886379270377E+26</v>
      </c>
      <c r="NRU27" s="613">
        <f t="shared" ref="NRU27" si="4986">NRS27*$C$27</f>
        <v>1.576901524306308E+26</v>
      </c>
      <c r="NRW27" s="613">
        <f t="shared" ref="NRW27" si="4987">NRU27*$C$27</f>
        <v>1.5926705395493712E+26</v>
      </c>
      <c r="NRY27" s="613">
        <f t="shared" ref="NRY27" si="4988">NRW27*$C$27</f>
        <v>1.6085972449448651E+26</v>
      </c>
      <c r="NSA27" s="613">
        <f t="shared" ref="NSA27" si="4989">NRY27*$C$27</f>
        <v>1.6246832173943136E+26</v>
      </c>
      <c r="NSC27" s="613">
        <f t="shared" ref="NSC27" si="4990">NSA27*$C$27</f>
        <v>1.6409300495682569E+26</v>
      </c>
      <c r="NSE27" s="613">
        <f t="shared" ref="NSE27" si="4991">NSC27*$C$27</f>
        <v>1.6573393500639394E+26</v>
      </c>
      <c r="NSG27" s="613">
        <f t="shared" ref="NSG27" si="4992">NSE27*$C$27</f>
        <v>1.6739127435645787E+26</v>
      </c>
      <c r="NSI27" s="613">
        <f t="shared" ref="NSI27" si="4993">NSG27*$C$27</f>
        <v>1.6906518710002247E+26</v>
      </c>
      <c r="NSK27" s="613">
        <f t="shared" ref="NSK27" si="4994">NSI27*$C$27</f>
        <v>1.7075583897102269E+26</v>
      </c>
      <c r="NSM27" s="613">
        <f t="shared" ref="NSM27" si="4995">NSK27*$C$27</f>
        <v>1.7246339736073293E+26</v>
      </c>
      <c r="NSO27" s="613">
        <f t="shared" ref="NSO27" si="4996">NSM27*$C$27</f>
        <v>1.7418803133434027E+26</v>
      </c>
      <c r="NSQ27" s="613">
        <f t="shared" ref="NSQ27" si="4997">NSO27*$C$27</f>
        <v>1.7592991164768369E+26</v>
      </c>
      <c r="NSS27" s="613">
        <f t="shared" ref="NSS27" si="4998">NSQ27*$C$27</f>
        <v>1.7768921076416051E+26</v>
      </c>
      <c r="NSU27" s="613">
        <f t="shared" ref="NSU27" si="4999">NSS27*$C$27</f>
        <v>1.7946610287180214E+26</v>
      </c>
      <c r="NSW27" s="613">
        <f t="shared" ref="NSW27" si="5000">NSU27*$C$27</f>
        <v>1.8126076390052017E+26</v>
      </c>
      <c r="NSY27" s="613">
        <f t="shared" ref="NSY27" si="5001">NSW27*$C$27</f>
        <v>1.8307337153952538E+26</v>
      </c>
      <c r="NTA27" s="613">
        <f t="shared" ref="NTA27" si="5002">NSY27*$C$27</f>
        <v>1.8490410525492065E+26</v>
      </c>
      <c r="NTC27" s="613">
        <f t="shared" ref="NTC27" si="5003">NTA27*$C$27</f>
        <v>1.8675314630746987E+26</v>
      </c>
      <c r="NTE27" s="613">
        <f t="shared" ref="NTE27" si="5004">NTC27*$C$27</f>
        <v>1.8862067777054457E+26</v>
      </c>
      <c r="NTG27" s="613">
        <f t="shared" ref="NTG27" si="5005">NTE27*$C$27</f>
        <v>1.9050688454825001E+26</v>
      </c>
      <c r="NTI27" s="613">
        <f t="shared" ref="NTI27" si="5006">NTG27*$C$27</f>
        <v>1.9241195339373251E+26</v>
      </c>
      <c r="NTK27" s="613">
        <f t="shared" ref="NTK27" si="5007">NTI27*$C$27</f>
        <v>1.9433607292766982E+26</v>
      </c>
      <c r="NTM27" s="613">
        <f t="shared" ref="NTM27" si="5008">NTK27*$C$27</f>
        <v>1.962794336569465E+26</v>
      </c>
      <c r="NTO27" s="613">
        <f t="shared" ref="NTO27" si="5009">NTM27*$C$27</f>
        <v>1.9824222799351597E+26</v>
      </c>
      <c r="NTQ27" s="613">
        <f t="shared" ref="NTQ27" si="5010">NTO27*$C$27</f>
        <v>2.0022465027345112E+26</v>
      </c>
      <c r="NTS27" s="613">
        <f t="shared" ref="NTS27" si="5011">NTQ27*$C$27</f>
        <v>2.0222689677618562E+26</v>
      </c>
      <c r="NTU27" s="613">
        <f t="shared" ref="NTU27" si="5012">NTS27*$C$27</f>
        <v>2.0424916574394748E+26</v>
      </c>
      <c r="NTW27" s="613">
        <f t="shared" ref="NTW27" si="5013">NTU27*$C$27</f>
        <v>2.0629165740138698E+26</v>
      </c>
      <c r="NTY27" s="613">
        <f t="shared" ref="NTY27" si="5014">NTW27*$C$27</f>
        <v>2.0835457397540086E+26</v>
      </c>
      <c r="NUA27" s="613">
        <f t="shared" ref="NUA27" si="5015">NTY27*$C$27</f>
        <v>2.1043811971515489E+26</v>
      </c>
      <c r="NUC27" s="613">
        <f t="shared" ref="NUC27" si="5016">NUA27*$C$27</f>
        <v>2.1254250091230643E+26</v>
      </c>
      <c r="NUE27" s="613">
        <f t="shared" ref="NUE27" si="5017">NUC27*$C$27</f>
        <v>2.1466792592142949E+26</v>
      </c>
      <c r="NUG27" s="613">
        <f t="shared" ref="NUG27" si="5018">NUE27*$C$27</f>
        <v>2.168146051806438E+26</v>
      </c>
      <c r="NUI27" s="613">
        <f t="shared" ref="NUI27" si="5019">NUG27*$C$27</f>
        <v>2.1898275123245023E+26</v>
      </c>
      <c r="NUK27" s="613">
        <f t="shared" ref="NUK27" si="5020">NUI27*$C$27</f>
        <v>2.2117257874477472E+26</v>
      </c>
      <c r="NUM27" s="613">
        <f t="shared" ref="NUM27" si="5021">NUK27*$C$27</f>
        <v>2.2338430453222247E+26</v>
      </c>
      <c r="NUO27" s="613">
        <f t="shared" ref="NUO27" si="5022">NUM27*$C$27</f>
        <v>2.256181475775447E+26</v>
      </c>
      <c r="NUQ27" s="613">
        <f t="shared" ref="NUQ27" si="5023">NUO27*$C$27</f>
        <v>2.2787432905332016E+26</v>
      </c>
      <c r="NUS27" s="613">
        <f t="shared" ref="NUS27" si="5024">NUQ27*$C$27</f>
        <v>2.3015307234385336E+26</v>
      </c>
      <c r="NUU27" s="613">
        <f t="shared" ref="NUU27" si="5025">NUS27*$C$27</f>
        <v>2.3245460306729191E+26</v>
      </c>
      <c r="NUW27" s="613">
        <f t="shared" ref="NUW27" si="5026">NUU27*$C$27</f>
        <v>2.3477914909796483E+26</v>
      </c>
      <c r="NUY27" s="613">
        <f t="shared" ref="NUY27" si="5027">NUW27*$C$27</f>
        <v>2.3712694058894449E+26</v>
      </c>
      <c r="NVA27" s="613">
        <f t="shared" ref="NVA27" si="5028">NUY27*$C$27</f>
        <v>2.3949820999483393E+26</v>
      </c>
      <c r="NVC27" s="613">
        <f t="shared" ref="NVC27" si="5029">NVA27*$C$27</f>
        <v>2.4189319209478228E+26</v>
      </c>
      <c r="NVE27" s="613">
        <f t="shared" ref="NVE27" si="5030">NVC27*$C$27</f>
        <v>2.4431212401573012E+26</v>
      </c>
      <c r="NVG27" s="613">
        <f t="shared" ref="NVG27" si="5031">NVE27*$C$27</f>
        <v>2.4675524525588742E+26</v>
      </c>
      <c r="NVI27" s="613">
        <f t="shared" ref="NVI27" si="5032">NVG27*$C$27</f>
        <v>2.492227977084463E+26</v>
      </c>
      <c r="NVK27" s="613">
        <f t="shared" ref="NVK27" si="5033">NVI27*$C$27</f>
        <v>2.5171502568553077E+26</v>
      </c>
      <c r="NVM27" s="613">
        <f t="shared" ref="NVM27" si="5034">NVK27*$C$27</f>
        <v>2.542321759423861E+26</v>
      </c>
      <c r="NVO27" s="613">
        <f t="shared" ref="NVO27" si="5035">NVM27*$C$27</f>
        <v>2.5677449770180996E+26</v>
      </c>
      <c r="NVQ27" s="613">
        <f t="shared" ref="NVQ27" si="5036">NVO27*$C$27</f>
        <v>2.5934224267882804E+26</v>
      </c>
      <c r="NVS27" s="613">
        <f t="shared" ref="NVS27" si="5037">NVQ27*$C$27</f>
        <v>2.6193566510561632E+26</v>
      </c>
      <c r="NVU27" s="613">
        <f t="shared" ref="NVU27" si="5038">NVS27*$C$27</f>
        <v>2.6455502175667248E+26</v>
      </c>
      <c r="NVW27" s="613">
        <f t="shared" ref="NVW27" si="5039">NVU27*$C$27</f>
        <v>2.672005719742392E+26</v>
      </c>
      <c r="NVY27" s="613">
        <f t="shared" ref="NVY27" si="5040">NVW27*$C$27</f>
        <v>2.6987257769398159E+26</v>
      </c>
      <c r="NWA27" s="613">
        <f t="shared" ref="NWA27" si="5041">NVY27*$C$27</f>
        <v>2.7257130347092139E+26</v>
      </c>
      <c r="NWC27" s="613">
        <f t="shared" ref="NWC27" si="5042">NWA27*$C$27</f>
        <v>2.752970165056306E+26</v>
      </c>
      <c r="NWE27" s="613">
        <f t="shared" ref="NWE27" si="5043">NWC27*$C$27</f>
        <v>2.7804998667068691E+26</v>
      </c>
      <c r="NWG27" s="613">
        <f t="shared" ref="NWG27" si="5044">NWE27*$C$27</f>
        <v>2.8083048653739377E+26</v>
      </c>
      <c r="NWI27" s="613">
        <f t="shared" ref="NWI27" si="5045">NWG27*$C$27</f>
        <v>2.8363879140276772E+26</v>
      </c>
      <c r="NWK27" s="613">
        <f t="shared" ref="NWK27" si="5046">NWI27*$C$27</f>
        <v>2.864751793167954E+26</v>
      </c>
      <c r="NWM27" s="613">
        <f t="shared" ref="NWM27" si="5047">NWK27*$C$27</f>
        <v>2.8933993110996335E+26</v>
      </c>
      <c r="NWO27" s="613">
        <f t="shared" ref="NWO27" si="5048">NWM27*$C$27</f>
        <v>2.9223333042106299E+26</v>
      </c>
      <c r="NWQ27" s="613">
        <f t="shared" ref="NWQ27" si="5049">NWO27*$C$27</f>
        <v>2.9515566372527363E+26</v>
      </c>
      <c r="NWS27" s="613">
        <f t="shared" ref="NWS27" si="5050">NWQ27*$C$27</f>
        <v>2.9810722036252638E+26</v>
      </c>
      <c r="NWU27" s="613">
        <f t="shared" ref="NWU27" si="5051">NWS27*$C$27</f>
        <v>3.0108829256615164E+26</v>
      </c>
      <c r="NWW27" s="613">
        <f t="shared" ref="NWW27" si="5052">NWU27*$C$27</f>
        <v>3.0409917549181315E+26</v>
      </c>
      <c r="NWY27" s="613">
        <f t="shared" ref="NWY27" si="5053">NWW27*$C$27</f>
        <v>3.0714016724673127E+26</v>
      </c>
      <c r="NXA27" s="613">
        <f t="shared" ref="NXA27" si="5054">NWY27*$C$27</f>
        <v>3.1021156891919858E+26</v>
      </c>
      <c r="NXC27" s="613">
        <f t="shared" ref="NXC27" si="5055">NXA27*$C$27</f>
        <v>3.1331368460839059E+26</v>
      </c>
      <c r="NXE27" s="613">
        <f t="shared" ref="NXE27" si="5056">NXC27*$C$27</f>
        <v>3.1644682145447452E+26</v>
      </c>
      <c r="NXG27" s="613">
        <f t="shared" ref="NXG27" si="5057">NXE27*$C$27</f>
        <v>3.196112896690193E+26</v>
      </c>
      <c r="NXI27" s="613">
        <f t="shared" ref="NXI27" si="5058">NXG27*$C$27</f>
        <v>3.2280740256570951E+26</v>
      </c>
      <c r="NXK27" s="613">
        <f t="shared" ref="NXK27" si="5059">NXI27*$C$27</f>
        <v>3.2603547659136661E+26</v>
      </c>
      <c r="NXM27" s="613">
        <f t="shared" ref="NXM27" si="5060">NXK27*$C$27</f>
        <v>3.2929583135728031E+26</v>
      </c>
      <c r="NXO27" s="613">
        <f t="shared" ref="NXO27" si="5061">NXM27*$C$27</f>
        <v>3.3258878967085309E+26</v>
      </c>
      <c r="NXQ27" s="613">
        <f t="shared" ref="NXQ27" si="5062">NXO27*$C$27</f>
        <v>3.3591467756756163E+26</v>
      </c>
      <c r="NXS27" s="613">
        <f t="shared" ref="NXS27" si="5063">NXQ27*$C$27</f>
        <v>3.3927382434323722E+26</v>
      </c>
      <c r="NXU27" s="613">
        <f t="shared" ref="NXU27" si="5064">NXS27*$C$27</f>
        <v>3.4266656258666958E+26</v>
      </c>
      <c r="NXW27" s="613">
        <f t="shared" ref="NXW27" si="5065">NXU27*$C$27</f>
        <v>3.4609322821253629E+26</v>
      </c>
      <c r="NXY27" s="613">
        <f t="shared" ref="NXY27" si="5066">NXW27*$C$27</f>
        <v>3.4955416049466169E+26</v>
      </c>
      <c r="NYA27" s="613">
        <f t="shared" ref="NYA27" si="5067">NXY27*$C$27</f>
        <v>3.5304970209960833E+26</v>
      </c>
      <c r="NYC27" s="613">
        <f t="shared" ref="NYC27" si="5068">NYA27*$C$27</f>
        <v>3.5658019912060444E+26</v>
      </c>
      <c r="NYE27" s="613">
        <f t="shared" ref="NYE27" si="5069">NYC27*$C$27</f>
        <v>3.6014600111181048E+26</v>
      </c>
      <c r="NYG27" s="613">
        <f t="shared" ref="NYG27" si="5070">NYE27*$C$27</f>
        <v>3.6374746112292859E+26</v>
      </c>
      <c r="NYI27" s="613">
        <f t="shared" ref="NYI27" si="5071">NYG27*$C$27</f>
        <v>3.6738493573415786E+26</v>
      </c>
      <c r="NYK27" s="613">
        <f t="shared" ref="NYK27" si="5072">NYI27*$C$27</f>
        <v>3.7105878509149946E+26</v>
      </c>
      <c r="NYM27" s="613">
        <f t="shared" ref="NYM27" si="5073">NYK27*$C$27</f>
        <v>3.7476937294241446E+26</v>
      </c>
      <c r="NYO27" s="613">
        <f t="shared" ref="NYO27" si="5074">NYM27*$C$27</f>
        <v>3.785170666718386E+26</v>
      </c>
      <c r="NYQ27" s="613">
        <f t="shared" ref="NYQ27" si="5075">NYO27*$C$27</f>
        <v>3.82302237338557E+26</v>
      </c>
      <c r="NYS27" s="613">
        <f t="shared" ref="NYS27" si="5076">NYQ27*$C$27</f>
        <v>3.8612525971194259E+26</v>
      </c>
      <c r="NYU27" s="613">
        <f t="shared" ref="NYU27" si="5077">NYS27*$C$27</f>
        <v>3.89986512309062E+26</v>
      </c>
      <c r="NYW27" s="613">
        <f t="shared" ref="NYW27" si="5078">NYU27*$C$27</f>
        <v>3.9388637743215261E+26</v>
      </c>
      <c r="NYY27" s="613">
        <f t="shared" ref="NYY27" si="5079">NYW27*$C$27</f>
        <v>3.9782524120647414E+26</v>
      </c>
      <c r="NZA27" s="613">
        <f t="shared" ref="NZA27" si="5080">NYY27*$C$27</f>
        <v>4.0180349361853887E+26</v>
      </c>
      <c r="NZC27" s="613">
        <f t="shared" ref="NZC27" si="5081">NZA27*$C$27</f>
        <v>4.0582152855472425E+26</v>
      </c>
      <c r="NZE27" s="613">
        <f t="shared" ref="NZE27" si="5082">NZC27*$C$27</f>
        <v>4.0987974384027149E+26</v>
      </c>
      <c r="NZG27" s="613">
        <f t="shared" ref="NZG27" si="5083">NZE27*$C$27</f>
        <v>4.1397854127867424E+26</v>
      </c>
      <c r="NZI27" s="613">
        <f t="shared" ref="NZI27" si="5084">NZG27*$C$27</f>
        <v>4.1811832669146096E+26</v>
      </c>
      <c r="NZK27" s="613">
        <f t="shared" ref="NZK27" si="5085">NZI27*$C$27</f>
        <v>4.2229950995837554E+26</v>
      </c>
      <c r="NZM27" s="613">
        <f t="shared" ref="NZM27" si="5086">NZK27*$C$27</f>
        <v>4.2652250505795926E+26</v>
      </c>
      <c r="NZO27" s="613">
        <f t="shared" ref="NZO27" si="5087">NZM27*$C$27</f>
        <v>4.3078773010853886E+26</v>
      </c>
      <c r="NZQ27" s="613">
        <f t="shared" ref="NZQ27" si="5088">NZO27*$C$27</f>
        <v>4.3509560740962422E+26</v>
      </c>
      <c r="NZS27" s="613">
        <f t="shared" ref="NZS27" si="5089">NZQ27*$C$27</f>
        <v>4.3944656348372044E+26</v>
      </c>
      <c r="NZU27" s="613">
        <f t="shared" ref="NZU27" si="5090">NZS27*$C$27</f>
        <v>4.4384102911855762E+26</v>
      </c>
      <c r="NZW27" s="613">
        <f t="shared" ref="NZW27" si="5091">NZU27*$C$27</f>
        <v>4.4827943940974323E+26</v>
      </c>
      <c r="NZY27" s="613">
        <f t="shared" ref="NZY27" si="5092">NZW27*$C$27</f>
        <v>4.5276223380384067E+26</v>
      </c>
      <c r="OAA27" s="613">
        <f t="shared" ref="OAA27" si="5093">NZY27*$C$27</f>
        <v>4.5728985614187907E+26</v>
      </c>
      <c r="OAC27" s="613">
        <f t="shared" ref="OAC27" si="5094">OAA27*$C$27</f>
        <v>4.6186275470329786E+26</v>
      </c>
      <c r="OAE27" s="613">
        <f t="shared" ref="OAE27" si="5095">OAC27*$C$27</f>
        <v>4.6648138225033085E+26</v>
      </c>
      <c r="OAG27" s="613">
        <f t="shared" ref="OAG27" si="5096">OAE27*$C$27</f>
        <v>4.7114619607283416E+26</v>
      </c>
      <c r="OAI27" s="613">
        <f t="shared" ref="OAI27" si="5097">OAG27*$C$27</f>
        <v>4.7585765803356251E+26</v>
      </c>
      <c r="OAK27" s="613">
        <f t="shared" ref="OAK27" si="5098">OAI27*$C$27</f>
        <v>4.8061623461389814E+26</v>
      </c>
      <c r="OAM27" s="613">
        <f t="shared" ref="OAM27" si="5099">OAK27*$C$27</f>
        <v>4.8542239696003711E+26</v>
      </c>
      <c r="OAO27" s="613">
        <f t="shared" ref="OAO27" si="5100">OAM27*$C$27</f>
        <v>4.9027662092963748E+26</v>
      </c>
      <c r="OAQ27" s="613">
        <f t="shared" ref="OAQ27" si="5101">OAO27*$C$27</f>
        <v>4.9517938713893383E+26</v>
      </c>
      <c r="OAS27" s="613">
        <f t="shared" ref="OAS27" si="5102">OAQ27*$C$27</f>
        <v>5.0013118101032316E+26</v>
      </c>
      <c r="OAU27" s="613">
        <f t="shared" ref="OAU27" si="5103">OAS27*$C$27</f>
        <v>5.0513249282042637E+26</v>
      </c>
      <c r="OAW27" s="613">
        <f t="shared" ref="OAW27" si="5104">OAU27*$C$27</f>
        <v>5.1018381774863066E+26</v>
      </c>
      <c r="OAY27" s="613">
        <f t="shared" ref="OAY27" si="5105">OAW27*$C$27</f>
        <v>5.1528565592611694E+26</v>
      </c>
      <c r="OBA27" s="613">
        <f t="shared" ref="OBA27" si="5106">OAY27*$C$27</f>
        <v>5.2043851248537813E+26</v>
      </c>
      <c r="OBC27" s="613">
        <f t="shared" ref="OBC27" si="5107">OBA27*$C$27</f>
        <v>5.2564289761023194E+26</v>
      </c>
      <c r="OBE27" s="613">
        <f t="shared" ref="OBE27" si="5108">OBC27*$C$27</f>
        <v>5.3089932658633425E+26</v>
      </c>
      <c r="OBG27" s="613">
        <f t="shared" ref="OBG27" si="5109">OBE27*$C$27</f>
        <v>5.362083198521976E+26</v>
      </c>
      <c r="OBI27" s="613">
        <f t="shared" ref="OBI27" si="5110">OBG27*$C$27</f>
        <v>5.4157040305071958E+26</v>
      </c>
      <c r="OBK27" s="613">
        <f t="shared" ref="OBK27" si="5111">OBI27*$C$27</f>
        <v>5.4698610708122675E+26</v>
      </c>
      <c r="OBM27" s="613">
        <f t="shared" ref="OBM27" si="5112">OBK27*$C$27</f>
        <v>5.5245596815203901E+26</v>
      </c>
      <c r="OBO27" s="613">
        <f t="shared" ref="OBO27" si="5113">OBM27*$C$27</f>
        <v>5.579805278335594E+26</v>
      </c>
      <c r="OBQ27" s="613">
        <f t="shared" ref="OBQ27" si="5114">OBO27*$C$27</f>
        <v>5.6356033311189503E+26</v>
      </c>
      <c r="OBS27" s="613">
        <f t="shared" ref="OBS27" si="5115">OBQ27*$C$27</f>
        <v>5.6919593644301399E+26</v>
      </c>
      <c r="OBU27" s="613">
        <f t="shared" ref="OBU27" si="5116">OBS27*$C$27</f>
        <v>5.7488789580744411E+26</v>
      </c>
      <c r="OBW27" s="613">
        <f t="shared" ref="OBW27" si="5117">OBU27*$C$27</f>
        <v>5.8063677476551854E+26</v>
      </c>
      <c r="OBY27" s="613">
        <f t="shared" ref="OBY27" si="5118">OBW27*$C$27</f>
        <v>5.8644314251317375E+26</v>
      </c>
      <c r="OCA27" s="613">
        <f t="shared" ref="OCA27" si="5119">OBY27*$C$27</f>
        <v>5.9230757393830551E+26</v>
      </c>
      <c r="OCC27" s="613">
        <f t="shared" ref="OCC27" si="5120">OCA27*$C$27</f>
        <v>5.982306496776886E+26</v>
      </c>
      <c r="OCE27" s="613">
        <f t="shared" ref="OCE27" si="5121">OCC27*$C$27</f>
        <v>6.0421295617446552E+26</v>
      </c>
      <c r="OCG27" s="613">
        <f t="shared" ref="OCG27" si="5122">OCE27*$C$27</f>
        <v>6.102550857362102E+26</v>
      </c>
      <c r="OCI27" s="613">
        <f t="shared" ref="OCI27" si="5123">OCG27*$C$27</f>
        <v>6.1635763659357232E+26</v>
      </c>
      <c r="OCK27" s="613">
        <f t="shared" ref="OCK27" si="5124">OCI27*$C$27</f>
        <v>6.2252121295950811E+26</v>
      </c>
      <c r="OCM27" s="613">
        <f t="shared" ref="OCM27" si="5125">OCK27*$C$27</f>
        <v>6.2874642508910314E+26</v>
      </c>
      <c r="OCO27" s="613">
        <f t="shared" ref="OCO27" si="5126">OCM27*$C$27</f>
        <v>6.3503388933999421E+26</v>
      </c>
      <c r="OCQ27" s="613">
        <f t="shared" ref="OCQ27" si="5127">OCO27*$C$27</f>
        <v>6.4138422823339423E+26</v>
      </c>
      <c r="OCS27" s="613">
        <f t="shared" ref="OCS27" si="5128">OCQ27*$C$27</f>
        <v>6.4779807051572814E+26</v>
      </c>
      <c r="OCU27" s="613">
        <f t="shared" ref="OCU27" si="5129">OCS27*$C$27</f>
        <v>6.5427605122088536E+26</v>
      </c>
      <c r="OCW27" s="613">
        <f t="shared" ref="OCW27" si="5130">OCU27*$C$27</f>
        <v>6.6081881173309426E+26</v>
      </c>
      <c r="OCY27" s="613">
        <f t="shared" ref="OCY27" si="5131">OCW27*$C$27</f>
        <v>6.6742699985042527E+26</v>
      </c>
      <c r="ODA27" s="613">
        <f t="shared" ref="ODA27" si="5132">OCY27*$C$27</f>
        <v>6.7410126984892952E+26</v>
      </c>
      <c r="ODC27" s="613">
        <f t="shared" ref="ODC27" si="5133">ODA27*$C$27</f>
        <v>6.8084228254741877E+26</v>
      </c>
      <c r="ODE27" s="613">
        <f t="shared" ref="ODE27" si="5134">ODC27*$C$27</f>
        <v>6.8765070537289293E+26</v>
      </c>
      <c r="ODG27" s="613">
        <f t="shared" ref="ODG27" si="5135">ODE27*$C$27</f>
        <v>6.9452721242662186E+26</v>
      </c>
      <c r="ODI27" s="613">
        <f t="shared" ref="ODI27" si="5136">ODG27*$C$27</f>
        <v>7.0147248455088812E+26</v>
      </c>
      <c r="ODK27" s="613">
        <f t="shared" ref="ODK27" si="5137">ODI27*$C$27</f>
        <v>7.08487209396397E+26</v>
      </c>
      <c r="ODM27" s="613">
        <f t="shared" ref="ODM27" si="5138">ODK27*$C$27</f>
        <v>7.1557208149036099E+26</v>
      </c>
      <c r="ODO27" s="613">
        <f t="shared" ref="ODO27" si="5139">ODM27*$C$27</f>
        <v>7.2272780230526464E+26</v>
      </c>
      <c r="ODQ27" s="613">
        <f t="shared" ref="ODQ27" si="5140">ODO27*$C$27</f>
        <v>7.2995508032831722E+26</v>
      </c>
      <c r="ODS27" s="613">
        <f t="shared" ref="ODS27" si="5141">ODQ27*$C$27</f>
        <v>7.3725463113160041E+26</v>
      </c>
      <c r="ODU27" s="613">
        <f t="shared" ref="ODU27" si="5142">ODS27*$C$27</f>
        <v>7.4462717744291646E+26</v>
      </c>
      <c r="ODW27" s="613">
        <f t="shared" ref="ODW27" si="5143">ODU27*$C$27</f>
        <v>7.5207344921734563E+26</v>
      </c>
      <c r="ODY27" s="613">
        <f t="shared" ref="ODY27" si="5144">ODW27*$C$27</f>
        <v>7.5959418370951903E+26</v>
      </c>
      <c r="OEA27" s="613">
        <f t="shared" ref="OEA27" si="5145">ODY27*$C$27</f>
        <v>7.6719012554661419E+26</v>
      </c>
      <c r="OEC27" s="613">
        <f t="shared" ref="OEC27" si="5146">OEA27*$C$27</f>
        <v>7.748620268020803E+26</v>
      </c>
      <c r="OEE27" s="613">
        <f t="shared" ref="OEE27" si="5147">OEC27*$C$27</f>
        <v>7.8261064707010111E+26</v>
      </c>
      <c r="OEG27" s="613">
        <f t="shared" ref="OEG27" si="5148">OEE27*$C$27</f>
        <v>7.9043675354080209E+26</v>
      </c>
      <c r="OEI27" s="613">
        <f t="shared" ref="OEI27" si="5149">OEG27*$C$27</f>
        <v>7.9834112107621007E+26</v>
      </c>
      <c r="OEK27" s="613">
        <f t="shared" ref="OEK27" si="5150">OEI27*$C$27</f>
        <v>8.063245322869722E+26</v>
      </c>
      <c r="OEM27" s="613">
        <f t="shared" ref="OEM27" si="5151">OEK27*$C$27</f>
        <v>8.1438777760984194E+26</v>
      </c>
      <c r="OEO27" s="613">
        <f t="shared" ref="OEO27" si="5152">OEM27*$C$27</f>
        <v>8.2253165538594043E+26</v>
      </c>
      <c r="OEQ27" s="613">
        <f t="shared" ref="OEQ27" si="5153">OEO27*$C$27</f>
        <v>8.3075697193979979E+26</v>
      </c>
      <c r="OES27" s="613">
        <f t="shared" ref="OES27" si="5154">OEQ27*$C$27</f>
        <v>8.3906454165919786E+26</v>
      </c>
      <c r="OEU27" s="613">
        <f t="shared" ref="OEU27" si="5155">OES27*$C$27</f>
        <v>8.4745518707578988E+26</v>
      </c>
      <c r="OEW27" s="613">
        <f t="shared" ref="OEW27" si="5156">OEU27*$C$27</f>
        <v>8.5592973894654773E+26</v>
      </c>
      <c r="OEY27" s="613">
        <f t="shared" ref="OEY27" si="5157">OEW27*$C$27</f>
        <v>8.6448903633601326E+26</v>
      </c>
      <c r="OFA27" s="613">
        <f t="shared" ref="OFA27" si="5158">OEY27*$C$27</f>
        <v>8.7313392669937338E+26</v>
      </c>
      <c r="OFC27" s="613">
        <f t="shared" ref="OFC27" si="5159">OFA27*$C$27</f>
        <v>8.8186526596636714E+26</v>
      </c>
      <c r="OFE27" s="613">
        <f t="shared" ref="OFE27" si="5160">OFC27*$C$27</f>
        <v>8.9068391862603084E+26</v>
      </c>
      <c r="OFG27" s="613">
        <f t="shared" ref="OFG27" si="5161">OFE27*$C$27</f>
        <v>8.9959075781229115E+26</v>
      </c>
      <c r="OFI27" s="613">
        <f t="shared" ref="OFI27" si="5162">OFG27*$C$27</f>
        <v>9.0858666539041409E+26</v>
      </c>
      <c r="OFK27" s="613">
        <f t="shared" ref="OFK27" si="5163">OFI27*$C$27</f>
        <v>9.1767253204431821E+26</v>
      </c>
      <c r="OFM27" s="613">
        <f t="shared" ref="OFM27" si="5164">OFK27*$C$27</f>
        <v>9.2684925736476134E+26</v>
      </c>
      <c r="OFO27" s="613">
        <f t="shared" ref="OFO27" si="5165">OFM27*$C$27</f>
        <v>9.3611774993840897E+26</v>
      </c>
      <c r="OFQ27" s="613">
        <f t="shared" ref="OFQ27" si="5166">OFO27*$C$27</f>
        <v>9.4547892743779303E+26</v>
      </c>
      <c r="OFS27" s="613">
        <f t="shared" ref="OFS27" si="5167">OFQ27*$C$27</f>
        <v>9.5493371671217097E+26</v>
      </c>
      <c r="OFU27" s="613">
        <f t="shared" ref="OFU27" si="5168">OFS27*$C$27</f>
        <v>9.6448305387929268E+26</v>
      </c>
      <c r="OFW27" s="613">
        <f t="shared" ref="OFW27" si="5169">OFU27*$C$27</f>
        <v>9.7412788441808558E+26</v>
      </c>
      <c r="OFY27" s="613">
        <f t="shared" ref="OFY27" si="5170">OFW27*$C$27</f>
        <v>9.8386916326226648E+26</v>
      </c>
      <c r="OGA27" s="613">
        <f t="shared" ref="OGA27" si="5171">OFY27*$C$27</f>
        <v>9.937078548948892E+26</v>
      </c>
      <c r="OGC27" s="613">
        <f t="shared" ref="OGC27" si="5172">OGA27*$C$27</f>
        <v>1.0036449334438382E+27</v>
      </c>
      <c r="OGE27" s="613">
        <f t="shared" ref="OGE27" si="5173">OGC27*$C$27</f>
        <v>1.0136813827782765E+27</v>
      </c>
      <c r="OGG27" s="613">
        <f t="shared" ref="OGG27" si="5174">OGE27*$C$27</f>
        <v>1.0238181966060593E+27</v>
      </c>
      <c r="OGI27" s="613">
        <f t="shared" ref="OGI27" si="5175">OGG27*$C$27</f>
        <v>1.0340563785721199E+27</v>
      </c>
      <c r="OGK27" s="613">
        <f t="shared" ref="OGK27" si="5176">OGI27*$C$27</f>
        <v>1.0443969423578412E+27</v>
      </c>
      <c r="OGM27" s="613">
        <f t="shared" ref="OGM27" si="5177">OGK27*$C$27</f>
        <v>1.0548409117814195E+27</v>
      </c>
      <c r="OGO27" s="613">
        <f t="shared" ref="OGO27" si="5178">OGM27*$C$27</f>
        <v>1.0653893208992337E+27</v>
      </c>
      <c r="OGQ27" s="613">
        <f t="shared" ref="OGQ27" si="5179">OGO27*$C$27</f>
        <v>1.0760432141082261E+27</v>
      </c>
      <c r="OGS27" s="613">
        <f t="shared" ref="OGS27" si="5180">OGQ27*$C$27</f>
        <v>1.0868036462493084E+27</v>
      </c>
      <c r="OGU27" s="613">
        <f t="shared" ref="OGU27" si="5181">OGS27*$C$27</f>
        <v>1.0976716827118015E+27</v>
      </c>
      <c r="OGW27" s="613">
        <f t="shared" ref="OGW27" si="5182">OGU27*$C$27</f>
        <v>1.1086483995389196E+27</v>
      </c>
      <c r="OGY27" s="613">
        <f t="shared" ref="OGY27" si="5183">OGW27*$C$27</f>
        <v>1.1197348835343088E+27</v>
      </c>
      <c r="OHA27" s="613">
        <f t="shared" ref="OHA27" si="5184">OGY27*$C$27</f>
        <v>1.130932232369652E+27</v>
      </c>
      <c r="OHC27" s="613">
        <f t="shared" ref="OHC27" si="5185">OHA27*$C$27</f>
        <v>1.1422415546933485E+27</v>
      </c>
      <c r="OHE27" s="613">
        <f t="shared" ref="OHE27" si="5186">OHC27*$C$27</f>
        <v>1.153663970240282E+27</v>
      </c>
      <c r="OHG27" s="613">
        <f t="shared" ref="OHG27" si="5187">OHE27*$C$27</f>
        <v>1.1652006099426849E+27</v>
      </c>
      <c r="OHI27" s="613">
        <f t="shared" ref="OHI27" si="5188">OHG27*$C$27</f>
        <v>1.1768526160421118E+27</v>
      </c>
      <c r="OHK27" s="613">
        <f t="shared" ref="OHK27" si="5189">OHI27*$C$27</f>
        <v>1.1886211422025329E+27</v>
      </c>
      <c r="OHM27" s="613">
        <f t="shared" ref="OHM27" si="5190">OHK27*$C$27</f>
        <v>1.2005073536245582E+27</v>
      </c>
      <c r="OHO27" s="613">
        <f t="shared" ref="OHO27" si="5191">OHM27*$C$27</f>
        <v>1.2125124271608038E+27</v>
      </c>
      <c r="OHQ27" s="613">
        <f t="shared" ref="OHQ27" si="5192">OHO27*$C$27</f>
        <v>1.2246375514324119E+27</v>
      </c>
      <c r="OHS27" s="613">
        <f t="shared" ref="OHS27" si="5193">OHQ27*$C$27</f>
        <v>1.236883926946736E+27</v>
      </c>
      <c r="OHU27" s="613">
        <f t="shared" ref="OHU27" si="5194">OHS27*$C$27</f>
        <v>1.2492527662162033E+27</v>
      </c>
      <c r="OHW27" s="613">
        <f t="shared" ref="OHW27" si="5195">OHU27*$C$27</f>
        <v>1.2617452938783655E+27</v>
      </c>
      <c r="OHY27" s="613">
        <f t="shared" ref="OHY27" si="5196">OHW27*$C$27</f>
        <v>1.2743627468171492E+27</v>
      </c>
      <c r="OIA27" s="613">
        <f t="shared" ref="OIA27" si="5197">OHY27*$C$27</f>
        <v>1.2871063742853208E+27</v>
      </c>
      <c r="OIC27" s="613">
        <f t="shared" ref="OIC27" si="5198">OIA27*$C$27</f>
        <v>1.2999774380281741E+27</v>
      </c>
      <c r="OIE27" s="613">
        <f t="shared" ref="OIE27" si="5199">OIC27*$C$27</f>
        <v>1.3129772124084559E+27</v>
      </c>
      <c r="OIG27" s="613">
        <f t="shared" ref="OIG27" si="5200">OIE27*$C$27</f>
        <v>1.3261069845325404E+27</v>
      </c>
      <c r="OII27" s="613">
        <f t="shared" ref="OII27" si="5201">OIG27*$C$27</f>
        <v>1.3393680543778659E+27</v>
      </c>
      <c r="OIK27" s="613">
        <f t="shared" ref="OIK27" si="5202">OII27*$C$27</f>
        <v>1.3527617349216444E+27</v>
      </c>
      <c r="OIM27" s="613">
        <f t="shared" ref="OIM27" si="5203">OIK27*$C$27</f>
        <v>1.366289352270861E+27</v>
      </c>
      <c r="OIO27" s="613">
        <f t="shared" ref="OIO27" si="5204">OIM27*$C$27</f>
        <v>1.3799522457935697E+27</v>
      </c>
      <c r="OIQ27" s="613">
        <f t="shared" ref="OIQ27" si="5205">OIO27*$C$27</f>
        <v>1.3937517682515054E+27</v>
      </c>
      <c r="OIS27" s="613">
        <f t="shared" ref="OIS27" si="5206">OIQ27*$C$27</f>
        <v>1.4076892859340205E+27</v>
      </c>
      <c r="OIU27" s="613">
        <f t="shared" ref="OIU27" si="5207">OIS27*$C$27</f>
        <v>1.4217661787933606E+27</v>
      </c>
      <c r="OIW27" s="613">
        <f t="shared" ref="OIW27" si="5208">OIU27*$C$27</f>
        <v>1.4359838405812942E+27</v>
      </c>
      <c r="OIY27" s="613">
        <f t="shared" ref="OIY27" si="5209">OIW27*$C$27</f>
        <v>1.4503436789871071E+27</v>
      </c>
      <c r="OJA27" s="613">
        <f t="shared" ref="OJA27" si="5210">OIY27*$C$27</f>
        <v>1.4648471157769781E+27</v>
      </c>
      <c r="OJC27" s="613">
        <f t="shared" ref="OJC27" si="5211">OJA27*$C$27</f>
        <v>1.4794955869347479E+27</v>
      </c>
      <c r="OJE27" s="613">
        <f t="shared" ref="OJE27" si="5212">OJC27*$C$27</f>
        <v>1.4942905428040953E+27</v>
      </c>
      <c r="OJG27" s="613">
        <f t="shared" ref="OJG27" si="5213">OJE27*$C$27</f>
        <v>1.5092334482321364E+27</v>
      </c>
      <c r="OJI27" s="613">
        <f t="shared" ref="OJI27" si="5214">OJG27*$C$27</f>
        <v>1.5243257827144578E+27</v>
      </c>
      <c r="OJK27" s="613">
        <f t="shared" ref="OJK27" si="5215">OJI27*$C$27</f>
        <v>1.5395690405416025E+27</v>
      </c>
      <c r="OJM27" s="613">
        <f t="shared" ref="OJM27" si="5216">OJK27*$C$27</f>
        <v>1.5549647309470186E+27</v>
      </c>
      <c r="OJO27" s="613">
        <f t="shared" ref="OJO27" si="5217">OJM27*$C$27</f>
        <v>1.5705143782564887E+27</v>
      </c>
      <c r="OJQ27" s="613">
        <f t="shared" ref="OJQ27" si="5218">OJO27*$C$27</f>
        <v>1.5862195220390535E+27</v>
      </c>
      <c r="OJS27" s="613">
        <f t="shared" ref="OJS27" si="5219">OJQ27*$C$27</f>
        <v>1.602081717259444E+27</v>
      </c>
      <c r="OJU27" s="613">
        <f t="shared" ref="OJU27" si="5220">OJS27*$C$27</f>
        <v>1.6181025344320386E+27</v>
      </c>
      <c r="OJW27" s="613">
        <f t="shared" ref="OJW27" si="5221">OJU27*$C$27</f>
        <v>1.6342835597763591E+27</v>
      </c>
      <c r="OJY27" s="613">
        <f t="shared" ref="OJY27" si="5222">OJW27*$C$27</f>
        <v>1.6506263953741227E+27</v>
      </c>
      <c r="OKA27" s="613">
        <f t="shared" ref="OKA27" si="5223">OJY27*$C$27</f>
        <v>1.6671326593278641E+27</v>
      </c>
      <c r="OKC27" s="613">
        <f t="shared" ref="OKC27" si="5224">OKA27*$C$27</f>
        <v>1.6838039859211427E+27</v>
      </c>
      <c r="OKE27" s="613">
        <f t="shared" ref="OKE27" si="5225">OKC27*$C$27</f>
        <v>1.7006420257803542E+27</v>
      </c>
      <c r="OKG27" s="613">
        <f t="shared" ref="OKG27" si="5226">OKE27*$C$27</f>
        <v>1.7176484460381579E+27</v>
      </c>
      <c r="OKI27" s="613">
        <f t="shared" ref="OKI27" si="5227">OKG27*$C$27</f>
        <v>1.7348249304985393E+27</v>
      </c>
      <c r="OKK27" s="613">
        <f t="shared" ref="OKK27" si="5228">OKI27*$C$27</f>
        <v>1.7521731798035246E+27</v>
      </c>
      <c r="OKM27" s="613">
        <f t="shared" ref="OKM27" si="5229">OKK27*$C$27</f>
        <v>1.7696949116015598E+27</v>
      </c>
      <c r="OKO27" s="613">
        <f t="shared" ref="OKO27" si="5230">OKM27*$C$27</f>
        <v>1.7873918607175754E+27</v>
      </c>
      <c r="OKQ27" s="613">
        <f t="shared" ref="OKQ27" si="5231">OKO27*$C$27</f>
        <v>1.8052657793247512E+27</v>
      </c>
      <c r="OKS27" s="613">
        <f t="shared" ref="OKS27" si="5232">OKQ27*$C$27</f>
        <v>1.8233184371179989E+27</v>
      </c>
      <c r="OKU27" s="613">
        <f t="shared" ref="OKU27" si="5233">OKS27*$C$27</f>
        <v>1.841551621489179E+27</v>
      </c>
      <c r="OKW27" s="613">
        <f t="shared" ref="OKW27" si="5234">OKU27*$C$27</f>
        <v>1.8599671377040707E+27</v>
      </c>
      <c r="OKY27" s="613">
        <f t="shared" ref="OKY27" si="5235">OKW27*$C$27</f>
        <v>1.8785668090811113E+27</v>
      </c>
      <c r="OLA27" s="613">
        <f t="shared" ref="OLA27" si="5236">OKY27*$C$27</f>
        <v>1.8973524771719225E+27</v>
      </c>
      <c r="OLC27" s="613">
        <f t="shared" ref="OLC27" si="5237">OLA27*$C$27</f>
        <v>1.9163260019436416E+27</v>
      </c>
      <c r="OLE27" s="613">
        <f t="shared" ref="OLE27" si="5238">OLC27*$C$27</f>
        <v>1.9354892619630782E+27</v>
      </c>
      <c r="OLG27" s="613">
        <f t="shared" ref="OLG27" si="5239">OLE27*$C$27</f>
        <v>1.9548441545827091E+27</v>
      </c>
      <c r="OLI27" s="613">
        <f t="shared" ref="OLI27" si="5240">OLG27*$C$27</f>
        <v>1.9743925961285361E+27</v>
      </c>
      <c r="OLK27" s="613">
        <f t="shared" ref="OLK27" si="5241">OLI27*$C$27</f>
        <v>1.9941365220898215E+27</v>
      </c>
      <c r="OLM27" s="613">
        <f t="shared" ref="OLM27" si="5242">OLK27*$C$27</f>
        <v>2.0140778873107198E+27</v>
      </c>
      <c r="OLO27" s="613">
        <f t="shared" ref="OLO27" si="5243">OLM27*$C$27</f>
        <v>2.0342186661838272E+27</v>
      </c>
      <c r="OLQ27" s="613">
        <f t="shared" ref="OLQ27" si="5244">OLO27*$C$27</f>
        <v>2.0545608528456653E+27</v>
      </c>
      <c r="OLS27" s="613">
        <f t="shared" ref="OLS27" si="5245">OLQ27*$C$27</f>
        <v>2.075106461374122E+27</v>
      </c>
      <c r="OLU27" s="613">
        <f t="shared" ref="OLU27" si="5246">OLS27*$C$27</f>
        <v>2.0958575259878631E+27</v>
      </c>
      <c r="OLW27" s="613">
        <f t="shared" ref="OLW27" si="5247">OLU27*$C$27</f>
        <v>2.1168161012477417E+27</v>
      </c>
      <c r="OLY27" s="613">
        <f t="shared" ref="OLY27" si="5248">OLW27*$C$27</f>
        <v>2.1379842622602191E+27</v>
      </c>
      <c r="OMA27" s="613">
        <f t="shared" ref="OMA27" si="5249">OLY27*$C$27</f>
        <v>2.1593641048828214E+27</v>
      </c>
      <c r="OMC27" s="613">
        <f t="shared" ref="OMC27" si="5250">OMA27*$C$27</f>
        <v>2.1809577459316497E+27</v>
      </c>
      <c r="OME27" s="613">
        <f t="shared" ref="OME27" si="5251">OMC27*$C$27</f>
        <v>2.2027673233909663E+27</v>
      </c>
      <c r="OMG27" s="613">
        <f t="shared" ref="OMG27" si="5252">OME27*$C$27</f>
        <v>2.224794996624876E+27</v>
      </c>
      <c r="OMI27" s="613">
        <f t="shared" ref="OMI27" si="5253">OMG27*$C$27</f>
        <v>2.2470429465911248E+27</v>
      </c>
      <c r="OMK27" s="613">
        <f t="shared" ref="OMK27" si="5254">OMI27*$C$27</f>
        <v>2.269513376057036E+27</v>
      </c>
      <c r="OMM27" s="613">
        <f t="shared" ref="OMM27" si="5255">OMK27*$C$27</f>
        <v>2.2922085098176065E+27</v>
      </c>
      <c r="OMO27" s="613">
        <f t="shared" ref="OMO27" si="5256">OMM27*$C$27</f>
        <v>2.3151305949157825E+27</v>
      </c>
      <c r="OMQ27" s="613">
        <f t="shared" ref="OMQ27" si="5257">OMO27*$C$27</f>
        <v>2.3382819008649404E+27</v>
      </c>
      <c r="OMS27" s="613">
        <f t="shared" ref="OMS27" si="5258">OMQ27*$C$27</f>
        <v>2.3616647198735899E+27</v>
      </c>
      <c r="OMU27" s="613">
        <f t="shared" ref="OMU27" si="5259">OMS27*$C$27</f>
        <v>2.3852813670723258E+27</v>
      </c>
      <c r="OMW27" s="613">
        <f t="shared" ref="OMW27" si="5260">OMU27*$C$27</f>
        <v>2.4091341807430491E+27</v>
      </c>
      <c r="OMY27" s="613">
        <f t="shared" ref="OMY27" si="5261">OMW27*$C$27</f>
        <v>2.4332255225504797E+27</v>
      </c>
      <c r="ONA27" s="613">
        <f t="shared" ref="ONA27" si="5262">OMY27*$C$27</f>
        <v>2.4575577777759845E+27</v>
      </c>
      <c r="ONC27" s="613">
        <f t="shared" ref="ONC27" si="5263">ONA27*$C$27</f>
        <v>2.4821333555537445E+27</v>
      </c>
      <c r="ONE27" s="613">
        <f t="shared" ref="ONE27" si="5264">ONC27*$C$27</f>
        <v>2.506954689109282E+27</v>
      </c>
      <c r="ONG27" s="613">
        <f t="shared" ref="ONG27" si="5265">ONE27*$C$27</f>
        <v>2.532024236000375E+27</v>
      </c>
      <c r="ONI27" s="613">
        <f t="shared" ref="ONI27" si="5266">ONG27*$C$27</f>
        <v>2.5573444783603789E+27</v>
      </c>
      <c r="ONK27" s="613">
        <f t="shared" ref="ONK27" si="5267">ONI27*$C$27</f>
        <v>2.5829179231439825E+27</v>
      </c>
      <c r="ONM27" s="613">
        <f t="shared" ref="ONM27" si="5268">ONK27*$C$27</f>
        <v>2.6087471023754224E+27</v>
      </c>
      <c r="ONO27" s="613">
        <f t="shared" ref="ONO27" si="5269">ONM27*$C$27</f>
        <v>2.6348345733991769E+27</v>
      </c>
      <c r="ONQ27" s="613">
        <f t="shared" ref="ONQ27" si="5270">ONO27*$C$27</f>
        <v>2.6611829191331688E+27</v>
      </c>
      <c r="ONS27" s="613">
        <f t="shared" ref="ONS27" si="5271">ONQ27*$C$27</f>
        <v>2.6877947483245007E+27</v>
      </c>
      <c r="ONU27" s="613">
        <f t="shared" ref="ONU27" si="5272">ONS27*$C$27</f>
        <v>2.7146726958077459E+27</v>
      </c>
      <c r="ONW27" s="613">
        <f t="shared" ref="ONW27" si="5273">ONU27*$C$27</f>
        <v>2.7418194227658236E+27</v>
      </c>
      <c r="ONY27" s="613">
        <f t="shared" ref="ONY27" si="5274">ONW27*$C$27</f>
        <v>2.7692376169934821E+27</v>
      </c>
      <c r="OOA27" s="613">
        <f t="shared" ref="OOA27" si="5275">ONY27*$C$27</f>
        <v>2.7969299931634168E+27</v>
      </c>
      <c r="OOC27" s="613">
        <f t="shared" ref="OOC27" si="5276">OOA27*$C$27</f>
        <v>2.8248992930950508E+27</v>
      </c>
      <c r="OOE27" s="613">
        <f t="shared" ref="OOE27" si="5277">OOC27*$C$27</f>
        <v>2.8531482860260014E+27</v>
      </c>
      <c r="OOG27" s="613">
        <f t="shared" ref="OOG27" si="5278">OOE27*$C$27</f>
        <v>2.8816797688862613E+27</v>
      </c>
      <c r="OOI27" s="613">
        <f t="shared" ref="OOI27" si="5279">OOG27*$C$27</f>
        <v>2.910496566575124E+27</v>
      </c>
      <c r="OOK27" s="613">
        <f t="shared" ref="OOK27" si="5280">OOI27*$C$27</f>
        <v>2.9396015322408755E+27</v>
      </c>
      <c r="OOM27" s="613">
        <f t="shared" ref="OOM27" si="5281">OOK27*$C$27</f>
        <v>2.9689975475632842E+27</v>
      </c>
      <c r="OOO27" s="613">
        <f t="shared" ref="OOO27" si="5282">OOM27*$C$27</f>
        <v>2.9986875230389173E+27</v>
      </c>
      <c r="OOQ27" s="613">
        <f t="shared" ref="OOQ27" si="5283">OOO27*$C$27</f>
        <v>3.0286743982693067E+27</v>
      </c>
      <c r="OOS27" s="613">
        <f t="shared" ref="OOS27" si="5284">OOQ27*$C$27</f>
        <v>3.0589611422519998E+27</v>
      </c>
      <c r="OOU27" s="613">
        <f t="shared" ref="OOU27" si="5285">OOS27*$C$27</f>
        <v>3.0895507536745197E+27</v>
      </c>
      <c r="OOW27" s="613">
        <f t="shared" ref="OOW27" si="5286">OOU27*$C$27</f>
        <v>3.1204462612112651E+27</v>
      </c>
      <c r="OOY27" s="613">
        <f t="shared" ref="OOY27" si="5287">OOW27*$C$27</f>
        <v>3.1516507238233779E+27</v>
      </c>
      <c r="OPA27" s="613">
        <f t="shared" ref="OPA27" si="5288">OOY27*$C$27</f>
        <v>3.1831672310616119E+27</v>
      </c>
      <c r="OPC27" s="613">
        <f t="shared" ref="OPC27" si="5289">OPA27*$C$27</f>
        <v>3.2149989033722282E+27</v>
      </c>
      <c r="OPE27" s="613">
        <f t="shared" ref="OPE27" si="5290">OPC27*$C$27</f>
        <v>3.2471488924059503E+27</v>
      </c>
      <c r="OPG27" s="613">
        <f t="shared" ref="OPG27" si="5291">OPE27*$C$27</f>
        <v>3.2796203813300099E+27</v>
      </c>
      <c r="OPI27" s="613">
        <f t="shared" ref="OPI27" si="5292">OPG27*$C$27</f>
        <v>3.3124165851433099E+27</v>
      </c>
      <c r="OPK27" s="613">
        <f t="shared" ref="OPK27" si="5293">OPI27*$C$27</f>
        <v>3.3455407509947428E+27</v>
      </c>
      <c r="OPM27" s="613">
        <f t="shared" ref="OPM27" si="5294">OPK27*$C$27</f>
        <v>3.3789961585046903E+27</v>
      </c>
      <c r="OPO27" s="613">
        <f t="shared" ref="OPO27" si="5295">OPM27*$C$27</f>
        <v>3.4127861200897373E+27</v>
      </c>
      <c r="OPQ27" s="613">
        <f t="shared" ref="OPQ27" si="5296">OPO27*$C$27</f>
        <v>3.4469139812906346E+27</v>
      </c>
      <c r="OPS27" s="613">
        <f t="shared" ref="OPS27" si="5297">OPQ27*$C$27</f>
        <v>3.4813831211035409E+27</v>
      </c>
      <c r="OPU27" s="613">
        <f t="shared" ref="OPU27" si="5298">OPS27*$C$27</f>
        <v>3.516196952314576E+27</v>
      </c>
      <c r="OPW27" s="613">
        <f t="shared" ref="OPW27" si="5299">OPU27*$C$27</f>
        <v>3.5513589218377221E+27</v>
      </c>
      <c r="OPY27" s="613">
        <f t="shared" ref="OPY27" si="5300">OPW27*$C$27</f>
        <v>3.5868725110560995E+27</v>
      </c>
      <c r="OQA27" s="613">
        <f t="shared" ref="OQA27" si="5301">OPY27*$C$27</f>
        <v>3.6227412361666607E+27</v>
      </c>
      <c r="OQC27" s="613">
        <f t="shared" ref="OQC27" si="5302">OQA27*$C$27</f>
        <v>3.6589686485283275E+27</v>
      </c>
      <c r="OQE27" s="613">
        <f t="shared" ref="OQE27" si="5303">OQC27*$C$27</f>
        <v>3.6955583350136106E+27</v>
      </c>
      <c r="OQG27" s="613">
        <f t="shared" ref="OQG27" si="5304">OQE27*$C$27</f>
        <v>3.7325139183637466E+27</v>
      </c>
      <c r="OQI27" s="613">
        <f t="shared" ref="OQI27" si="5305">OQG27*$C$27</f>
        <v>3.7698390575473841E+27</v>
      </c>
      <c r="OQK27" s="613">
        <f t="shared" ref="OQK27" si="5306">OQI27*$C$27</f>
        <v>3.807537448122858E+27</v>
      </c>
      <c r="OQM27" s="613">
        <f t="shared" ref="OQM27" si="5307">OQK27*$C$27</f>
        <v>3.8456128226040866E+27</v>
      </c>
      <c r="OQO27" s="613">
        <f t="shared" ref="OQO27" si="5308">OQM27*$C$27</f>
        <v>3.8840689508301274E+27</v>
      </c>
      <c r="OQQ27" s="613">
        <f t="shared" ref="OQQ27" si="5309">OQO27*$C$27</f>
        <v>3.9229096403384288E+27</v>
      </c>
      <c r="OQS27" s="613">
        <f t="shared" ref="OQS27" si="5310">OQQ27*$C$27</f>
        <v>3.9621387367418132E+27</v>
      </c>
      <c r="OQU27" s="613">
        <f t="shared" ref="OQU27" si="5311">OQS27*$C$27</f>
        <v>4.0017601241092312E+27</v>
      </c>
      <c r="OQW27" s="613">
        <f t="shared" ref="OQW27" si="5312">OQU27*$C$27</f>
        <v>4.0417777253503233E+27</v>
      </c>
      <c r="OQY27" s="613">
        <f t="shared" ref="OQY27" si="5313">OQW27*$C$27</f>
        <v>4.0821955026038264E+27</v>
      </c>
      <c r="ORA27" s="613">
        <f t="shared" ref="ORA27" si="5314">OQY27*$C$27</f>
        <v>4.1230174576298646E+27</v>
      </c>
      <c r="ORC27" s="613">
        <f t="shared" ref="ORC27" si="5315">ORA27*$C$27</f>
        <v>4.1642476322061632E+27</v>
      </c>
      <c r="ORE27" s="613">
        <f t="shared" ref="ORE27" si="5316">ORC27*$C$27</f>
        <v>4.2058901085282247E+27</v>
      </c>
      <c r="ORG27" s="613">
        <f t="shared" ref="ORG27" si="5317">ORE27*$C$27</f>
        <v>4.2479490096135071E+27</v>
      </c>
      <c r="ORI27" s="613">
        <f t="shared" ref="ORI27" si="5318">ORG27*$C$27</f>
        <v>4.2904284997096422E+27</v>
      </c>
      <c r="ORK27" s="613">
        <f t="shared" ref="ORK27" si="5319">ORI27*$C$27</f>
        <v>4.3333327847067387E+27</v>
      </c>
      <c r="ORM27" s="613">
        <f t="shared" ref="ORM27" si="5320">ORK27*$C$27</f>
        <v>4.376666112553806E+27</v>
      </c>
      <c r="ORO27" s="613">
        <f t="shared" ref="ORO27" si="5321">ORM27*$C$27</f>
        <v>4.420432773679344E+27</v>
      </c>
      <c r="ORQ27" s="613">
        <f t="shared" ref="ORQ27" si="5322">ORO27*$C$27</f>
        <v>4.4646371014161378E+27</v>
      </c>
      <c r="ORS27" s="613">
        <f t="shared" ref="ORS27" si="5323">ORQ27*$C$27</f>
        <v>4.5092834724302989E+27</v>
      </c>
      <c r="ORU27" s="613">
        <f t="shared" ref="ORU27" si="5324">ORS27*$C$27</f>
        <v>4.554376307154602E+27</v>
      </c>
      <c r="ORW27" s="613">
        <f t="shared" ref="ORW27" si="5325">ORU27*$C$27</f>
        <v>4.5999200702261479E+27</v>
      </c>
      <c r="ORY27" s="613">
        <f t="shared" ref="ORY27" si="5326">ORW27*$C$27</f>
        <v>4.6459192709284095E+27</v>
      </c>
      <c r="OSA27" s="613">
        <f t="shared" ref="OSA27" si="5327">ORY27*$C$27</f>
        <v>4.6923784636376938E+27</v>
      </c>
      <c r="OSC27" s="613">
        <f t="shared" ref="OSC27" si="5328">OSA27*$C$27</f>
        <v>4.739302248274071E+27</v>
      </c>
      <c r="OSE27" s="613">
        <f t="shared" ref="OSE27" si="5329">OSC27*$C$27</f>
        <v>4.7866952707568118E+27</v>
      </c>
      <c r="OSG27" s="613">
        <f t="shared" ref="OSG27" si="5330">OSE27*$C$27</f>
        <v>4.8345622234643799E+27</v>
      </c>
      <c r="OSI27" s="613">
        <f t="shared" ref="OSI27" si="5331">OSG27*$C$27</f>
        <v>4.8829078456990236E+27</v>
      </c>
      <c r="OSK27" s="613">
        <f t="shared" ref="OSK27" si="5332">OSI27*$C$27</f>
        <v>4.9317369241560142E+27</v>
      </c>
      <c r="OSM27" s="613">
        <f t="shared" ref="OSM27" si="5333">OSK27*$C$27</f>
        <v>4.9810542933975747E+27</v>
      </c>
      <c r="OSO27" s="613">
        <f t="shared" ref="OSO27" si="5334">OSM27*$C$27</f>
        <v>5.0308648363315506E+27</v>
      </c>
      <c r="OSQ27" s="613">
        <f t="shared" ref="OSQ27" si="5335">OSO27*$C$27</f>
        <v>5.0811734846948663E+27</v>
      </c>
      <c r="OSS27" s="613">
        <f t="shared" ref="OSS27" si="5336">OSQ27*$C$27</f>
        <v>5.1319852195418153E+27</v>
      </c>
      <c r="OSU27" s="613">
        <f t="shared" ref="OSU27" si="5337">OSS27*$C$27</f>
        <v>5.183305071737234E+27</v>
      </c>
      <c r="OSW27" s="613">
        <f t="shared" ref="OSW27" si="5338">OSU27*$C$27</f>
        <v>5.2351381224546067E+27</v>
      </c>
      <c r="OSY27" s="613">
        <f t="shared" ref="OSY27" si="5339">OSW27*$C$27</f>
        <v>5.2874895036791523E+27</v>
      </c>
      <c r="OTA27" s="613">
        <f t="shared" ref="OTA27" si="5340">OSY27*$C$27</f>
        <v>5.3403643987159443E+27</v>
      </c>
      <c r="OTC27" s="613">
        <f t="shared" ref="OTC27" si="5341">OTA27*$C$27</f>
        <v>5.3937680427031035E+27</v>
      </c>
      <c r="OTE27" s="613">
        <f t="shared" ref="OTE27" si="5342">OTC27*$C$27</f>
        <v>5.4477057231301344E+27</v>
      </c>
      <c r="OTG27" s="613">
        <f t="shared" ref="OTG27" si="5343">OTE27*$C$27</f>
        <v>5.5021827803614356E+27</v>
      </c>
      <c r="OTI27" s="613">
        <f t="shared" ref="OTI27" si="5344">OTG27*$C$27</f>
        <v>5.5572046081650504E+27</v>
      </c>
      <c r="OTK27" s="613">
        <f t="shared" ref="OTK27" si="5345">OTI27*$C$27</f>
        <v>5.6127766542467007E+27</v>
      </c>
      <c r="OTM27" s="613">
        <f t="shared" ref="OTM27" si="5346">OTK27*$C$27</f>
        <v>5.6689044207891682E+27</v>
      </c>
      <c r="OTO27" s="613">
        <f t="shared" ref="OTO27" si="5347">OTM27*$C$27</f>
        <v>5.7255934649970601E+27</v>
      </c>
      <c r="OTQ27" s="613">
        <f t="shared" ref="OTQ27" si="5348">OTO27*$C$27</f>
        <v>5.7828493996470304E+27</v>
      </c>
      <c r="OTS27" s="613">
        <f t="shared" ref="OTS27" si="5349">OTQ27*$C$27</f>
        <v>5.8406778936435003E+27</v>
      </c>
      <c r="OTU27" s="613">
        <f t="shared" ref="OTU27" si="5350">OTS27*$C$27</f>
        <v>5.899084672579935E+27</v>
      </c>
      <c r="OTW27" s="613">
        <f t="shared" ref="OTW27" si="5351">OTU27*$C$27</f>
        <v>5.9580755193057339E+27</v>
      </c>
      <c r="OTY27" s="613">
        <f t="shared" ref="OTY27" si="5352">OTW27*$C$27</f>
        <v>6.0176562744987918E+27</v>
      </c>
      <c r="OUA27" s="613">
        <f t="shared" ref="OUA27" si="5353">OTY27*$C$27</f>
        <v>6.07783283724378E+27</v>
      </c>
      <c r="OUC27" s="613">
        <f t="shared" ref="OUC27" si="5354">OUA27*$C$27</f>
        <v>6.1386111656162174E+27</v>
      </c>
      <c r="OUE27" s="613">
        <f t="shared" ref="OUE27" si="5355">OUC27*$C$27</f>
        <v>6.1999972772723797E+27</v>
      </c>
      <c r="OUG27" s="613">
        <f t="shared" ref="OUG27" si="5356">OUE27*$C$27</f>
        <v>6.2619972500451033E+27</v>
      </c>
      <c r="OUI27" s="613">
        <f t="shared" ref="OUI27" si="5357">OUG27*$C$27</f>
        <v>6.3246172225455547E+27</v>
      </c>
      <c r="OUK27" s="613">
        <f t="shared" ref="OUK27" si="5358">OUI27*$C$27</f>
        <v>6.3878633947710103E+27</v>
      </c>
      <c r="OUM27" s="613">
        <f t="shared" ref="OUM27" si="5359">OUK27*$C$27</f>
        <v>6.4517420287187208E+27</v>
      </c>
      <c r="OUO27" s="613">
        <f t="shared" ref="OUO27" si="5360">OUM27*$C$27</f>
        <v>6.516259449005908E+27</v>
      </c>
      <c r="OUQ27" s="613">
        <f t="shared" ref="OUQ27" si="5361">OUO27*$C$27</f>
        <v>6.5814220434959676E+27</v>
      </c>
      <c r="OUS27" s="613">
        <f t="shared" ref="OUS27" si="5362">OUQ27*$C$27</f>
        <v>6.6472362639309268E+27</v>
      </c>
      <c r="OUU27" s="613">
        <f t="shared" ref="OUU27" si="5363">OUS27*$C$27</f>
        <v>6.7137086265702366E+27</v>
      </c>
      <c r="OUW27" s="613">
        <f t="shared" ref="OUW27" si="5364">OUU27*$C$27</f>
        <v>6.7808457128359386E+27</v>
      </c>
      <c r="OUY27" s="613">
        <f t="shared" ref="OUY27" si="5365">OUW27*$C$27</f>
        <v>6.8486541699642985E+27</v>
      </c>
      <c r="OVA27" s="613">
        <f t="shared" ref="OVA27" si="5366">OUY27*$C$27</f>
        <v>6.9171407116639414E+27</v>
      </c>
      <c r="OVC27" s="613">
        <f t="shared" ref="OVC27" si="5367">OVA27*$C$27</f>
        <v>6.9863121187805811E+27</v>
      </c>
      <c r="OVE27" s="613">
        <f t="shared" ref="OVE27" si="5368">OVC27*$C$27</f>
        <v>7.0561752399683865E+27</v>
      </c>
      <c r="OVG27" s="613">
        <f t="shared" ref="OVG27" si="5369">OVE27*$C$27</f>
        <v>7.1267369923680707E+27</v>
      </c>
      <c r="OVI27" s="613">
        <f t="shared" ref="OVI27" si="5370">OVG27*$C$27</f>
        <v>7.1980043622917515E+27</v>
      </c>
      <c r="OVK27" s="613">
        <f t="shared" ref="OVK27" si="5371">OVI27*$C$27</f>
        <v>7.2699844059146693E+27</v>
      </c>
      <c r="OVM27" s="613">
        <f t="shared" ref="OVM27" si="5372">OVK27*$C$27</f>
        <v>7.342684249973816E+27</v>
      </c>
      <c r="OVO27" s="613">
        <f t="shared" ref="OVO27" si="5373">OVM27*$C$27</f>
        <v>7.416111092473554E+27</v>
      </c>
      <c r="OVQ27" s="613">
        <f t="shared" ref="OVQ27" si="5374">OVO27*$C$27</f>
        <v>7.4902722033982891E+27</v>
      </c>
      <c r="OVS27" s="613">
        <f t="shared" ref="OVS27" si="5375">OVQ27*$C$27</f>
        <v>7.5651749254322722E+27</v>
      </c>
      <c r="OVU27" s="613">
        <f t="shared" ref="OVU27" si="5376">OVS27*$C$27</f>
        <v>7.6408266746865953E+27</v>
      </c>
      <c r="OVW27" s="613">
        <f t="shared" ref="OVW27" si="5377">OVU27*$C$27</f>
        <v>7.7172349414334611E+27</v>
      </c>
      <c r="OVY27" s="613">
        <f t="shared" ref="OVY27" si="5378">OVW27*$C$27</f>
        <v>7.7944072908477963E+27</v>
      </c>
      <c r="OWA27" s="613">
        <f t="shared" ref="OWA27" si="5379">OVY27*$C$27</f>
        <v>7.8723513637562747E+27</v>
      </c>
      <c r="OWC27" s="613">
        <f t="shared" ref="OWC27" si="5380">OWA27*$C$27</f>
        <v>7.9510748773938373E+27</v>
      </c>
      <c r="OWE27" s="613">
        <f t="shared" ref="OWE27" si="5381">OWC27*$C$27</f>
        <v>8.0305856261677753E+27</v>
      </c>
      <c r="OWG27" s="613">
        <f t="shared" ref="OWG27" si="5382">OWE27*$C$27</f>
        <v>8.1108914824294528E+27</v>
      </c>
      <c r="OWI27" s="613">
        <f t="shared" ref="OWI27" si="5383">OWG27*$C$27</f>
        <v>8.1920003972537478E+27</v>
      </c>
      <c r="OWK27" s="613">
        <f t="shared" ref="OWK27" si="5384">OWI27*$C$27</f>
        <v>8.2739204012262852E+27</v>
      </c>
      <c r="OWM27" s="613">
        <f t="shared" ref="OWM27" si="5385">OWK27*$C$27</f>
        <v>8.3566596052385486E+27</v>
      </c>
      <c r="OWO27" s="613">
        <f t="shared" ref="OWO27" si="5386">OWM27*$C$27</f>
        <v>8.440226201290934E+27</v>
      </c>
      <c r="OWQ27" s="613">
        <f t="shared" ref="OWQ27" si="5387">OWO27*$C$27</f>
        <v>8.5246284633038439E+27</v>
      </c>
      <c r="OWS27" s="613">
        <f t="shared" ref="OWS27" si="5388">OWQ27*$C$27</f>
        <v>8.6098747479368829E+27</v>
      </c>
      <c r="OWU27" s="613">
        <f t="shared" ref="OWU27" si="5389">OWS27*$C$27</f>
        <v>8.6959734954162515E+27</v>
      </c>
      <c r="OWW27" s="613">
        <f t="shared" ref="OWW27" si="5390">OWU27*$C$27</f>
        <v>8.7829332303704141E+27</v>
      </c>
      <c r="OWY27" s="613">
        <f t="shared" ref="OWY27" si="5391">OWW27*$C$27</f>
        <v>8.8707625626741185E+27</v>
      </c>
      <c r="OXA27" s="613">
        <f t="shared" ref="OXA27" si="5392">OWY27*$C$27</f>
        <v>8.9594701883008601E+27</v>
      </c>
      <c r="OXC27" s="613">
        <f t="shared" ref="OXC27" si="5393">OXA27*$C$27</f>
        <v>9.0490648901838684E+27</v>
      </c>
      <c r="OXE27" s="613">
        <f t="shared" ref="OXE27" si="5394">OXC27*$C$27</f>
        <v>9.1395555390857076E+27</v>
      </c>
      <c r="OXG27" s="613">
        <f t="shared" ref="OXG27" si="5395">OXE27*$C$27</f>
        <v>9.230951094476565E+27</v>
      </c>
      <c r="OXI27" s="613">
        <f t="shared" ref="OXI27" si="5396">OXG27*$C$27</f>
        <v>9.3232606054213312E+27</v>
      </c>
      <c r="OXK27" s="613">
        <f t="shared" ref="OXK27" si="5397">OXI27*$C$27</f>
        <v>9.4164932114755449E+27</v>
      </c>
      <c r="OXM27" s="613">
        <f t="shared" ref="OXM27" si="5398">OXK27*$C$27</f>
        <v>9.5106581435903009E+27</v>
      </c>
      <c r="OXO27" s="613">
        <f t="shared" ref="OXO27" si="5399">OXM27*$C$27</f>
        <v>9.6057647250262035E+27</v>
      </c>
      <c r="OXQ27" s="613">
        <f t="shared" ref="OXQ27" si="5400">OXO27*$C$27</f>
        <v>9.7018223722764653E+27</v>
      </c>
      <c r="OXS27" s="613">
        <f t="shared" ref="OXS27" si="5401">OXQ27*$C$27</f>
        <v>9.7988405959992299E+27</v>
      </c>
      <c r="OXU27" s="613">
        <f t="shared" ref="OXU27" si="5402">OXS27*$C$27</f>
        <v>9.8968290019592224E+27</v>
      </c>
      <c r="OXW27" s="613">
        <f t="shared" ref="OXW27" si="5403">OXU27*$C$27</f>
        <v>9.995797291978815E+27</v>
      </c>
      <c r="OXY27" s="613">
        <f t="shared" ref="OXY27" si="5404">OXW27*$C$27</f>
        <v>1.0095755264898604E+28</v>
      </c>
      <c r="OYA27" s="613">
        <f t="shared" ref="OYA27" si="5405">OXY27*$C$27</f>
        <v>1.019671281754759E+28</v>
      </c>
      <c r="OYC27" s="613">
        <f t="shared" ref="OYC27" si="5406">OYA27*$C$27</f>
        <v>1.0298679945723065E+28</v>
      </c>
      <c r="OYE27" s="613">
        <f t="shared" ref="OYE27" si="5407">OYC27*$C$27</f>
        <v>1.0401666745180296E+28</v>
      </c>
      <c r="OYG27" s="613">
        <f t="shared" ref="OYG27" si="5408">OYE27*$C$27</f>
        <v>1.0505683412632099E+28</v>
      </c>
      <c r="OYI27" s="613">
        <f t="shared" ref="OYI27" si="5409">OYG27*$C$27</f>
        <v>1.061074024675842E+28</v>
      </c>
      <c r="OYK27" s="613">
        <f t="shared" ref="OYK27" si="5410">OYI27*$C$27</f>
        <v>1.0716847649226004E+28</v>
      </c>
      <c r="OYM27" s="613">
        <f t="shared" ref="OYM27" si="5411">OYK27*$C$27</f>
        <v>1.0824016125718265E+28</v>
      </c>
      <c r="OYO27" s="613">
        <f t="shared" ref="OYO27" si="5412">OYM27*$C$27</f>
        <v>1.0932256286975449E+28</v>
      </c>
      <c r="OYQ27" s="613">
        <f t="shared" ref="OYQ27" si="5413">OYO27*$C$27</f>
        <v>1.1041578849845204E+28</v>
      </c>
      <c r="OYS27" s="613">
        <f t="shared" ref="OYS27" si="5414">OYQ27*$C$27</f>
        <v>1.1151994638343656E+28</v>
      </c>
      <c r="OYU27" s="613">
        <f t="shared" ref="OYU27" si="5415">OYS27*$C$27</f>
        <v>1.1263514584727092E+28</v>
      </c>
      <c r="OYW27" s="613">
        <f t="shared" ref="OYW27" si="5416">OYU27*$C$27</f>
        <v>1.1376149730574363E+28</v>
      </c>
      <c r="OYY27" s="613">
        <f t="shared" ref="OYY27" si="5417">OYW27*$C$27</f>
        <v>1.1489911227880107E+28</v>
      </c>
      <c r="OZA27" s="613">
        <f t="shared" ref="OZA27" si="5418">OYY27*$C$27</f>
        <v>1.1604810340158908E+28</v>
      </c>
      <c r="OZC27" s="613">
        <f t="shared" ref="OZC27" si="5419">OZA27*$C$27</f>
        <v>1.1720858443560497E+28</v>
      </c>
      <c r="OZE27" s="613">
        <f t="shared" ref="OZE27" si="5420">OZC27*$C$27</f>
        <v>1.1838067027996102E+28</v>
      </c>
      <c r="OZG27" s="613">
        <f t="shared" ref="OZG27" si="5421">OZE27*$C$27</f>
        <v>1.1956447698276063E+28</v>
      </c>
      <c r="OZI27" s="613">
        <f t="shared" ref="OZI27" si="5422">OZG27*$C$27</f>
        <v>1.2076012175258823E+28</v>
      </c>
      <c r="OZK27" s="613">
        <f t="shared" ref="OZK27" si="5423">OZI27*$C$27</f>
        <v>1.2196772297011411E+28</v>
      </c>
      <c r="OZM27" s="613">
        <f t="shared" ref="OZM27" si="5424">OZK27*$C$27</f>
        <v>1.2318740019981526E+28</v>
      </c>
      <c r="OZO27" s="613">
        <f t="shared" ref="OZO27" si="5425">OZM27*$C$27</f>
        <v>1.2441927420181342E+28</v>
      </c>
      <c r="OZQ27" s="613">
        <f t="shared" ref="OZQ27" si="5426">OZO27*$C$27</f>
        <v>1.2566346694383155E+28</v>
      </c>
      <c r="OZS27" s="613">
        <f t="shared" ref="OZS27" si="5427">OZQ27*$C$27</f>
        <v>1.2692010161326986E+28</v>
      </c>
      <c r="OZU27" s="613">
        <f t="shared" ref="OZU27" si="5428">OZS27*$C$27</f>
        <v>1.2818930262940255E+28</v>
      </c>
      <c r="OZW27" s="613">
        <f t="shared" ref="OZW27" si="5429">OZU27*$C$27</f>
        <v>1.2947119565569658E+28</v>
      </c>
      <c r="OZY27" s="613">
        <f t="shared" ref="OZY27" si="5430">OZW27*$C$27</f>
        <v>1.3076590761225354E+28</v>
      </c>
      <c r="PAA27" s="613">
        <f t="shared" ref="PAA27" si="5431">OZY27*$C$27</f>
        <v>1.3207356668837607E+28</v>
      </c>
      <c r="PAC27" s="613">
        <f t="shared" ref="PAC27" si="5432">PAA27*$C$27</f>
        <v>1.3339430235525983E+28</v>
      </c>
      <c r="PAE27" s="613">
        <f t="shared" ref="PAE27" si="5433">PAC27*$C$27</f>
        <v>1.3472824537881242E+28</v>
      </c>
      <c r="PAG27" s="613">
        <f t="shared" ref="PAG27" si="5434">PAE27*$C$27</f>
        <v>1.3607552783260056E+28</v>
      </c>
      <c r="PAI27" s="613">
        <f t="shared" ref="PAI27" si="5435">PAG27*$C$27</f>
        <v>1.3743628311092655E+28</v>
      </c>
      <c r="PAK27" s="613">
        <f t="shared" ref="PAK27" si="5436">PAI27*$C$27</f>
        <v>1.3881064594203582E+28</v>
      </c>
      <c r="PAM27" s="613">
        <f t="shared" ref="PAM27" si="5437">PAK27*$C$27</f>
        <v>1.4019875240145619E+28</v>
      </c>
      <c r="PAO27" s="613">
        <f t="shared" ref="PAO27" si="5438">PAM27*$C$27</f>
        <v>1.4160073992547076E+28</v>
      </c>
      <c r="PAQ27" s="613">
        <f t="shared" ref="PAQ27" si="5439">PAO27*$C$27</f>
        <v>1.4301674732472547E+28</v>
      </c>
      <c r="PAS27" s="613">
        <f t="shared" ref="PAS27" si="5440">PAQ27*$C$27</f>
        <v>1.4444691479797273E+28</v>
      </c>
      <c r="PAU27" s="613">
        <f t="shared" ref="PAU27" si="5441">PAS27*$C$27</f>
        <v>1.4589138394595246E+28</v>
      </c>
      <c r="PAW27" s="613">
        <f t="shared" ref="PAW27" si="5442">PAU27*$C$27</f>
        <v>1.4735029778541198E+28</v>
      </c>
      <c r="PAY27" s="613">
        <f t="shared" ref="PAY27" si="5443">PAW27*$C$27</f>
        <v>1.4882380076326611E+28</v>
      </c>
      <c r="PBA27" s="613">
        <f t="shared" ref="PBA27" si="5444">PAY27*$C$27</f>
        <v>1.5031203877089877E+28</v>
      </c>
      <c r="PBC27" s="613">
        <f t="shared" ref="PBC27" si="5445">PBA27*$C$27</f>
        <v>1.5181515915860776E+28</v>
      </c>
      <c r="PBE27" s="613">
        <f t="shared" ref="PBE27" si="5446">PBC27*$C$27</f>
        <v>1.5333331075019384E+28</v>
      </c>
      <c r="PBG27" s="613">
        <f t="shared" ref="PBG27" si="5447">PBE27*$C$27</f>
        <v>1.5486664385769579E+28</v>
      </c>
      <c r="PBI27" s="613">
        <f t="shared" ref="PBI27" si="5448">PBG27*$C$27</f>
        <v>1.5641531029627275E+28</v>
      </c>
      <c r="PBK27" s="613">
        <f t="shared" ref="PBK27" si="5449">PBI27*$C$27</f>
        <v>1.5797946339923547E+28</v>
      </c>
      <c r="PBM27" s="613">
        <f t="shared" ref="PBM27" si="5450">PBK27*$C$27</f>
        <v>1.5955925803322784E+28</v>
      </c>
      <c r="PBO27" s="613">
        <f t="shared" ref="PBO27" si="5451">PBM27*$C$27</f>
        <v>1.6115485061356012E+28</v>
      </c>
      <c r="PBQ27" s="613">
        <f t="shared" ref="PBQ27" si="5452">PBO27*$C$27</f>
        <v>1.6276639911969571E+28</v>
      </c>
      <c r="PBS27" s="613">
        <f t="shared" ref="PBS27" si="5453">PBQ27*$C$27</f>
        <v>1.6439406311089268E+28</v>
      </c>
      <c r="PBU27" s="613">
        <f t="shared" ref="PBU27" si="5454">PBS27*$C$27</f>
        <v>1.6603800374200161E+28</v>
      </c>
      <c r="PBW27" s="613">
        <f t="shared" ref="PBW27" si="5455">PBU27*$C$27</f>
        <v>1.6769838377942163E+28</v>
      </c>
      <c r="PBY27" s="613">
        <f t="shared" ref="PBY27" si="5456">PBW27*$C$27</f>
        <v>1.6937536761721585E+28</v>
      </c>
      <c r="PCA27" s="613">
        <f t="shared" ref="PCA27" si="5457">PBY27*$C$27</f>
        <v>1.7106912129338801E+28</v>
      </c>
      <c r="PCC27" s="613">
        <f t="shared" ref="PCC27" si="5458">PCA27*$C$27</f>
        <v>1.7277981250632189E+28</v>
      </c>
      <c r="PCE27" s="613">
        <f t="shared" ref="PCE27" si="5459">PCC27*$C$27</f>
        <v>1.7450761063138511E+28</v>
      </c>
      <c r="PCG27" s="613">
        <f t="shared" ref="PCG27" si="5460">PCE27*$C$27</f>
        <v>1.7625268673769896E+28</v>
      </c>
      <c r="PCI27" s="613">
        <f t="shared" ref="PCI27" si="5461">PCG27*$C$27</f>
        <v>1.7801521360507596E+28</v>
      </c>
      <c r="PCK27" s="613">
        <f t="shared" ref="PCK27" si="5462">PCI27*$C$27</f>
        <v>1.7979536574112671E+28</v>
      </c>
      <c r="PCM27" s="613">
        <f t="shared" ref="PCM27" si="5463">PCK27*$C$27</f>
        <v>1.8159331939853798E+28</v>
      </c>
      <c r="PCO27" s="613">
        <f t="shared" ref="PCO27" si="5464">PCM27*$C$27</f>
        <v>1.8340925259252336E+28</v>
      </c>
      <c r="PCQ27" s="613">
        <f t="shared" ref="PCQ27" si="5465">PCO27*$C$27</f>
        <v>1.8524334511844859E+28</v>
      </c>
      <c r="PCS27" s="613">
        <f t="shared" ref="PCS27" si="5466">PCQ27*$C$27</f>
        <v>1.8709577856963308E+28</v>
      </c>
      <c r="PCU27" s="613">
        <f t="shared" ref="PCU27" si="5467">PCS27*$C$27</f>
        <v>1.8896673635532941E+28</v>
      </c>
      <c r="PCW27" s="613">
        <f t="shared" ref="PCW27" si="5468">PCU27*$C$27</f>
        <v>1.9085640371888271E+28</v>
      </c>
      <c r="PCY27" s="613">
        <f t="shared" ref="PCY27" si="5469">PCW27*$C$27</f>
        <v>1.9276496775607153E+28</v>
      </c>
      <c r="PDA27" s="613">
        <f t="shared" ref="PDA27" si="5470">PCY27*$C$27</f>
        <v>1.9469261743363224E+28</v>
      </c>
      <c r="PDC27" s="613">
        <f t="shared" ref="PDC27" si="5471">PDA27*$C$27</f>
        <v>1.9663954360796856E+28</v>
      </c>
      <c r="PDE27" s="613">
        <f t="shared" ref="PDE27" si="5472">PDC27*$C$27</f>
        <v>1.9860593904404826E+28</v>
      </c>
      <c r="PDG27" s="613">
        <f t="shared" ref="PDG27" si="5473">PDE27*$C$27</f>
        <v>2.0059199843448876E+28</v>
      </c>
      <c r="PDI27" s="613">
        <f t="shared" ref="PDI27" si="5474">PDG27*$C$27</f>
        <v>2.0259791841883366E+28</v>
      </c>
      <c r="PDK27" s="613">
        <f t="shared" ref="PDK27" si="5475">PDI27*$C$27</f>
        <v>2.0462389760302198E+28</v>
      </c>
      <c r="PDM27" s="613">
        <f t="shared" ref="PDM27" si="5476">PDK27*$C$27</f>
        <v>2.0667013657905221E+28</v>
      </c>
      <c r="PDO27" s="613">
        <f t="shared" ref="PDO27" si="5477">PDM27*$C$27</f>
        <v>2.0873683794484274E+28</v>
      </c>
      <c r="PDQ27" s="613">
        <f t="shared" ref="PDQ27" si="5478">PDO27*$C$27</f>
        <v>2.1082420632429116E+28</v>
      </c>
      <c r="PDS27" s="613">
        <f t="shared" ref="PDS27" si="5479">PDQ27*$C$27</f>
        <v>2.1293244838753406E+28</v>
      </c>
      <c r="PDU27" s="613">
        <f t="shared" ref="PDU27" si="5480">PDS27*$C$27</f>
        <v>2.150617728714094E+28</v>
      </c>
      <c r="PDW27" s="613">
        <f t="shared" ref="PDW27" si="5481">PDU27*$C$27</f>
        <v>2.172123906001235E+28</v>
      </c>
      <c r="PDY27" s="613">
        <f t="shared" ref="PDY27" si="5482">PDW27*$C$27</f>
        <v>2.1938451450612473E+28</v>
      </c>
      <c r="PEA27" s="613">
        <f t="shared" ref="PEA27" si="5483">PDY27*$C$27</f>
        <v>2.2157835965118599E+28</v>
      </c>
      <c r="PEC27" s="613">
        <f t="shared" ref="PEC27" si="5484">PEA27*$C$27</f>
        <v>2.2379414324769787E+28</v>
      </c>
      <c r="PEE27" s="613">
        <f t="shared" ref="PEE27" si="5485">PEC27*$C$27</f>
        <v>2.2603208468017484E+28</v>
      </c>
      <c r="PEG27" s="613">
        <f t="shared" ref="PEG27" si="5486">PEE27*$C$27</f>
        <v>2.2829240552697658E+28</v>
      </c>
      <c r="PEI27" s="613">
        <f t="shared" ref="PEI27" si="5487">PEG27*$C$27</f>
        <v>2.3057532958224637E+28</v>
      </c>
      <c r="PEK27" s="613">
        <f t="shared" ref="PEK27" si="5488">PEI27*$C$27</f>
        <v>2.3288108287806884E+28</v>
      </c>
      <c r="PEM27" s="613">
        <f t="shared" ref="PEM27" si="5489">PEK27*$C$27</f>
        <v>2.352098937068495E+28</v>
      </c>
      <c r="PEO27" s="613">
        <f t="shared" ref="PEO27" si="5490">PEM27*$C$27</f>
        <v>2.3756199264391799E+28</v>
      </c>
      <c r="PEQ27" s="613">
        <f t="shared" ref="PEQ27" si="5491">PEO27*$C$27</f>
        <v>2.3993761257035718E+28</v>
      </c>
      <c r="PES27" s="613">
        <f t="shared" ref="PES27" si="5492">PEQ27*$C$27</f>
        <v>2.4233698869606074E+28</v>
      </c>
      <c r="PEU27" s="613">
        <f t="shared" ref="PEU27" si="5493">PES27*$C$27</f>
        <v>2.4476035858302133E+28</v>
      </c>
      <c r="PEW27" s="613">
        <f t="shared" ref="PEW27" si="5494">PEU27*$C$27</f>
        <v>2.4720796216885154E+28</v>
      </c>
      <c r="PEY27" s="613">
        <f t="shared" ref="PEY27" si="5495">PEW27*$C$27</f>
        <v>2.4968004179054005E+28</v>
      </c>
      <c r="PFA27" s="613">
        <f t="shared" ref="PFA27" si="5496">PEY27*$C$27</f>
        <v>2.5217684220844545E+28</v>
      </c>
      <c r="PFC27" s="613">
        <f t="shared" ref="PFC27" si="5497">PFA27*$C$27</f>
        <v>2.546986106305299E+28</v>
      </c>
      <c r="PFE27" s="613">
        <f t="shared" ref="PFE27" si="5498">PFC27*$C$27</f>
        <v>2.5724559673683519E+28</v>
      </c>
      <c r="PFG27" s="613">
        <f t="shared" ref="PFG27" si="5499">PFE27*$C$27</f>
        <v>2.5981805270420355E+28</v>
      </c>
      <c r="PFI27" s="613">
        <f t="shared" ref="PFI27" si="5500">PFG27*$C$27</f>
        <v>2.6241623323124558E+28</v>
      </c>
      <c r="PFK27" s="613">
        <f t="shared" ref="PFK27" si="5501">PFI27*$C$27</f>
        <v>2.6504039556355805E+28</v>
      </c>
      <c r="PFM27" s="613">
        <f t="shared" ref="PFM27" si="5502">PFK27*$C$27</f>
        <v>2.6769079951919362E+28</v>
      </c>
      <c r="PFO27" s="613">
        <f t="shared" ref="PFO27" si="5503">PFM27*$C$27</f>
        <v>2.7036770751438553E+28</v>
      </c>
      <c r="PFQ27" s="613">
        <f t="shared" ref="PFQ27" si="5504">PFO27*$C$27</f>
        <v>2.7307138458952941E+28</v>
      </c>
      <c r="PFS27" s="613">
        <f t="shared" ref="PFS27" si="5505">PFQ27*$C$27</f>
        <v>2.7580209843542472E+28</v>
      </c>
      <c r="PFU27" s="613">
        <f t="shared" ref="PFU27" si="5506">PFS27*$C$27</f>
        <v>2.7856011941977898E+28</v>
      </c>
      <c r="PFW27" s="613">
        <f t="shared" ref="PFW27" si="5507">PFU27*$C$27</f>
        <v>2.8134572061397678E+28</v>
      </c>
      <c r="PFY27" s="613">
        <f t="shared" ref="PFY27" si="5508">PFW27*$C$27</f>
        <v>2.8415917782011657E+28</v>
      </c>
      <c r="PGA27" s="613">
        <f t="shared" ref="PGA27" si="5509">PFY27*$C$27</f>
        <v>2.8700076959831774E+28</v>
      </c>
      <c r="PGC27" s="613">
        <f t="shared" ref="PGC27" si="5510">PGA27*$C$27</f>
        <v>2.8987077729430093E+28</v>
      </c>
      <c r="PGE27" s="613">
        <f t="shared" ref="PGE27" si="5511">PGC27*$C$27</f>
        <v>2.9276948506724395E+28</v>
      </c>
      <c r="PGG27" s="613">
        <f t="shared" ref="PGG27" si="5512">PGE27*$C$27</f>
        <v>2.956971799179164E+28</v>
      </c>
      <c r="PGI27" s="613">
        <f t="shared" ref="PGI27" si="5513">PGG27*$C$27</f>
        <v>2.9865415171709555E+28</v>
      </c>
      <c r="PGK27" s="613">
        <f t="shared" ref="PGK27" si="5514">PGI27*$C$27</f>
        <v>3.0164069323426652E+28</v>
      </c>
      <c r="PGM27" s="613">
        <f t="shared" ref="PGM27" si="5515">PGK27*$C$27</f>
        <v>3.046571001666092E+28</v>
      </c>
      <c r="PGO27" s="613">
        <f t="shared" ref="PGO27" si="5516">PGM27*$C$27</f>
        <v>3.077036711682753E+28</v>
      </c>
      <c r="PGQ27" s="613">
        <f t="shared" ref="PGQ27" si="5517">PGO27*$C$27</f>
        <v>3.1078070787995803E+28</v>
      </c>
      <c r="PGS27" s="613">
        <f t="shared" ref="PGS27" si="5518">PGQ27*$C$27</f>
        <v>3.1388851495875764E+28</v>
      </c>
      <c r="PGU27" s="613">
        <f t="shared" ref="PGU27" si="5519">PGS27*$C$27</f>
        <v>3.1702740010834523E+28</v>
      </c>
      <c r="PGW27" s="613">
        <f t="shared" ref="PGW27" si="5520">PGU27*$C$27</f>
        <v>3.201976741094287E+28</v>
      </c>
      <c r="PGY27" s="613">
        <f t="shared" ref="PGY27" si="5521">PGW27*$C$27</f>
        <v>3.2339965085052298E+28</v>
      </c>
      <c r="PHA27" s="613">
        <f t="shared" ref="PHA27" si="5522">PGY27*$C$27</f>
        <v>3.266336473590282E+28</v>
      </c>
      <c r="PHC27" s="613">
        <f t="shared" ref="PHC27" si="5523">PHA27*$C$27</f>
        <v>3.2989998383261849E+28</v>
      </c>
      <c r="PHE27" s="613">
        <f t="shared" ref="PHE27" si="5524">PHC27*$C$27</f>
        <v>3.3319898367094466E+28</v>
      </c>
      <c r="PHG27" s="613">
        <f t="shared" ref="PHG27" si="5525">PHE27*$C$27</f>
        <v>3.365309735076541E+28</v>
      </c>
      <c r="PHI27" s="613">
        <f t="shared" ref="PHI27" si="5526">PHG27*$C$27</f>
        <v>3.3989628324273063E+28</v>
      </c>
      <c r="PHK27" s="613">
        <f t="shared" ref="PHK27" si="5527">PHI27*$C$27</f>
        <v>3.4329524607515796E+28</v>
      </c>
      <c r="PHM27" s="613">
        <f t="shared" ref="PHM27" si="5528">PHK27*$C$27</f>
        <v>3.4672819853590956E+28</v>
      </c>
      <c r="PHO27" s="613">
        <f t="shared" ref="PHO27" si="5529">PHM27*$C$27</f>
        <v>3.5019548052126868E+28</v>
      </c>
      <c r="PHQ27" s="613">
        <f t="shared" ref="PHQ27" si="5530">PHO27*$C$27</f>
        <v>3.5369743532648138E+28</v>
      </c>
      <c r="PHS27" s="613">
        <f t="shared" ref="PHS27" si="5531">PHQ27*$C$27</f>
        <v>3.572344096797462E+28</v>
      </c>
      <c r="PHU27" s="613">
        <f t="shared" ref="PHU27" si="5532">PHS27*$C$27</f>
        <v>3.6080675377654365E+28</v>
      </c>
      <c r="PHW27" s="613">
        <f t="shared" ref="PHW27" si="5533">PHU27*$C$27</f>
        <v>3.6441482131430909E+28</v>
      </c>
      <c r="PHY27" s="613">
        <f t="shared" ref="PHY27" si="5534">PHW27*$C$27</f>
        <v>3.6805896952745218E+28</v>
      </c>
      <c r="PIA27" s="613">
        <f t="shared" ref="PIA27" si="5535">PHY27*$C$27</f>
        <v>3.7173955922272668E+28</v>
      </c>
      <c r="PIC27" s="613">
        <f t="shared" ref="PIC27" si="5536">PIA27*$C$27</f>
        <v>3.7545695481495393E+28</v>
      </c>
      <c r="PIE27" s="613">
        <f t="shared" ref="PIE27" si="5537">PIC27*$C$27</f>
        <v>3.7921152436310349E+28</v>
      </c>
      <c r="PIG27" s="613">
        <f t="shared" ref="PIG27" si="5538">PIE27*$C$27</f>
        <v>3.8300363960673454E+28</v>
      </c>
      <c r="PII27" s="613">
        <f t="shared" ref="PII27" si="5539">PIG27*$C$27</f>
        <v>3.8683367600280188E+28</v>
      </c>
      <c r="PIK27" s="613">
        <f t="shared" ref="PIK27" si="5540">PII27*$C$27</f>
        <v>3.9070201276282992E+28</v>
      </c>
      <c r="PIM27" s="613">
        <f t="shared" ref="PIM27" si="5541">PIK27*$C$27</f>
        <v>3.9460903289045821E+28</v>
      </c>
      <c r="PIO27" s="613">
        <f t="shared" ref="PIO27" si="5542">PIM27*$C$27</f>
        <v>3.985551232193628E+28</v>
      </c>
      <c r="PIQ27" s="613">
        <f t="shared" ref="PIQ27" si="5543">PIO27*$C$27</f>
        <v>4.025406744515564E+28</v>
      </c>
      <c r="PIS27" s="613">
        <f t="shared" ref="PIS27" si="5544">PIQ27*$C$27</f>
        <v>4.0656608119607197E+28</v>
      </c>
      <c r="PIU27" s="613">
        <f t="shared" ref="PIU27" si="5545">PIS27*$C$27</f>
        <v>4.1063174200803267E+28</v>
      </c>
      <c r="PIW27" s="613">
        <f t="shared" ref="PIW27" si="5546">PIU27*$C$27</f>
        <v>4.1473805942811302E+28</v>
      </c>
      <c r="PIY27" s="613">
        <f t="shared" ref="PIY27" si="5547">PIW27*$C$27</f>
        <v>4.1888544002239417E+28</v>
      </c>
      <c r="PJA27" s="613">
        <f t="shared" ref="PJA27" si="5548">PIY27*$C$27</f>
        <v>4.2307429442261814E+28</v>
      </c>
      <c r="PJC27" s="613">
        <f t="shared" ref="PJC27" si="5549">PJA27*$C$27</f>
        <v>4.2730503736684429E+28</v>
      </c>
      <c r="PJE27" s="613">
        <f t="shared" ref="PJE27" si="5550">PJC27*$C$27</f>
        <v>4.3157808774051277E+28</v>
      </c>
      <c r="PJG27" s="613">
        <f t="shared" ref="PJG27" si="5551">PJE27*$C$27</f>
        <v>4.358938686179179E+28</v>
      </c>
      <c r="PJI27" s="613">
        <f t="shared" ref="PJI27" si="5552">PJG27*$C$27</f>
        <v>4.4025280730409711E+28</v>
      </c>
      <c r="PJK27" s="613">
        <f t="shared" ref="PJK27" si="5553">PJI27*$C$27</f>
        <v>4.446553353771381E+28</v>
      </c>
      <c r="PJM27" s="613">
        <f t="shared" ref="PJM27" si="5554">PJK27*$C$27</f>
        <v>4.4910188873090944E+28</v>
      </c>
      <c r="PJO27" s="613">
        <f t="shared" ref="PJO27" si="5555">PJM27*$C$27</f>
        <v>4.5359290761821852E+28</v>
      </c>
      <c r="PJQ27" s="613">
        <f t="shared" ref="PJQ27" si="5556">PJO27*$C$27</f>
        <v>4.5812883669440067E+28</v>
      </c>
      <c r="PJS27" s="613">
        <f t="shared" ref="PJS27" si="5557">PJQ27*$C$27</f>
        <v>4.6271012506134467E+28</v>
      </c>
      <c r="PJU27" s="613">
        <f t="shared" ref="PJU27" si="5558">PJS27*$C$27</f>
        <v>4.6733722631195814E+28</v>
      </c>
      <c r="PJW27" s="613">
        <f t="shared" ref="PJW27" si="5559">PJU27*$C$27</f>
        <v>4.7201059857507775E+28</v>
      </c>
      <c r="PJY27" s="613">
        <f t="shared" ref="PJY27" si="5560">PJW27*$C$27</f>
        <v>4.7673070456082855E+28</v>
      </c>
      <c r="PKA27" s="613">
        <f t="shared" ref="PKA27" si="5561">PJY27*$C$27</f>
        <v>4.8149801160643687E+28</v>
      </c>
      <c r="PKC27" s="613">
        <f t="shared" ref="PKC27" si="5562">PKA27*$C$27</f>
        <v>4.8631299172250126E+28</v>
      </c>
      <c r="PKE27" s="613">
        <f t="shared" ref="PKE27" si="5563">PKC27*$C$27</f>
        <v>4.9117612163972631E+28</v>
      </c>
      <c r="PKG27" s="613">
        <f t="shared" ref="PKG27" si="5564">PKE27*$C$27</f>
        <v>4.9608788285612354E+28</v>
      </c>
      <c r="PKI27" s="613">
        <f t="shared" ref="PKI27" si="5565">PKG27*$C$27</f>
        <v>5.0104876168468476E+28</v>
      </c>
      <c r="PKK27" s="613">
        <f t="shared" ref="PKK27" si="5566">PKI27*$C$27</f>
        <v>5.0605924930153157E+28</v>
      </c>
      <c r="PKM27" s="613">
        <f t="shared" ref="PKM27" si="5567">PKK27*$C$27</f>
        <v>5.1111984179454688E+28</v>
      </c>
      <c r="PKO27" s="613">
        <f t="shared" ref="PKO27" si="5568">PKM27*$C$27</f>
        <v>5.1623104021249238E+28</v>
      </c>
      <c r="PKQ27" s="613">
        <f t="shared" ref="PKQ27" si="5569">PKO27*$C$27</f>
        <v>5.2139335061461733E+28</v>
      </c>
      <c r="PKS27" s="613">
        <f t="shared" ref="PKS27" si="5570">PKQ27*$C$27</f>
        <v>5.2660728412076354E+28</v>
      </c>
      <c r="PKU27" s="613">
        <f t="shared" ref="PKU27" si="5571">PKS27*$C$27</f>
        <v>5.3187335696197115E+28</v>
      </c>
      <c r="PKW27" s="613">
        <f t="shared" ref="PKW27" si="5572">PKU27*$C$27</f>
        <v>5.3719209053159089E+28</v>
      </c>
      <c r="PKY27" s="613">
        <f t="shared" ref="PKY27" si="5573">PKW27*$C$27</f>
        <v>5.4256401143690683E+28</v>
      </c>
      <c r="PLA27" s="613">
        <f t="shared" ref="PLA27" si="5574">PKY27*$C$27</f>
        <v>5.4798965155127593E+28</v>
      </c>
      <c r="PLC27" s="613">
        <f t="shared" ref="PLC27" si="5575">PLA27*$C$27</f>
        <v>5.534695480667887E+28</v>
      </c>
      <c r="PLE27" s="613">
        <f t="shared" ref="PLE27" si="5576">PLC27*$C$27</f>
        <v>5.5900424354745657E+28</v>
      </c>
      <c r="PLG27" s="613">
        <f t="shared" ref="PLG27" si="5577">PLE27*$C$27</f>
        <v>5.645942859829311E+28</v>
      </c>
      <c r="PLI27" s="613">
        <f t="shared" ref="PLI27" si="5578">PLG27*$C$27</f>
        <v>5.702402288427604E+28</v>
      </c>
      <c r="PLK27" s="613">
        <f t="shared" ref="PLK27" si="5579">PLI27*$C$27</f>
        <v>5.7594263113118799E+28</v>
      </c>
      <c r="PLM27" s="613">
        <f t="shared" ref="PLM27" si="5580">PLK27*$C$27</f>
        <v>5.8170205744249988E+28</v>
      </c>
      <c r="PLO27" s="613">
        <f t="shared" ref="PLO27" si="5581">PLM27*$C$27</f>
        <v>5.8751907801692491E+28</v>
      </c>
      <c r="PLQ27" s="613">
        <f t="shared" ref="PLQ27" si="5582">PLO27*$C$27</f>
        <v>5.9339426879709419E+28</v>
      </c>
      <c r="PLS27" s="613">
        <f t="shared" ref="PLS27" si="5583">PLQ27*$C$27</f>
        <v>5.9932821148506511E+28</v>
      </c>
      <c r="PLU27" s="613">
        <f t="shared" ref="PLU27" si="5584">PLS27*$C$27</f>
        <v>6.0532149359991577E+28</v>
      </c>
      <c r="PLW27" s="613">
        <f t="shared" ref="PLW27" si="5585">PLU27*$C$27</f>
        <v>6.1137470853591494E+28</v>
      </c>
      <c r="PLY27" s="613">
        <f t="shared" ref="PLY27" si="5586">PLW27*$C$27</f>
        <v>6.174884556212741E+28</v>
      </c>
      <c r="PMA27" s="613">
        <f t="shared" ref="PMA27" si="5587">PLY27*$C$27</f>
        <v>6.2366334017748683E+28</v>
      </c>
      <c r="PMC27" s="613">
        <f t="shared" ref="PMC27" si="5588">PMA27*$C$27</f>
        <v>6.298999735792617E+28</v>
      </c>
      <c r="PME27" s="613">
        <f t="shared" ref="PME27" si="5589">PMC27*$C$27</f>
        <v>6.3619897331505434E+28</v>
      </c>
      <c r="PMG27" s="613">
        <f t="shared" ref="PMG27" si="5590">PME27*$C$27</f>
        <v>6.4256096304820486E+28</v>
      </c>
      <c r="PMI27" s="613">
        <f t="shared" ref="PMI27" si="5591">PMG27*$C$27</f>
        <v>6.4898657267868694E+28</v>
      </c>
      <c r="PMK27" s="613">
        <f t="shared" ref="PMK27" si="5592">PMI27*$C$27</f>
        <v>6.5547643840547385E+28</v>
      </c>
      <c r="PMM27" s="613">
        <f t="shared" ref="PMM27" si="5593">PMK27*$C$27</f>
        <v>6.6203120278952859E+28</v>
      </c>
      <c r="PMO27" s="613">
        <f t="shared" ref="PMO27" si="5594">PMM27*$C$27</f>
        <v>6.6865151481742384E+28</v>
      </c>
      <c r="PMQ27" s="613">
        <f t="shared" ref="PMQ27" si="5595">PMO27*$C$27</f>
        <v>6.7533802996559806E+28</v>
      </c>
      <c r="PMS27" s="613">
        <f t="shared" ref="PMS27" si="5596">PMQ27*$C$27</f>
        <v>6.8209141026525406E+28</v>
      </c>
      <c r="PMU27" s="613">
        <f t="shared" ref="PMU27" si="5597">PMS27*$C$27</f>
        <v>6.8891232436790658E+28</v>
      </c>
      <c r="PMW27" s="613">
        <f t="shared" ref="PMW27" si="5598">PMU27*$C$27</f>
        <v>6.9580144761158569E+28</v>
      </c>
      <c r="PMY27" s="613">
        <f t="shared" ref="PMY27" si="5599">PMW27*$C$27</f>
        <v>7.0275946208770156E+28</v>
      </c>
      <c r="PNA27" s="613">
        <f t="shared" ref="PNA27" si="5600">PMY27*$C$27</f>
        <v>7.097870567085786E+28</v>
      </c>
      <c r="PNC27" s="613">
        <f t="shared" ref="PNC27" si="5601">PNA27*$C$27</f>
        <v>7.1688492727566442E+28</v>
      </c>
      <c r="PNE27" s="613">
        <f t="shared" ref="PNE27" si="5602">PNC27*$C$27</f>
        <v>7.2405377654842107E+28</v>
      </c>
      <c r="PNG27" s="613">
        <f t="shared" ref="PNG27" si="5603">PNE27*$C$27</f>
        <v>7.3129431431390531E+28</v>
      </c>
      <c r="PNI27" s="613">
        <f t="shared" ref="PNI27" si="5604">PNG27*$C$27</f>
        <v>7.3860725745704433E+28</v>
      </c>
      <c r="PNK27" s="613">
        <f t="shared" ref="PNK27" si="5605">PNI27*$C$27</f>
        <v>7.4599333003161479E+28</v>
      </c>
      <c r="PNM27" s="613">
        <f t="shared" ref="PNM27" si="5606">PNK27*$C$27</f>
        <v>7.5345326333193092E+28</v>
      </c>
      <c r="PNO27" s="613">
        <f t="shared" ref="PNO27" si="5607">PNM27*$C$27</f>
        <v>7.6098779596525021E+28</v>
      </c>
      <c r="PNQ27" s="613">
        <f t="shared" ref="PNQ27" si="5608">PNO27*$C$27</f>
        <v>7.6859767392490274E+28</v>
      </c>
      <c r="PNS27" s="613">
        <f t="shared" ref="PNS27" si="5609">PNQ27*$C$27</f>
        <v>7.7628365066415177E+28</v>
      </c>
      <c r="PNU27" s="613">
        <f t="shared" ref="PNU27" si="5610">PNS27*$C$27</f>
        <v>7.8404648717079328E+28</v>
      </c>
      <c r="PNW27" s="613">
        <f t="shared" ref="PNW27" si="5611">PNU27*$C$27</f>
        <v>7.9188695204250121E+28</v>
      </c>
      <c r="PNY27" s="613">
        <f t="shared" ref="PNY27" si="5612">PNW27*$C$27</f>
        <v>7.9980582156292622E+28</v>
      </c>
      <c r="POA27" s="613">
        <f t="shared" ref="POA27" si="5613">PNY27*$C$27</f>
        <v>8.0780387977855547E+28</v>
      </c>
      <c r="POC27" s="613">
        <f t="shared" ref="POC27" si="5614">POA27*$C$27</f>
        <v>8.1588191857634098E+28</v>
      </c>
      <c r="POE27" s="613">
        <f t="shared" ref="POE27" si="5615">POC27*$C$27</f>
        <v>8.2404073776210446E+28</v>
      </c>
      <c r="POG27" s="613">
        <f t="shared" ref="POG27" si="5616">POE27*$C$27</f>
        <v>8.3228114513972558E+28</v>
      </c>
      <c r="POI27" s="613">
        <f t="shared" ref="POI27" si="5617">POG27*$C$27</f>
        <v>8.4060395659112277E+28</v>
      </c>
      <c r="POK27" s="613">
        <f t="shared" ref="POK27" si="5618">POI27*$C$27</f>
        <v>8.4900999615703406E+28</v>
      </c>
      <c r="POM27" s="613">
        <f t="shared" ref="POM27" si="5619">POK27*$C$27</f>
        <v>8.5750009611860435E+28</v>
      </c>
      <c r="POO27" s="613">
        <f t="shared" ref="POO27" si="5620">POM27*$C$27</f>
        <v>8.660750970797904E+28</v>
      </c>
      <c r="POQ27" s="613">
        <f t="shared" ref="POQ27" si="5621">POO27*$C$27</f>
        <v>8.7473584805058839E+28</v>
      </c>
      <c r="POS27" s="613">
        <f t="shared" ref="POS27" si="5622">POQ27*$C$27</f>
        <v>8.8348320653109433E+28</v>
      </c>
      <c r="POU27" s="613">
        <f t="shared" ref="POU27" si="5623">POS27*$C$27</f>
        <v>8.9231803859640531E+28</v>
      </c>
      <c r="POW27" s="613">
        <f t="shared" ref="POW27" si="5624">POU27*$C$27</f>
        <v>9.0124121898236935E+28</v>
      </c>
      <c r="POY27" s="613">
        <f t="shared" ref="POY27" si="5625">POW27*$C$27</f>
        <v>9.1025363117219304E+28</v>
      </c>
      <c r="PPA27" s="613">
        <f t="shared" ref="PPA27" si="5626">POY27*$C$27</f>
        <v>9.1935616748391489E+28</v>
      </c>
      <c r="PPC27" s="613">
        <f t="shared" ref="PPC27" si="5627">PPA27*$C$27</f>
        <v>9.2854972915875398E+28</v>
      </c>
      <c r="PPE27" s="613">
        <f t="shared" ref="PPE27" si="5628">PPC27*$C$27</f>
        <v>9.3783522645034154E+28</v>
      </c>
      <c r="PPG27" s="613">
        <f t="shared" ref="PPG27" si="5629">PPE27*$C$27</f>
        <v>9.4721357871484504E+28</v>
      </c>
      <c r="PPI27" s="613">
        <f t="shared" ref="PPI27" si="5630">PPG27*$C$27</f>
        <v>9.5668571450199352E+28</v>
      </c>
      <c r="PPK27" s="613">
        <f t="shared" ref="PPK27" si="5631">PPI27*$C$27</f>
        <v>9.6625257164701341E+28</v>
      </c>
      <c r="PPM27" s="613">
        <f t="shared" ref="PPM27" si="5632">PPK27*$C$27</f>
        <v>9.7591509736348353E+28</v>
      </c>
      <c r="PPO27" s="613">
        <f t="shared" ref="PPO27" si="5633">PPM27*$C$27</f>
        <v>9.8567424833711842E+28</v>
      </c>
      <c r="PPQ27" s="613">
        <f t="shared" ref="PPQ27" si="5634">PPO27*$C$27</f>
        <v>9.9553099082048961E+28</v>
      </c>
      <c r="PPS27" s="613">
        <f t="shared" ref="PPS27" si="5635">PPQ27*$C$27</f>
        <v>1.0054863007286945E+29</v>
      </c>
      <c r="PPU27" s="613">
        <f t="shared" ref="PPU27" si="5636">PPS27*$C$27</f>
        <v>1.0155411637359815E+29</v>
      </c>
      <c r="PPW27" s="613">
        <f t="shared" ref="PPW27" si="5637">PPU27*$C$27</f>
        <v>1.0256965753733413E+29</v>
      </c>
      <c r="PPY27" s="613">
        <f t="shared" ref="PPY27" si="5638">PPW27*$C$27</f>
        <v>1.0359535411270747E+29</v>
      </c>
      <c r="PQA27" s="613">
        <f t="shared" ref="PQA27" si="5639">PPY27*$C$27</f>
        <v>1.0463130765383455E+29</v>
      </c>
      <c r="PQC27" s="613">
        <f t="shared" ref="PQC27" si="5640">PQA27*$C$27</f>
        <v>1.056776207303729E+29</v>
      </c>
      <c r="PQE27" s="613">
        <f t="shared" ref="PQE27" si="5641">PQC27*$C$27</f>
        <v>1.0673439693767663E+29</v>
      </c>
      <c r="PQG27" s="613">
        <f t="shared" ref="PQG27" si="5642">PQE27*$C$27</f>
        <v>1.078017409070534E+29</v>
      </c>
      <c r="PQI27" s="613">
        <f t="shared" ref="PQI27" si="5643">PQG27*$C$27</f>
        <v>1.0887975831612392E+29</v>
      </c>
      <c r="PQK27" s="613">
        <f t="shared" ref="PQK27" si="5644">PQI27*$C$27</f>
        <v>1.0996855589928517E+29</v>
      </c>
      <c r="PQM27" s="613">
        <f t="shared" ref="PQM27" si="5645">PQK27*$C$27</f>
        <v>1.1106824145827803E+29</v>
      </c>
      <c r="PQO27" s="613">
        <f t="shared" ref="PQO27" si="5646">PQM27*$C$27</f>
        <v>1.1217892387286082E+29</v>
      </c>
      <c r="PQQ27" s="613">
        <f t="shared" ref="PQQ27" si="5647">PQO27*$C$27</f>
        <v>1.1330071311158942E+29</v>
      </c>
      <c r="PQS27" s="613">
        <f t="shared" ref="PQS27" si="5648">PQQ27*$C$27</f>
        <v>1.1443372024270531E+29</v>
      </c>
      <c r="PQU27" s="613">
        <f t="shared" ref="PQU27" si="5649">PQS27*$C$27</f>
        <v>1.1557805744513236E+29</v>
      </c>
      <c r="PQW27" s="613">
        <f t="shared" ref="PQW27" si="5650">PQU27*$C$27</f>
        <v>1.1673383801958369E+29</v>
      </c>
      <c r="PQY27" s="613">
        <f t="shared" ref="PQY27" si="5651">PQW27*$C$27</f>
        <v>1.1790117639977952E+29</v>
      </c>
      <c r="PRA27" s="613">
        <f t="shared" ref="PRA27" si="5652">PQY27*$C$27</f>
        <v>1.1908018816377732E+29</v>
      </c>
      <c r="PRC27" s="613">
        <f t="shared" ref="PRC27" si="5653">PRA27*$C$27</f>
        <v>1.2027099004541509E+29</v>
      </c>
      <c r="PRE27" s="613">
        <f t="shared" ref="PRE27" si="5654">PRC27*$C$27</f>
        <v>1.2147369994586924E+29</v>
      </c>
      <c r="PRG27" s="613">
        <f t="shared" ref="PRG27" si="5655">PRE27*$C$27</f>
        <v>1.2268843694532794E+29</v>
      </c>
      <c r="PRI27" s="613">
        <f t="shared" ref="PRI27" si="5656">PRG27*$C$27</f>
        <v>1.2391532131478122E+29</v>
      </c>
      <c r="PRK27" s="613">
        <f t="shared" ref="PRK27" si="5657">PRI27*$C$27</f>
        <v>1.2515447452792902E+29</v>
      </c>
      <c r="PRM27" s="613">
        <f t="shared" ref="PRM27" si="5658">PRK27*$C$27</f>
        <v>1.2640601927320832E+29</v>
      </c>
      <c r="PRO27" s="613">
        <f t="shared" ref="PRO27" si="5659">PRM27*$C$27</f>
        <v>1.2767007946594041E+29</v>
      </c>
      <c r="PRQ27" s="613">
        <f t="shared" ref="PRQ27" si="5660">PRO27*$C$27</f>
        <v>1.2894678026059981E+29</v>
      </c>
      <c r="PRS27" s="613">
        <f t="shared" ref="PRS27" si="5661">PRQ27*$C$27</f>
        <v>1.3023624806320582E+29</v>
      </c>
      <c r="PRU27" s="613">
        <f t="shared" ref="PRU27" si="5662">PRS27*$C$27</f>
        <v>1.3153861054383788E+29</v>
      </c>
      <c r="PRW27" s="613">
        <f t="shared" ref="PRW27" si="5663">PRU27*$C$27</f>
        <v>1.3285399664927626E+29</v>
      </c>
      <c r="PRY27" s="613">
        <f t="shared" ref="PRY27" si="5664">PRW27*$C$27</f>
        <v>1.3418253661576902E+29</v>
      </c>
      <c r="PSA27" s="613">
        <f t="shared" ref="PSA27" si="5665">PRY27*$C$27</f>
        <v>1.3552436198192672E+29</v>
      </c>
      <c r="PSC27" s="613">
        <f t="shared" ref="PSC27" si="5666">PSA27*$C$27</f>
        <v>1.3687960560174598E+29</v>
      </c>
      <c r="PSE27" s="613">
        <f t="shared" ref="PSE27" si="5667">PSC27*$C$27</f>
        <v>1.3824840165776345E+29</v>
      </c>
      <c r="PSG27" s="613">
        <f t="shared" ref="PSG27" si="5668">PSE27*$C$27</f>
        <v>1.3963088567434109E+29</v>
      </c>
      <c r="PSI27" s="613">
        <f t="shared" ref="PSI27" si="5669">PSG27*$C$27</f>
        <v>1.4102719453108451E+29</v>
      </c>
      <c r="PSK27" s="613">
        <f t="shared" ref="PSK27" si="5670">PSI27*$C$27</f>
        <v>1.4243746647639535E+29</v>
      </c>
      <c r="PSM27" s="613">
        <f t="shared" ref="PSM27" si="5671">PSK27*$C$27</f>
        <v>1.438618411411593E+29</v>
      </c>
      <c r="PSO27" s="613">
        <f t="shared" ref="PSO27" si="5672">PSM27*$C$27</f>
        <v>1.4530045955257089E+29</v>
      </c>
      <c r="PSQ27" s="613">
        <f t="shared" ref="PSQ27" si="5673">PSO27*$C$27</f>
        <v>1.467534641480966E+29</v>
      </c>
      <c r="PSS27" s="613">
        <f t="shared" ref="PSS27" si="5674">PSQ27*$C$27</f>
        <v>1.4822099878957756E+29</v>
      </c>
      <c r="PSU27" s="613">
        <f t="shared" ref="PSU27" si="5675">PSS27*$C$27</f>
        <v>1.4970320877747334E+29</v>
      </c>
      <c r="PSW27" s="613">
        <f t="shared" ref="PSW27" si="5676">PSU27*$C$27</f>
        <v>1.5120024086524807E+29</v>
      </c>
      <c r="PSY27" s="613">
        <f t="shared" ref="PSY27" si="5677">PSW27*$C$27</f>
        <v>1.5271224327390056E+29</v>
      </c>
      <c r="PTA27" s="613">
        <f t="shared" ref="PTA27" si="5678">PSY27*$C$27</f>
        <v>1.5423936570663956E+29</v>
      </c>
      <c r="PTC27" s="613">
        <f t="shared" ref="PTC27" si="5679">PTA27*$C$27</f>
        <v>1.5578175936370596E+29</v>
      </c>
      <c r="PTE27" s="613">
        <f t="shared" ref="PTE27" si="5680">PTC27*$C$27</f>
        <v>1.5733957695734301E+29</v>
      </c>
      <c r="PTG27" s="613">
        <f t="shared" ref="PTG27" si="5681">PTE27*$C$27</f>
        <v>1.5891297272691645E+29</v>
      </c>
      <c r="PTI27" s="613">
        <f t="shared" ref="PTI27" si="5682">PTG27*$C$27</f>
        <v>1.605021024541856E+29</v>
      </c>
      <c r="PTK27" s="613">
        <f t="shared" ref="PTK27" si="5683">PTI27*$C$27</f>
        <v>1.6210712347872746E+29</v>
      </c>
      <c r="PTM27" s="613">
        <f t="shared" ref="PTM27" si="5684">PTK27*$C$27</f>
        <v>1.6372819471351472E+29</v>
      </c>
      <c r="PTO27" s="613">
        <f t="shared" ref="PTO27" si="5685">PTM27*$C$27</f>
        <v>1.6536547666064986E+29</v>
      </c>
      <c r="PTQ27" s="613">
        <f t="shared" ref="PTQ27" si="5686">PTO27*$C$27</f>
        <v>1.6701913142725638E+29</v>
      </c>
      <c r="PTS27" s="613">
        <f t="shared" ref="PTS27" si="5687">PTQ27*$C$27</f>
        <v>1.6868932274152893E+29</v>
      </c>
      <c r="PTU27" s="613">
        <f t="shared" ref="PTU27" si="5688">PTS27*$C$27</f>
        <v>1.7037621596894423E+29</v>
      </c>
      <c r="PTW27" s="613">
        <f t="shared" ref="PTW27" si="5689">PTU27*$C$27</f>
        <v>1.7207997812863367E+29</v>
      </c>
      <c r="PTY27" s="613">
        <f t="shared" ref="PTY27" si="5690">PTW27*$C$27</f>
        <v>1.7380077790992001E+29</v>
      </c>
      <c r="PUA27" s="613">
        <f t="shared" ref="PUA27" si="5691">PTY27*$C$27</f>
        <v>1.755387856890192E+29</v>
      </c>
      <c r="PUC27" s="613">
        <f t="shared" ref="PUC27" si="5692">PUA27*$C$27</f>
        <v>1.772941735459094E+29</v>
      </c>
      <c r="PUE27" s="613">
        <f t="shared" ref="PUE27" si="5693">PUC27*$C$27</f>
        <v>1.7906711528136851E+29</v>
      </c>
      <c r="PUG27" s="613">
        <f t="shared" ref="PUG27" si="5694">PUE27*$C$27</f>
        <v>1.8085778643418219E+29</v>
      </c>
      <c r="PUI27" s="613">
        <f t="shared" ref="PUI27" si="5695">PUG27*$C$27</f>
        <v>1.8266636429852402E+29</v>
      </c>
      <c r="PUK27" s="613">
        <f t="shared" ref="PUK27" si="5696">PUI27*$C$27</f>
        <v>1.8449302794150927E+29</v>
      </c>
      <c r="PUM27" s="613">
        <f t="shared" ref="PUM27" si="5697">PUK27*$C$27</f>
        <v>1.8633795822092437E+29</v>
      </c>
      <c r="PUO27" s="613">
        <f t="shared" ref="PUO27" si="5698">PUM27*$C$27</f>
        <v>1.8820133780313362E+29</v>
      </c>
      <c r="PUQ27" s="613">
        <f t="shared" ref="PUQ27" si="5699">PUO27*$C$27</f>
        <v>1.9008335118116496E+29</v>
      </c>
      <c r="PUS27" s="613">
        <f t="shared" ref="PUS27" si="5700">PUQ27*$C$27</f>
        <v>1.9198418469297661E+29</v>
      </c>
      <c r="PUU27" s="613">
        <f t="shared" ref="PUU27" si="5701">PUS27*$C$27</f>
        <v>1.9390402653990638E+29</v>
      </c>
      <c r="PUW27" s="613">
        <f t="shared" ref="PUW27" si="5702">PUU27*$C$27</f>
        <v>1.9584306680530545E+29</v>
      </c>
      <c r="PUY27" s="613">
        <f t="shared" ref="PUY27" si="5703">PUW27*$C$27</f>
        <v>1.9780149747335851E+29</v>
      </c>
      <c r="PVA27" s="613">
        <f t="shared" ref="PVA27" si="5704">PUY27*$C$27</f>
        <v>1.997795124480921E+29</v>
      </c>
      <c r="PVC27" s="613">
        <f t="shared" ref="PVC27" si="5705">PVA27*$C$27</f>
        <v>2.0177730757257304E+29</v>
      </c>
      <c r="PVE27" s="613">
        <f t="shared" ref="PVE27" si="5706">PVC27*$C$27</f>
        <v>2.0379508064829876E+29</v>
      </c>
      <c r="PVG27" s="613">
        <f t="shared" ref="PVG27" si="5707">PVE27*$C$27</f>
        <v>2.0583303145478174E+29</v>
      </c>
      <c r="PVI27" s="613">
        <f t="shared" ref="PVI27" si="5708">PVG27*$C$27</f>
        <v>2.0789136176932956E+29</v>
      </c>
      <c r="PVK27" s="613">
        <f t="shared" ref="PVK27" si="5709">PVI27*$C$27</f>
        <v>2.0997027538702286E+29</v>
      </c>
      <c r="PVM27" s="613">
        <f t="shared" ref="PVM27" si="5710">PVK27*$C$27</f>
        <v>2.120699781408931E+29</v>
      </c>
      <c r="PVO27" s="613">
        <f t="shared" ref="PVO27" si="5711">PVM27*$C$27</f>
        <v>2.1419067792230203E+29</v>
      </c>
      <c r="PVQ27" s="613">
        <f t="shared" ref="PVQ27" si="5712">PVO27*$C$27</f>
        <v>2.1633258470152504E+29</v>
      </c>
      <c r="PVS27" s="613">
        <f t="shared" ref="PVS27" si="5713">PVQ27*$C$27</f>
        <v>2.1849591054854029E+29</v>
      </c>
      <c r="PVU27" s="613">
        <f t="shared" ref="PVU27" si="5714">PVS27*$C$27</f>
        <v>2.2068086965402571E+29</v>
      </c>
      <c r="PVW27" s="613">
        <f t="shared" ref="PVW27" si="5715">PVU27*$C$27</f>
        <v>2.2288767835056597E+29</v>
      </c>
      <c r="PVY27" s="613">
        <f t="shared" ref="PVY27" si="5716">PVW27*$C$27</f>
        <v>2.2511655513407162E+29</v>
      </c>
      <c r="PWA27" s="613">
        <f t="shared" ref="PWA27" si="5717">PVY27*$C$27</f>
        <v>2.2736772068541233E+29</v>
      </c>
      <c r="PWC27" s="613">
        <f t="shared" ref="PWC27" si="5718">PWA27*$C$27</f>
        <v>2.2964139789226647E+29</v>
      </c>
      <c r="PWE27" s="613">
        <f t="shared" ref="PWE27" si="5719">PWC27*$C$27</f>
        <v>2.3193781187118914E+29</v>
      </c>
      <c r="PWG27" s="613">
        <f t="shared" ref="PWG27" si="5720">PWE27*$C$27</f>
        <v>2.3425718998990105E+29</v>
      </c>
      <c r="PWI27" s="613">
        <f t="shared" ref="PWI27" si="5721">PWG27*$C$27</f>
        <v>2.3659976188980006E+29</v>
      </c>
      <c r="PWK27" s="613">
        <f t="shared" ref="PWK27" si="5722">PWI27*$C$27</f>
        <v>2.3896575950869807E+29</v>
      </c>
      <c r="PWM27" s="613">
        <f t="shared" ref="PWM27" si="5723">PWK27*$C$27</f>
        <v>2.4135541710378504E+29</v>
      </c>
      <c r="PWO27" s="613">
        <f t="shared" ref="PWO27" si="5724">PWM27*$C$27</f>
        <v>2.4376897127482288E+29</v>
      </c>
      <c r="PWQ27" s="613">
        <f t="shared" ref="PWQ27" si="5725">PWO27*$C$27</f>
        <v>2.462066609875711E+29</v>
      </c>
      <c r="PWS27" s="613">
        <f t="shared" ref="PWS27" si="5726">PWQ27*$C$27</f>
        <v>2.486687275974468E+29</v>
      </c>
      <c r="PWU27" s="613">
        <f t="shared" ref="PWU27" si="5727">PWS27*$C$27</f>
        <v>2.5115541487342126E+29</v>
      </c>
      <c r="PWW27" s="613">
        <f t="shared" ref="PWW27" si="5728">PWU27*$C$27</f>
        <v>2.5366696902215549E+29</v>
      </c>
      <c r="PWY27" s="613">
        <f t="shared" ref="PWY27" si="5729">PWW27*$C$27</f>
        <v>2.5620363871237705E+29</v>
      </c>
      <c r="PXA27" s="613">
        <f t="shared" ref="PXA27" si="5730">PWY27*$C$27</f>
        <v>2.5876567509950082E+29</v>
      </c>
      <c r="PXC27" s="613">
        <f t="shared" ref="PXC27" si="5731">PXA27*$C$27</f>
        <v>2.6135333185049582E+29</v>
      </c>
      <c r="PXE27" s="613">
        <f t="shared" ref="PXE27" si="5732">PXC27*$C$27</f>
        <v>2.6396686516900079E+29</v>
      </c>
      <c r="PXG27" s="613">
        <f t="shared" ref="PXG27" si="5733">PXE27*$C$27</f>
        <v>2.6660653382069081E+29</v>
      </c>
      <c r="PXI27" s="613">
        <f t="shared" ref="PXI27" si="5734">PXG27*$C$27</f>
        <v>2.6927259915889774E+29</v>
      </c>
      <c r="PXK27" s="613">
        <f t="shared" ref="PXK27" si="5735">PXI27*$C$27</f>
        <v>2.719653251504867E+29</v>
      </c>
      <c r="PXM27" s="613">
        <f t="shared" ref="PXM27" si="5736">PXK27*$C$27</f>
        <v>2.7468497840199157E+29</v>
      </c>
      <c r="PXO27" s="613">
        <f t="shared" ref="PXO27" si="5737">PXM27*$C$27</f>
        <v>2.7743182818601149E+29</v>
      </c>
      <c r="PXQ27" s="613">
        <f t="shared" ref="PXQ27" si="5738">PXO27*$C$27</f>
        <v>2.8020614646787161E+29</v>
      </c>
      <c r="PXS27" s="613">
        <f t="shared" ref="PXS27" si="5739">PXQ27*$C$27</f>
        <v>2.8300820793255033E+29</v>
      </c>
      <c r="PXU27" s="613">
        <f t="shared" ref="PXU27" si="5740">PXS27*$C$27</f>
        <v>2.8583829001187583E+29</v>
      </c>
      <c r="PXW27" s="613">
        <f t="shared" ref="PXW27" si="5741">PXU27*$C$27</f>
        <v>2.886966729119946E+29</v>
      </c>
      <c r="PXY27" s="613">
        <f t="shared" ref="PXY27" si="5742">PXW27*$C$27</f>
        <v>2.9158363964111454E+29</v>
      </c>
      <c r="PYA27" s="613">
        <f t="shared" ref="PYA27" si="5743">PXY27*$C$27</f>
        <v>2.9449947603752569E+29</v>
      </c>
      <c r="PYC27" s="613">
        <f t="shared" ref="PYC27" si="5744">PYA27*$C$27</f>
        <v>2.9744447079790096E+29</v>
      </c>
      <c r="PYE27" s="613">
        <f t="shared" ref="PYE27" si="5745">PYC27*$C$27</f>
        <v>3.0041891550587995E+29</v>
      </c>
      <c r="PYG27" s="613">
        <f t="shared" ref="PYG27" si="5746">PYE27*$C$27</f>
        <v>3.0342310466093875E+29</v>
      </c>
      <c r="PYI27" s="613">
        <f t="shared" ref="PYI27" si="5747">PYG27*$C$27</f>
        <v>3.0645733570754815E+29</v>
      </c>
      <c r="PYK27" s="613">
        <f t="shared" ref="PYK27" si="5748">PYI27*$C$27</f>
        <v>3.0952190906462363E+29</v>
      </c>
      <c r="PYM27" s="613">
        <f t="shared" ref="PYM27" si="5749">PYK27*$C$27</f>
        <v>3.1261712815526988E+29</v>
      </c>
      <c r="PYO27" s="613">
        <f t="shared" ref="PYO27" si="5750">PYM27*$C$27</f>
        <v>3.1574329943682259E+29</v>
      </c>
      <c r="PYQ27" s="613">
        <f t="shared" ref="PYQ27" si="5751">PYO27*$C$27</f>
        <v>3.1890073243119085E+29</v>
      </c>
      <c r="PYS27" s="613">
        <f t="shared" ref="PYS27" si="5752">PYQ27*$C$27</f>
        <v>3.2208973975550278E+29</v>
      </c>
      <c r="PYU27" s="613">
        <f t="shared" ref="PYU27" si="5753">PYS27*$C$27</f>
        <v>3.2531063715305783E+29</v>
      </c>
      <c r="PYW27" s="613">
        <f t="shared" ref="PYW27" si="5754">PYU27*$C$27</f>
        <v>3.2856374352458841E+29</v>
      </c>
      <c r="PYY27" s="613">
        <f t="shared" ref="PYY27" si="5755">PYW27*$C$27</f>
        <v>3.3184938095983428E+29</v>
      </c>
      <c r="PZA27" s="613">
        <f t="shared" ref="PZA27" si="5756">PYY27*$C$27</f>
        <v>3.351678747694326E+29</v>
      </c>
      <c r="PZC27" s="613">
        <f t="shared" ref="PZC27" si="5757">PZA27*$C$27</f>
        <v>3.3851955351712691E+29</v>
      </c>
      <c r="PZE27" s="613">
        <f t="shared" ref="PZE27" si="5758">PZC27*$C$27</f>
        <v>3.4190474905229815E+29</v>
      </c>
      <c r="PZG27" s="613">
        <f t="shared" ref="PZG27" si="5759">PZE27*$C$27</f>
        <v>3.4532379654282113E+29</v>
      </c>
      <c r="PZI27" s="613">
        <f t="shared" ref="PZI27" si="5760">PZG27*$C$27</f>
        <v>3.4877703450824933E+29</v>
      </c>
      <c r="PZK27" s="613">
        <f t="shared" ref="PZK27" si="5761">PZI27*$C$27</f>
        <v>3.5226480485333181E+29</v>
      </c>
      <c r="PZM27" s="613">
        <f t="shared" ref="PZM27" si="5762">PZK27*$C$27</f>
        <v>3.5578745290186514E+29</v>
      </c>
      <c r="PZO27" s="613">
        <f t="shared" ref="PZO27" si="5763">PZM27*$C$27</f>
        <v>3.593453274308838E+29</v>
      </c>
      <c r="PZQ27" s="613">
        <f t="shared" ref="PZQ27" si="5764">PZO27*$C$27</f>
        <v>3.6293878070519265E+29</v>
      </c>
      <c r="PZS27" s="613">
        <f t="shared" ref="PZS27" si="5765">PZQ27*$C$27</f>
        <v>3.6656816851224461E+29</v>
      </c>
      <c r="PZU27" s="613">
        <f t="shared" ref="PZU27" si="5766">PZS27*$C$27</f>
        <v>3.7023385019736706E+29</v>
      </c>
      <c r="PZW27" s="613">
        <f t="shared" ref="PZW27" si="5767">PZU27*$C$27</f>
        <v>3.7393618869934077E+29</v>
      </c>
      <c r="PZY27" s="613">
        <f t="shared" ref="PZY27" si="5768">PZW27*$C$27</f>
        <v>3.7767555058633418E+29</v>
      </c>
      <c r="QAA27" s="613">
        <f t="shared" ref="QAA27" si="5769">PZY27*$C$27</f>
        <v>3.8145230609219751E+29</v>
      </c>
      <c r="QAC27" s="613">
        <f t="shared" ref="QAC27" si="5770">QAA27*$C$27</f>
        <v>3.852668291531195E+29</v>
      </c>
      <c r="QAE27" s="613">
        <f t="shared" ref="QAE27" si="5771">QAC27*$C$27</f>
        <v>3.8911949744465067E+29</v>
      </c>
      <c r="QAG27" s="613">
        <f t="shared" ref="QAG27" si="5772">QAE27*$C$27</f>
        <v>3.9301069241909721E+29</v>
      </c>
      <c r="QAI27" s="613">
        <f t="shared" ref="QAI27" si="5773">QAG27*$C$27</f>
        <v>3.9694079934328816E+29</v>
      </c>
      <c r="QAK27" s="613">
        <f t="shared" ref="QAK27" si="5774">QAI27*$C$27</f>
        <v>4.0091020733672103E+29</v>
      </c>
      <c r="QAM27" s="613">
        <f t="shared" ref="QAM27" si="5775">QAK27*$C$27</f>
        <v>4.0491930941008827E+29</v>
      </c>
      <c r="QAO27" s="613">
        <f t="shared" ref="QAO27" si="5776">QAM27*$C$27</f>
        <v>4.0896850250418916E+29</v>
      </c>
      <c r="QAQ27" s="613">
        <f t="shared" ref="QAQ27" si="5777">QAO27*$C$27</f>
        <v>4.1305818752923108E+29</v>
      </c>
      <c r="QAS27" s="613">
        <f t="shared" ref="QAS27" si="5778">QAQ27*$C$27</f>
        <v>4.1718876940452342E+29</v>
      </c>
      <c r="QAU27" s="613">
        <f t="shared" ref="QAU27" si="5779">QAS27*$C$27</f>
        <v>4.2136065709856865E+29</v>
      </c>
      <c r="QAW27" s="613">
        <f t="shared" ref="QAW27" si="5780">QAU27*$C$27</f>
        <v>4.2557426366955433E+29</v>
      </c>
      <c r="QAY27" s="613">
        <f t="shared" ref="QAY27" si="5781">QAW27*$C$27</f>
        <v>4.2983000630624987E+29</v>
      </c>
      <c r="QBA27" s="613">
        <f t="shared" ref="QBA27" si="5782">QAY27*$C$27</f>
        <v>4.3412830636931239E+29</v>
      </c>
      <c r="QBC27" s="613">
        <f t="shared" ref="QBC27" si="5783">QBA27*$C$27</f>
        <v>4.3846958943300551E+29</v>
      </c>
      <c r="QBE27" s="613">
        <f t="shared" ref="QBE27" si="5784">QBC27*$C$27</f>
        <v>4.4285428532733555E+29</v>
      </c>
      <c r="QBG27" s="613">
        <f t="shared" ref="QBG27" si="5785">QBE27*$C$27</f>
        <v>4.4728282818060892E+29</v>
      </c>
      <c r="QBI27" s="613">
        <f t="shared" ref="QBI27" si="5786">QBG27*$C$27</f>
        <v>4.5175565646241502E+29</v>
      </c>
      <c r="QBK27" s="613">
        <f t="shared" ref="QBK27" si="5787">QBI27*$C$27</f>
        <v>4.5627321302703918E+29</v>
      </c>
      <c r="QBM27" s="613">
        <f t="shared" ref="QBM27" si="5788">QBK27*$C$27</f>
        <v>4.6083594515730959E+29</v>
      </c>
      <c r="QBO27" s="613">
        <f t="shared" ref="QBO27" si="5789">QBM27*$C$27</f>
        <v>4.6544430460888267E+29</v>
      </c>
      <c r="QBQ27" s="613">
        <f t="shared" ref="QBQ27" si="5790">QBO27*$C$27</f>
        <v>4.7009874765497153E+29</v>
      </c>
      <c r="QBS27" s="613">
        <f t="shared" ref="QBS27" si="5791">QBQ27*$C$27</f>
        <v>4.7479973513152124E+29</v>
      </c>
      <c r="QBU27" s="613">
        <f t="shared" ref="QBU27" si="5792">QBS27*$C$27</f>
        <v>4.7954773248283642E+29</v>
      </c>
      <c r="QBW27" s="613">
        <f t="shared" ref="QBW27" si="5793">QBU27*$C$27</f>
        <v>4.8434320980766482E+29</v>
      </c>
      <c r="QBY27" s="613">
        <f t="shared" ref="QBY27" si="5794">QBW27*$C$27</f>
        <v>4.8918664190574145E+29</v>
      </c>
      <c r="QCA27" s="613">
        <f t="shared" ref="QCA27" si="5795">QBY27*$C$27</f>
        <v>4.9407850832479884E+29</v>
      </c>
      <c r="QCC27" s="613">
        <f t="shared" ref="QCC27" si="5796">QCA27*$C$27</f>
        <v>4.990192934080468E+29</v>
      </c>
      <c r="QCE27" s="613">
        <f t="shared" ref="QCE27" si="5797">QCC27*$C$27</f>
        <v>5.0400948634212726E+29</v>
      </c>
      <c r="QCG27" s="613">
        <f t="shared" ref="QCG27" si="5798">QCE27*$C$27</f>
        <v>5.0904958120554856E+29</v>
      </c>
      <c r="QCI27" s="613">
        <f t="shared" ref="QCI27" si="5799">QCG27*$C$27</f>
        <v>5.1414007701760406E+29</v>
      </c>
      <c r="QCK27" s="613">
        <f t="shared" ref="QCK27" si="5800">QCI27*$C$27</f>
        <v>5.1928147778778007E+29</v>
      </c>
      <c r="QCM27" s="613">
        <f t="shared" ref="QCM27" si="5801">QCK27*$C$27</f>
        <v>5.2447429256565785E+29</v>
      </c>
      <c r="QCO27" s="613">
        <f t="shared" ref="QCO27" si="5802">QCM27*$C$27</f>
        <v>5.2971903549131441E+29</v>
      </c>
      <c r="QCQ27" s="613">
        <f t="shared" ref="QCQ27" si="5803">QCO27*$C$27</f>
        <v>5.3501622584622756E+29</v>
      </c>
      <c r="QCS27" s="613">
        <f t="shared" ref="QCS27" si="5804">QCQ27*$C$27</f>
        <v>5.403663881046898E+29</v>
      </c>
      <c r="QCU27" s="613">
        <f t="shared" ref="QCU27" si="5805">QCS27*$C$27</f>
        <v>5.4577005198573669E+29</v>
      </c>
      <c r="QCW27" s="613">
        <f t="shared" ref="QCW27" si="5806">QCU27*$C$27</f>
        <v>5.512277525055941E+29</v>
      </c>
      <c r="QCY27" s="613">
        <f t="shared" ref="QCY27" si="5807">QCW27*$C$27</f>
        <v>5.5674003003065002E+29</v>
      </c>
      <c r="QDA27" s="613">
        <f t="shared" ref="QDA27" si="5808">QCY27*$C$27</f>
        <v>5.6230743033095654E+29</v>
      </c>
      <c r="QDC27" s="613">
        <f t="shared" ref="QDC27" si="5809">QDA27*$C$27</f>
        <v>5.6793050463426611E+29</v>
      </c>
      <c r="QDE27" s="613">
        <f t="shared" ref="QDE27" si="5810">QDC27*$C$27</f>
        <v>5.7360980968060876E+29</v>
      </c>
      <c r="QDG27" s="613">
        <f t="shared" ref="QDG27" si="5811">QDE27*$C$27</f>
        <v>5.7934590777741485E+29</v>
      </c>
      <c r="QDI27" s="613">
        <f t="shared" ref="QDI27" si="5812">QDG27*$C$27</f>
        <v>5.8513936685518902E+29</v>
      </c>
      <c r="QDK27" s="613">
        <f t="shared" ref="QDK27" si="5813">QDI27*$C$27</f>
        <v>5.9099076052374093E+29</v>
      </c>
      <c r="QDM27" s="613">
        <f t="shared" ref="QDM27" si="5814">QDK27*$C$27</f>
        <v>5.9690066812897832E+29</v>
      </c>
      <c r="QDO27" s="613">
        <f t="shared" ref="QDO27" si="5815">QDM27*$C$27</f>
        <v>6.0286967481026809E+29</v>
      </c>
      <c r="QDQ27" s="613">
        <f t="shared" ref="QDQ27" si="5816">QDO27*$C$27</f>
        <v>6.0889837155837078E+29</v>
      </c>
      <c r="QDS27" s="613">
        <f t="shared" ref="QDS27" si="5817">QDQ27*$C$27</f>
        <v>6.1498735527395449E+29</v>
      </c>
      <c r="QDU27" s="613">
        <f t="shared" ref="QDU27" si="5818">QDS27*$C$27</f>
        <v>6.2113722882669404E+29</v>
      </c>
      <c r="QDW27" s="613">
        <f t="shared" ref="QDW27" si="5819">QDU27*$C$27</f>
        <v>6.2734860111496096E+29</v>
      </c>
      <c r="QDY27" s="613">
        <f t="shared" ref="QDY27" si="5820">QDW27*$C$27</f>
        <v>6.3362208712611056E+29</v>
      </c>
      <c r="QEA27" s="613">
        <f t="shared" ref="QEA27" si="5821">QDY27*$C$27</f>
        <v>6.3995830799737171E+29</v>
      </c>
      <c r="QEC27" s="613">
        <f t="shared" ref="QEC27" si="5822">QEA27*$C$27</f>
        <v>6.4635789107734547E+29</v>
      </c>
      <c r="QEE27" s="613">
        <f t="shared" ref="QEE27" si="5823">QEC27*$C$27</f>
        <v>6.5282146998811898E+29</v>
      </c>
      <c r="QEG27" s="613">
        <f t="shared" ref="QEG27" si="5824">QEE27*$C$27</f>
        <v>6.593496846880002E+29</v>
      </c>
      <c r="QEI27" s="613">
        <f t="shared" ref="QEI27" si="5825">QEG27*$C$27</f>
        <v>6.6594318153488018E+29</v>
      </c>
      <c r="QEK27" s="613">
        <f t="shared" ref="QEK27" si="5826">QEI27*$C$27</f>
        <v>6.72602613350229E+29</v>
      </c>
      <c r="QEM27" s="613">
        <f t="shared" ref="QEM27" si="5827">QEK27*$C$27</f>
        <v>6.7932863948373137E+29</v>
      </c>
      <c r="QEO27" s="613">
        <f t="shared" ref="QEO27" si="5828">QEM27*$C$27</f>
        <v>6.8612192587856872E+29</v>
      </c>
      <c r="QEQ27" s="613">
        <f t="shared" ref="QEQ27" si="5829">QEO27*$C$27</f>
        <v>6.9298314513735445E+29</v>
      </c>
      <c r="QES27" s="613">
        <f t="shared" ref="QES27" si="5830">QEQ27*$C$27</f>
        <v>6.9991297658872793E+29</v>
      </c>
      <c r="QEU27" s="613">
        <f t="shared" ref="QEU27" si="5831">QES27*$C$27</f>
        <v>7.0691210635461522E+29</v>
      </c>
      <c r="QEW27" s="613">
        <f t="shared" ref="QEW27" si="5832">QEU27*$C$27</f>
        <v>7.1398122741816132E+29</v>
      </c>
      <c r="QEY27" s="613">
        <f t="shared" ref="QEY27" si="5833">QEW27*$C$27</f>
        <v>7.2112103969234301E+29</v>
      </c>
      <c r="QFA27" s="613">
        <f t="shared" ref="QFA27" si="5834">QEY27*$C$27</f>
        <v>7.2833225008926651E+29</v>
      </c>
      <c r="QFC27" s="613">
        <f t="shared" ref="QFC27" si="5835">QFA27*$C$27</f>
        <v>7.3561557259015922E+29</v>
      </c>
      <c r="QFE27" s="613">
        <f t="shared" ref="QFE27" si="5836">QFC27*$C$27</f>
        <v>7.4297172831606075E+29</v>
      </c>
      <c r="QFG27" s="613">
        <f t="shared" ref="QFG27" si="5837">QFE27*$C$27</f>
        <v>7.5040144559922131E+29</v>
      </c>
      <c r="QFI27" s="613">
        <f t="shared" ref="QFI27" si="5838">QFG27*$C$27</f>
        <v>7.579054600552136E+29</v>
      </c>
      <c r="QFK27" s="613">
        <f t="shared" ref="QFK27" si="5839">QFI27*$C$27</f>
        <v>7.6548451465576575E+29</v>
      </c>
      <c r="QFM27" s="613">
        <f t="shared" ref="QFM27" si="5840">QFK27*$C$27</f>
        <v>7.731393598023234E+29</v>
      </c>
      <c r="QFO27" s="613">
        <f t="shared" ref="QFO27" si="5841">QFM27*$C$27</f>
        <v>7.808707534003467E+29</v>
      </c>
      <c r="QFQ27" s="613">
        <f t="shared" ref="QFQ27" si="5842">QFO27*$C$27</f>
        <v>7.8867946093435013E+29</v>
      </c>
      <c r="QFS27" s="613">
        <f t="shared" ref="QFS27" si="5843">QFQ27*$C$27</f>
        <v>7.9656625554369357E+29</v>
      </c>
      <c r="QFU27" s="613">
        <f t="shared" ref="QFU27" si="5844">QFS27*$C$27</f>
        <v>8.0453191809913057E+29</v>
      </c>
      <c r="QFW27" s="613">
        <f t="shared" ref="QFW27" si="5845">QFU27*$C$27</f>
        <v>8.1257723728012192E+29</v>
      </c>
      <c r="QFY27" s="613">
        <f t="shared" ref="QFY27" si="5846">QFW27*$C$27</f>
        <v>8.2070300965292311E+29</v>
      </c>
      <c r="QGA27" s="613">
        <f t="shared" ref="QGA27" si="5847">QFY27*$C$27</f>
        <v>8.289100397494524E+29</v>
      </c>
      <c r="QGC27" s="613">
        <f t="shared" ref="QGC27" si="5848">QGA27*$C$27</f>
        <v>8.3719914014694694E+29</v>
      </c>
      <c r="QGE27" s="613">
        <f t="shared" ref="QGE27" si="5849">QGC27*$C$27</f>
        <v>8.4557113154841647E+29</v>
      </c>
      <c r="QGG27" s="613">
        <f t="shared" ref="QGG27" si="5850">QGE27*$C$27</f>
        <v>8.540268428639007E+29</v>
      </c>
      <c r="QGI27" s="613">
        <f t="shared" ref="QGI27" si="5851">QGG27*$C$27</f>
        <v>8.6256711129253975E+29</v>
      </c>
      <c r="QGK27" s="613">
        <f t="shared" ref="QGK27" si="5852">QGI27*$C$27</f>
        <v>8.7119278240546517E+29</v>
      </c>
      <c r="QGM27" s="613">
        <f t="shared" ref="QGM27" si="5853">QGK27*$C$27</f>
        <v>8.7990471022951979E+29</v>
      </c>
      <c r="QGO27" s="613">
        <f t="shared" ref="QGO27" si="5854">QGM27*$C$27</f>
        <v>8.8870375733181497E+29</v>
      </c>
      <c r="QGQ27" s="613">
        <f t="shared" ref="QGQ27" si="5855">QGO27*$C$27</f>
        <v>8.9759079490513314E+29</v>
      </c>
      <c r="QGS27" s="613">
        <f t="shared" ref="QGS27" si="5856">QGQ27*$C$27</f>
        <v>9.0656670285418453E+29</v>
      </c>
      <c r="QGU27" s="613">
        <f t="shared" ref="QGU27" si="5857">QGS27*$C$27</f>
        <v>9.1563236988272643E+29</v>
      </c>
      <c r="QGW27" s="613">
        <f t="shared" ref="QGW27" si="5858">QGU27*$C$27</f>
        <v>9.2478869358155374E+29</v>
      </c>
      <c r="QGY27" s="613">
        <f t="shared" ref="QGY27" si="5859">QGW27*$C$27</f>
        <v>9.3403658051736933E+29</v>
      </c>
      <c r="QHA27" s="613">
        <f t="shared" ref="QHA27" si="5860">QGY27*$C$27</f>
        <v>9.4337694632254302E+29</v>
      </c>
      <c r="QHC27" s="613">
        <f t="shared" ref="QHC27" si="5861">QHA27*$C$27</f>
        <v>9.5281071578576846E+29</v>
      </c>
      <c r="QHE27" s="613">
        <f t="shared" ref="QHE27" si="5862">QHC27*$C$27</f>
        <v>9.6233882294362616E+29</v>
      </c>
      <c r="QHG27" s="613">
        <f t="shared" ref="QHG27" si="5863">QHE27*$C$27</f>
        <v>9.7196221117306244E+29</v>
      </c>
      <c r="QHI27" s="613">
        <f t="shared" ref="QHI27" si="5864">QHG27*$C$27</f>
        <v>9.8168183328479301E+29</v>
      </c>
      <c r="QHK27" s="613">
        <f t="shared" ref="QHK27" si="5865">QHI27*$C$27</f>
        <v>9.9149865161764097E+29</v>
      </c>
      <c r="QHM27" s="613">
        <f t="shared" ref="QHM27" si="5866">QHK27*$C$27</f>
        <v>1.0014136381338174E+30</v>
      </c>
      <c r="QHO27" s="613">
        <f t="shared" ref="QHO27" si="5867">QHM27*$C$27</f>
        <v>1.0114277745151556E+30</v>
      </c>
      <c r="QHQ27" s="613">
        <f t="shared" ref="QHQ27" si="5868">QHO27*$C$27</f>
        <v>1.0215420522603072E+30</v>
      </c>
      <c r="QHS27" s="613">
        <f t="shared" ref="QHS27" si="5869">QHQ27*$C$27</f>
        <v>1.0317574727829103E+30</v>
      </c>
      <c r="QHU27" s="613">
        <f t="shared" ref="QHU27" si="5870">QHS27*$C$27</f>
        <v>1.0420750475107395E+30</v>
      </c>
      <c r="QHW27" s="613">
        <f t="shared" ref="QHW27" si="5871">QHU27*$C$27</f>
        <v>1.0524957979858469E+30</v>
      </c>
      <c r="QHY27" s="613">
        <f t="shared" ref="QHY27" si="5872">QHW27*$C$27</f>
        <v>1.0630207559657053E+30</v>
      </c>
      <c r="QIA27" s="613">
        <f t="shared" ref="QIA27" si="5873">QHY27*$C$27</f>
        <v>1.0736509635253623E+30</v>
      </c>
      <c r="QIC27" s="613">
        <f t="shared" ref="QIC27" si="5874">QIA27*$C$27</f>
        <v>1.084387473160616E+30</v>
      </c>
      <c r="QIE27" s="613">
        <f t="shared" ref="QIE27" si="5875">QIC27*$C$27</f>
        <v>1.0952313478922222E+30</v>
      </c>
      <c r="QIG27" s="613">
        <f t="shared" ref="QIG27" si="5876">QIE27*$C$27</f>
        <v>1.1061836613711444E+30</v>
      </c>
      <c r="QII27" s="613">
        <f t="shared" ref="QII27" si="5877">QIG27*$C$27</f>
        <v>1.1172454979848559E+30</v>
      </c>
      <c r="QIK27" s="613">
        <f t="shared" ref="QIK27" si="5878">QII27*$C$27</f>
        <v>1.1284179529647045E+30</v>
      </c>
      <c r="QIM27" s="613">
        <f t="shared" ref="QIM27" si="5879">QIK27*$C$27</f>
        <v>1.1397021324943515E+30</v>
      </c>
      <c r="QIO27" s="613">
        <f t="shared" ref="QIO27" si="5880">QIM27*$C$27</f>
        <v>1.1510991538192951E+30</v>
      </c>
      <c r="QIQ27" s="613">
        <f t="shared" ref="QIQ27" si="5881">QIO27*$C$27</f>
        <v>1.1626101453574881E+30</v>
      </c>
      <c r="QIS27" s="613">
        <f t="shared" ref="QIS27" si="5882">QIQ27*$C$27</f>
        <v>1.174236246811063E+30</v>
      </c>
      <c r="QIU27" s="613">
        <f t="shared" ref="QIU27" si="5883">QIS27*$C$27</f>
        <v>1.1859786092791737E+30</v>
      </c>
      <c r="QIW27" s="613">
        <f t="shared" ref="QIW27" si="5884">QIU27*$C$27</f>
        <v>1.1978383953719654E+30</v>
      </c>
      <c r="QIY27" s="613">
        <f t="shared" ref="QIY27" si="5885">QIW27*$C$27</f>
        <v>1.2098167793256851E+30</v>
      </c>
      <c r="QJA27" s="613">
        <f t="shared" ref="QJA27" si="5886">QIY27*$C$27</f>
        <v>1.221914947118942E+30</v>
      </c>
      <c r="QJC27" s="613">
        <f t="shared" ref="QJC27" si="5887">QJA27*$C$27</f>
        <v>1.2341340965901314E+30</v>
      </c>
      <c r="QJE27" s="613">
        <f t="shared" ref="QJE27" si="5888">QJC27*$C$27</f>
        <v>1.2464754375560327E+30</v>
      </c>
      <c r="QJG27" s="613">
        <f t="shared" ref="QJG27" si="5889">QJE27*$C$27</f>
        <v>1.258940191931593E+30</v>
      </c>
      <c r="QJI27" s="613">
        <f t="shared" ref="QJI27" si="5890">QJG27*$C$27</f>
        <v>1.2715295938509091E+30</v>
      </c>
      <c r="QJK27" s="613">
        <f t="shared" ref="QJK27" si="5891">QJI27*$C$27</f>
        <v>1.2842448897894183E+30</v>
      </c>
      <c r="QJM27" s="613">
        <f t="shared" ref="QJM27" si="5892">QJK27*$C$27</f>
        <v>1.2970873386873124E+30</v>
      </c>
      <c r="QJO27" s="613">
        <f t="shared" ref="QJO27" si="5893">QJM27*$C$27</f>
        <v>1.3100582120741857E+30</v>
      </c>
      <c r="QJQ27" s="613">
        <f t="shared" ref="QJQ27" si="5894">QJO27*$C$27</f>
        <v>1.3231587941949276E+30</v>
      </c>
      <c r="QJS27" s="613">
        <f t="shared" ref="QJS27" si="5895">QJQ27*$C$27</f>
        <v>1.3363903821368769E+30</v>
      </c>
      <c r="QJU27" s="613">
        <f t="shared" ref="QJU27" si="5896">QJS27*$C$27</f>
        <v>1.3497542859582456E+30</v>
      </c>
      <c r="QJW27" s="613">
        <f t="shared" ref="QJW27" si="5897">QJU27*$C$27</f>
        <v>1.3632518288178282E+30</v>
      </c>
      <c r="QJY27" s="613">
        <f t="shared" ref="QJY27" si="5898">QJW27*$C$27</f>
        <v>1.3768843471060064E+30</v>
      </c>
      <c r="QKA27" s="613">
        <f t="shared" ref="QKA27" si="5899">QJY27*$C$27</f>
        <v>1.3906531905770665E+30</v>
      </c>
      <c r="QKC27" s="613">
        <f t="shared" ref="QKC27" si="5900">QKA27*$C$27</f>
        <v>1.4045597224828371E+30</v>
      </c>
      <c r="QKE27" s="613">
        <f t="shared" ref="QKE27" si="5901">QKC27*$C$27</f>
        <v>1.4186053197076655E+30</v>
      </c>
      <c r="QKG27" s="613">
        <f t="shared" ref="QKG27" si="5902">QKE27*$C$27</f>
        <v>1.4327913729047422E+30</v>
      </c>
      <c r="QKI27" s="613">
        <f t="shared" ref="QKI27" si="5903">QKG27*$C$27</f>
        <v>1.4471192866337895E+30</v>
      </c>
      <c r="QKK27" s="613">
        <f t="shared" ref="QKK27" si="5904">QKI27*$C$27</f>
        <v>1.4615904795001275E+30</v>
      </c>
      <c r="QKM27" s="613">
        <f t="shared" ref="QKM27" si="5905">QKK27*$C$27</f>
        <v>1.4762063842951288E+30</v>
      </c>
      <c r="QKO27" s="613">
        <f t="shared" ref="QKO27" si="5906">QKM27*$C$27</f>
        <v>1.49096844813808E+30</v>
      </c>
      <c r="QKQ27" s="613">
        <f t="shared" ref="QKQ27" si="5907">QKO27*$C$27</f>
        <v>1.5058781326194607E+30</v>
      </c>
      <c r="QKS27" s="613">
        <f t="shared" ref="QKS27" si="5908">QKQ27*$C$27</f>
        <v>1.5209369139456553E+30</v>
      </c>
      <c r="QKU27" s="613">
        <f t="shared" ref="QKU27" si="5909">QKS27*$C$27</f>
        <v>1.536146283085112E+30</v>
      </c>
      <c r="QKW27" s="613">
        <f t="shared" ref="QKW27" si="5910">QKU27*$C$27</f>
        <v>1.5515077459159631E+30</v>
      </c>
      <c r="QKY27" s="613">
        <f t="shared" ref="QKY27" si="5911">QKW27*$C$27</f>
        <v>1.5670228233751228E+30</v>
      </c>
      <c r="QLA27" s="613">
        <f t="shared" ref="QLA27" si="5912">QKY27*$C$27</f>
        <v>1.582693051608874E+30</v>
      </c>
      <c r="QLC27" s="613">
        <f t="shared" ref="QLC27" si="5913">QLA27*$C$27</f>
        <v>1.5985199821249629E+30</v>
      </c>
      <c r="QLE27" s="613">
        <f t="shared" ref="QLE27" si="5914">QLC27*$C$27</f>
        <v>1.6145051819462126E+30</v>
      </c>
      <c r="QLG27" s="613">
        <f t="shared" ref="QLG27" si="5915">QLE27*$C$27</f>
        <v>1.6306502337656747E+30</v>
      </c>
      <c r="QLI27" s="613">
        <f t="shared" ref="QLI27" si="5916">QLG27*$C$27</f>
        <v>1.6469567361033316E+30</v>
      </c>
      <c r="QLK27" s="613">
        <f t="shared" ref="QLK27" si="5917">QLI27*$C$27</f>
        <v>1.6634263034643648E+30</v>
      </c>
      <c r="QLM27" s="613">
        <f t="shared" ref="QLM27" si="5918">QLK27*$C$27</f>
        <v>1.6800605664990085E+30</v>
      </c>
      <c r="QLO27" s="613">
        <f t="shared" ref="QLO27" si="5919">QLM27*$C$27</f>
        <v>1.6968611721639987E+30</v>
      </c>
      <c r="QLQ27" s="613">
        <f t="shared" ref="QLQ27" si="5920">QLO27*$C$27</f>
        <v>1.7138297838856387E+30</v>
      </c>
      <c r="QLS27" s="613">
        <f t="shared" ref="QLS27" si="5921">QLQ27*$C$27</f>
        <v>1.7309680817244951E+30</v>
      </c>
      <c r="QLU27" s="613">
        <f t="shared" ref="QLU27" si="5922">QLS27*$C$27</f>
        <v>1.7482777625417401E+30</v>
      </c>
      <c r="QLW27" s="613">
        <f t="shared" ref="QLW27" si="5923">QLU27*$C$27</f>
        <v>1.7657605401671576E+30</v>
      </c>
      <c r="QLY27" s="613">
        <f t="shared" ref="QLY27" si="5924">QLW27*$C$27</f>
        <v>1.7834181455688291E+30</v>
      </c>
      <c r="QMA27" s="613">
        <f t="shared" ref="QMA27" si="5925">QLY27*$C$27</f>
        <v>1.8012523270245174E+30</v>
      </c>
      <c r="QMC27" s="613">
        <f t="shared" ref="QMC27" si="5926">QMA27*$C$27</f>
        <v>1.8192648502947624E+30</v>
      </c>
      <c r="QME27" s="613">
        <f t="shared" ref="QME27" si="5927">QMC27*$C$27</f>
        <v>1.8374574987977102E+30</v>
      </c>
      <c r="QMG27" s="613">
        <f t="shared" ref="QMG27" si="5928">QME27*$C$27</f>
        <v>1.8558320737856874E+30</v>
      </c>
      <c r="QMI27" s="613">
        <f t="shared" ref="QMI27" si="5929">QMG27*$C$27</f>
        <v>1.8743903945235442E+30</v>
      </c>
      <c r="QMK27" s="613">
        <f t="shared" ref="QMK27" si="5930">QMI27*$C$27</f>
        <v>1.8931342984687797E+30</v>
      </c>
      <c r="QMM27" s="613">
        <f t="shared" ref="QMM27" si="5931">QMK27*$C$27</f>
        <v>1.9120656414534675E+30</v>
      </c>
      <c r="QMO27" s="613">
        <f t="shared" ref="QMO27" si="5932">QMM27*$C$27</f>
        <v>1.9311862978680022E+30</v>
      </c>
      <c r="QMQ27" s="613">
        <f t="shared" ref="QMQ27" si="5933">QMO27*$C$27</f>
        <v>1.9504981608466823E+30</v>
      </c>
      <c r="QMS27" s="613">
        <f t="shared" ref="QMS27" si="5934">QMQ27*$C$27</f>
        <v>1.9700031424551491E+30</v>
      </c>
      <c r="QMU27" s="613">
        <f t="shared" ref="QMU27" si="5935">QMS27*$C$27</f>
        <v>1.9897031738797006E+30</v>
      </c>
      <c r="QMW27" s="613">
        <f t="shared" ref="QMW27" si="5936">QMU27*$C$27</f>
        <v>2.0096002056184977E+30</v>
      </c>
      <c r="QMY27" s="613">
        <f t="shared" ref="QMY27" si="5937">QMW27*$C$27</f>
        <v>2.0296962076746826E+30</v>
      </c>
      <c r="QNA27" s="613">
        <f t="shared" ref="QNA27" si="5938">QMY27*$C$27</f>
        <v>2.0499931697514295E+30</v>
      </c>
      <c r="QNC27" s="613">
        <f t="shared" ref="QNC27" si="5939">QNA27*$C$27</f>
        <v>2.0704931014489438E+30</v>
      </c>
      <c r="QNE27" s="613">
        <f t="shared" ref="QNE27" si="5940">QNC27*$C$27</f>
        <v>2.0911980324634332E+30</v>
      </c>
      <c r="QNG27" s="613">
        <f t="shared" ref="QNG27" si="5941">QNE27*$C$27</f>
        <v>2.1121100127880674E+30</v>
      </c>
      <c r="QNI27" s="613">
        <f t="shared" ref="QNI27" si="5942">QNG27*$C$27</f>
        <v>2.1332311129159482E+30</v>
      </c>
      <c r="QNK27" s="613">
        <f t="shared" ref="QNK27" si="5943">QNI27*$C$27</f>
        <v>2.1545634240451076E+30</v>
      </c>
      <c r="QNM27" s="613">
        <f t="shared" ref="QNM27" si="5944">QNK27*$C$27</f>
        <v>2.1761090582855587E+30</v>
      </c>
      <c r="QNO27" s="613">
        <f t="shared" ref="QNO27" si="5945">QNM27*$C$27</f>
        <v>2.1978701488684144E+30</v>
      </c>
      <c r="QNQ27" s="613">
        <f t="shared" ref="QNQ27" si="5946">QNO27*$C$27</f>
        <v>2.2198488503570985E+30</v>
      </c>
      <c r="QNS27" s="613">
        <f t="shared" ref="QNS27" si="5947">QNQ27*$C$27</f>
        <v>2.2420473388606694E+30</v>
      </c>
      <c r="QNU27" s="613">
        <f t="shared" ref="QNU27" si="5948">QNS27*$C$27</f>
        <v>2.2644678122492762E+30</v>
      </c>
      <c r="QNW27" s="613">
        <f t="shared" ref="QNW27" si="5949">QNU27*$C$27</f>
        <v>2.2871124903717691E+30</v>
      </c>
      <c r="QNY27" s="613">
        <f t="shared" ref="QNY27" si="5950">QNW27*$C$27</f>
        <v>2.3099836152754869E+30</v>
      </c>
      <c r="QOA27" s="613">
        <f t="shared" ref="QOA27" si="5951">QNY27*$C$27</f>
        <v>2.3330834514282419E+30</v>
      </c>
      <c r="QOC27" s="613">
        <f t="shared" ref="QOC27" si="5952">QOA27*$C$27</f>
        <v>2.3564142859425243E+30</v>
      </c>
      <c r="QOE27" s="613">
        <f t="shared" ref="QOE27" si="5953">QOC27*$C$27</f>
        <v>2.3799784288019495E+30</v>
      </c>
      <c r="QOG27" s="613">
        <f t="shared" ref="QOG27" si="5954">QOE27*$C$27</f>
        <v>2.4037782130899689E+30</v>
      </c>
      <c r="QOI27" s="613">
        <f t="shared" ref="QOI27" si="5955">QOG27*$C$27</f>
        <v>2.4278159952208688E+30</v>
      </c>
      <c r="QOK27" s="613">
        <f t="shared" ref="QOK27" si="5956">QOI27*$C$27</f>
        <v>2.4520941551730773E+30</v>
      </c>
      <c r="QOM27" s="613">
        <f t="shared" ref="QOM27" si="5957">QOK27*$C$27</f>
        <v>2.4766150967248083E+30</v>
      </c>
      <c r="QOO27" s="613">
        <f t="shared" ref="QOO27" si="5958">QOM27*$C$27</f>
        <v>2.5013812476920565E+30</v>
      </c>
      <c r="QOQ27" s="613">
        <f t="shared" ref="QOQ27" si="5959">QOO27*$C$27</f>
        <v>2.526395060168977E+30</v>
      </c>
      <c r="QOS27" s="613">
        <f t="shared" ref="QOS27" si="5960">QOQ27*$C$27</f>
        <v>2.5516590107706666E+30</v>
      </c>
      <c r="QOU27" s="613">
        <f t="shared" ref="QOU27" si="5961">QOS27*$C$27</f>
        <v>2.5771756008783736E+30</v>
      </c>
      <c r="QOW27" s="613">
        <f t="shared" ref="QOW27" si="5962">QOU27*$C$27</f>
        <v>2.6029473568871576E+30</v>
      </c>
      <c r="QOY27" s="613">
        <f t="shared" ref="QOY27" si="5963">QOW27*$C$27</f>
        <v>2.6289768304560291E+30</v>
      </c>
      <c r="QPA27" s="613">
        <f t="shared" ref="QPA27" si="5964">QOY27*$C$27</f>
        <v>2.6552665987605896E+30</v>
      </c>
      <c r="QPC27" s="613">
        <f t="shared" ref="QPC27" si="5965">QPA27*$C$27</f>
        <v>2.6818192647481954E+30</v>
      </c>
      <c r="QPE27" s="613">
        <f t="shared" ref="QPE27" si="5966">QPC27*$C$27</f>
        <v>2.7086374573956774E+30</v>
      </c>
      <c r="QPG27" s="613">
        <f t="shared" ref="QPG27" si="5967">QPE27*$C$27</f>
        <v>2.735723831969634E+30</v>
      </c>
      <c r="QPI27" s="613">
        <f t="shared" ref="QPI27" si="5968">QPG27*$C$27</f>
        <v>2.7630810702893303E+30</v>
      </c>
      <c r="QPK27" s="613">
        <f t="shared" ref="QPK27" si="5969">QPI27*$C$27</f>
        <v>2.7907118809922235E+30</v>
      </c>
      <c r="QPM27" s="613">
        <f t="shared" ref="QPM27" si="5970">QPK27*$C$27</f>
        <v>2.8186189998021459E+30</v>
      </c>
      <c r="QPO27" s="613">
        <f t="shared" ref="QPO27" si="5971">QPM27*$C$27</f>
        <v>2.8468051898001671E+30</v>
      </c>
      <c r="QPQ27" s="613">
        <f t="shared" ref="QPQ27" si="5972">QPO27*$C$27</f>
        <v>2.875273241698169E+30</v>
      </c>
      <c r="QPS27" s="613">
        <f t="shared" ref="QPS27" si="5973">QPQ27*$C$27</f>
        <v>2.9040259741151509E+30</v>
      </c>
      <c r="QPU27" s="613">
        <f t="shared" ref="QPU27" si="5974">QPS27*$C$27</f>
        <v>2.9330662338563023E+30</v>
      </c>
      <c r="QPW27" s="613">
        <f t="shared" ref="QPW27" si="5975">QPU27*$C$27</f>
        <v>2.9623968961948654E+30</v>
      </c>
      <c r="QPY27" s="613">
        <f t="shared" ref="QPY27" si="5976">QPW27*$C$27</f>
        <v>2.9920208651568139E+30</v>
      </c>
      <c r="QQA27" s="613">
        <f t="shared" ref="QQA27" si="5977">QPY27*$C$27</f>
        <v>3.0219410738083823E+30</v>
      </c>
      <c r="QQC27" s="613">
        <f t="shared" ref="QQC27" si="5978">QQA27*$C$27</f>
        <v>3.0521604845464664E+30</v>
      </c>
      <c r="QQE27" s="613">
        <f t="shared" ref="QQE27" si="5979">QQC27*$C$27</f>
        <v>3.082682089391931E+30</v>
      </c>
      <c r="QQG27" s="613">
        <f t="shared" ref="QQG27" si="5980">QQE27*$C$27</f>
        <v>3.1135089102858503E+30</v>
      </c>
      <c r="QQI27" s="613">
        <f t="shared" ref="QQI27" si="5981">QQG27*$C$27</f>
        <v>3.1446439993887088E+30</v>
      </c>
      <c r="QQK27" s="613">
        <f t="shared" ref="QQK27" si="5982">QQI27*$C$27</f>
        <v>3.176090439382596E+30</v>
      </c>
      <c r="QQM27" s="613">
        <f t="shared" ref="QQM27" si="5983">QQK27*$C$27</f>
        <v>3.2078513437764218E+30</v>
      </c>
      <c r="QQO27" s="613">
        <f t="shared" ref="QQO27" si="5984">QQM27*$C$27</f>
        <v>3.2399298572141859E+30</v>
      </c>
      <c r="QQQ27" s="613">
        <f t="shared" ref="QQQ27" si="5985">QQO27*$C$27</f>
        <v>3.2723291557863278E+30</v>
      </c>
      <c r="QQS27" s="613">
        <f t="shared" ref="QQS27" si="5986">QQQ27*$C$27</f>
        <v>3.3050524473441911E+30</v>
      </c>
      <c r="QQU27" s="613">
        <f t="shared" ref="QQU27" si="5987">QQS27*$C$27</f>
        <v>3.3381029718176331E+30</v>
      </c>
      <c r="QQW27" s="613">
        <f t="shared" ref="QQW27" si="5988">QQU27*$C$27</f>
        <v>3.3714840015358096E+30</v>
      </c>
      <c r="QQY27" s="613">
        <f t="shared" ref="QQY27" si="5989">QQW27*$C$27</f>
        <v>3.405198841551168E+30</v>
      </c>
      <c r="QRA27" s="613">
        <f t="shared" ref="QRA27" si="5990">QQY27*$C$27</f>
        <v>3.4392508299666795E+30</v>
      </c>
      <c r="QRC27" s="613">
        <f t="shared" ref="QRC27" si="5991">QRA27*$C$27</f>
        <v>3.4736433382663463E+30</v>
      </c>
      <c r="QRE27" s="613">
        <f t="shared" ref="QRE27" si="5992">QRC27*$C$27</f>
        <v>3.5083797716490095E+30</v>
      </c>
      <c r="QRG27" s="613">
        <f t="shared" ref="QRG27" si="5993">QRE27*$C$27</f>
        <v>3.5434635693654996E+30</v>
      </c>
      <c r="QRI27" s="613">
        <f t="shared" ref="QRI27" si="5994">QRG27*$C$27</f>
        <v>3.5788982050591544E+30</v>
      </c>
      <c r="QRK27" s="613">
        <f t="shared" ref="QRK27" si="5995">QRI27*$C$27</f>
        <v>3.6146871871097459E+30</v>
      </c>
      <c r="QRM27" s="613">
        <f t="shared" ref="QRM27" si="5996">QRK27*$C$27</f>
        <v>3.6508340589808436E+30</v>
      </c>
      <c r="QRO27" s="613">
        <f t="shared" ref="QRO27" si="5997">QRM27*$C$27</f>
        <v>3.6873423995706521E+30</v>
      </c>
      <c r="QRQ27" s="613">
        <f t="shared" ref="QRQ27" si="5998">QRO27*$C$27</f>
        <v>3.7242158235663588E+30</v>
      </c>
      <c r="QRS27" s="613">
        <f t="shared" ref="QRS27" si="5999">QRQ27*$C$27</f>
        <v>3.7614579818020222E+30</v>
      </c>
      <c r="QRU27" s="613">
        <f t="shared" ref="QRU27" si="6000">QRS27*$C$27</f>
        <v>3.7990725616200425E+30</v>
      </c>
      <c r="QRW27" s="613">
        <f t="shared" ref="QRW27" si="6001">QRU27*$C$27</f>
        <v>3.837063287236243E+30</v>
      </c>
      <c r="QRY27" s="613">
        <f t="shared" ref="QRY27" si="6002">QRW27*$C$27</f>
        <v>3.8754339201086054E+30</v>
      </c>
      <c r="QSA27" s="613">
        <f t="shared" ref="QSA27" si="6003">QRY27*$C$27</f>
        <v>3.9141882593096917E+30</v>
      </c>
      <c r="QSC27" s="613">
        <f t="shared" ref="QSC27" si="6004">QSA27*$C$27</f>
        <v>3.9533301419027885E+30</v>
      </c>
      <c r="QSE27" s="613">
        <f t="shared" ref="QSE27" si="6005">QSC27*$C$27</f>
        <v>3.9928634433218165E+30</v>
      </c>
      <c r="QSG27" s="613">
        <f t="shared" ref="QSG27" si="6006">QSE27*$C$27</f>
        <v>4.0327920777550344E+30</v>
      </c>
      <c r="QSI27" s="613">
        <f t="shared" ref="QSI27" si="6007">QSG27*$C$27</f>
        <v>4.0731199985325847E+30</v>
      </c>
      <c r="QSK27" s="613">
        <f t="shared" ref="QSK27" si="6008">QSI27*$C$27</f>
        <v>4.1138511985179106E+30</v>
      </c>
      <c r="QSM27" s="613">
        <f t="shared" ref="QSM27" si="6009">QSK27*$C$27</f>
        <v>4.1549897105030897E+30</v>
      </c>
      <c r="QSO27" s="613">
        <f t="shared" ref="QSO27" si="6010">QSM27*$C$27</f>
        <v>4.1965396076081204E+30</v>
      </c>
      <c r="QSQ27" s="613">
        <f t="shared" ref="QSQ27" si="6011">QSO27*$C$27</f>
        <v>4.2385050036842014E+30</v>
      </c>
      <c r="QSS27" s="613">
        <f t="shared" ref="QSS27" si="6012">QSQ27*$C$27</f>
        <v>4.2808900537210434E+30</v>
      </c>
      <c r="QSU27" s="613">
        <f t="shared" ref="QSU27" si="6013">QSS27*$C$27</f>
        <v>4.3236989542582539E+30</v>
      </c>
      <c r="QSW27" s="613">
        <f t="shared" ref="QSW27" si="6014">QSU27*$C$27</f>
        <v>4.3669359438008367E+30</v>
      </c>
      <c r="QSY27" s="613">
        <f t="shared" ref="QSY27" si="6015">QSW27*$C$27</f>
        <v>4.410605303238845E+30</v>
      </c>
      <c r="QTA27" s="613">
        <f t="shared" ref="QTA27" si="6016">QSY27*$C$27</f>
        <v>4.4547113562712332E+30</v>
      </c>
      <c r="QTC27" s="613">
        <f t="shared" ref="QTC27" si="6017">QTA27*$C$27</f>
        <v>4.4992584698339457E+30</v>
      </c>
      <c r="QTE27" s="613">
        <f t="shared" ref="QTE27" si="6018">QTC27*$C$27</f>
        <v>4.544251054532285E+30</v>
      </c>
      <c r="QTG27" s="613">
        <f t="shared" ref="QTG27" si="6019">QTE27*$C$27</f>
        <v>4.5896935650776077E+30</v>
      </c>
      <c r="QTI27" s="613">
        <f t="shared" ref="QTI27" si="6020">QTG27*$C$27</f>
        <v>4.6355905007283836E+30</v>
      </c>
      <c r="QTK27" s="613">
        <f t="shared" ref="QTK27" si="6021">QTI27*$C$27</f>
        <v>4.6819464057356675E+30</v>
      </c>
      <c r="QTM27" s="613">
        <f t="shared" ref="QTM27" si="6022">QTK27*$C$27</f>
        <v>4.7287658697930243E+30</v>
      </c>
      <c r="QTO27" s="613">
        <f t="shared" ref="QTO27" si="6023">QTM27*$C$27</f>
        <v>4.7760535284909545E+30</v>
      </c>
      <c r="QTQ27" s="613">
        <f t="shared" ref="QTQ27" si="6024">QTO27*$C$27</f>
        <v>4.823814063775864E+30</v>
      </c>
      <c r="QTS27" s="613">
        <f t="shared" ref="QTS27" si="6025">QTQ27*$C$27</f>
        <v>4.8720522044136228E+30</v>
      </c>
      <c r="QTU27" s="613">
        <f t="shared" ref="QTU27" si="6026">QTS27*$C$27</f>
        <v>4.920772726457759E+30</v>
      </c>
      <c r="QTW27" s="613">
        <f t="shared" ref="QTW27" si="6027">QTU27*$C$27</f>
        <v>4.9699804537223368E+30</v>
      </c>
      <c r="QTY27" s="613">
        <f t="shared" ref="QTY27" si="6028">QTW27*$C$27</f>
        <v>5.01968025825956E+30</v>
      </c>
      <c r="QUA27" s="613">
        <f t="shared" ref="QUA27" si="6029">QTY27*$C$27</f>
        <v>5.0698770608421557E+30</v>
      </c>
      <c r="QUC27" s="613">
        <f t="shared" ref="QUC27" si="6030">QUA27*$C$27</f>
        <v>5.1205758314505778E+30</v>
      </c>
      <c r="QUE27" s="613">
        <f t="shared" ref="QUE27" si="6031">QUC27*$C$27</f>
        <v>5.1717815897650832E+30</v>
      </c>
      <c r="QUG27" s="613">
        <f t="shared" ref="QUG27" si="6032">QUE27*$C$27</f>
        <v>5.2234994056627346E+30</v>
      </c>
      <c r="QUI27" s="613">
        <f t="shared" ref="QUI27" si="6033">QUG27*$C$27</f>
        <v>5.2757343997193623E+30</v>
      </c>
      <c r="QUK27" s="613">
        <f t="shared" ref="QUK27" si="6034">QUI27*$C$27</f>
        <v>5.3284917437165555E+30</v>
      </c>
      <c r="QUM27" s="613">
        <f t="shared" ref="QUM27" si="6035">QUK27*$C$27</f>
        <v>5.3817766611537207E+30</v>
      </c>
      <c r="QUO27" s="613">
        <f t="shared" ref="QUO27" si="6036">QUM27*$C$27</f>
        <v>5.4355944277652576E+30</v>
      </c>
      <c r="QUQ27" s="613">
        <f t="shared" ref="QUQ27" si="6037">QUO27*$C$27</f>
        <v>5.4899503720429107E+30</v>
      </c>
      <c r="QUS27" s="613">
        <f t="shared" ref="QUS27" si="6038">QUQ27*$C$27</f>
        <v>5.5448498757633399E+30</v>
      </c>
      <c r="QUU27" s="613">
        <f t="shared" ref="QUU27" si="6039">QUS27*$C$27</f>
        <v>5.6002983745209731E+30</v>
      </c>
      <c r="QUW27" s="613">
        <f t="shared" ref="QUW27" si="6040">QUU27*$C$27</f>
        <v>5.6563013582661827E+30</v>
      </c>
      <c r="QUY27" s="613">
        <f t="shared" ref="QUY27" si="6041">QUW27*$C$27</f>
        <v>5.7128643718488442E+30</v>
      </c>
      <c r="QVA27" s="613">
        <f t="shared" ref="QVA27" si="6042">QUY27*$C$27</f>
        <v>5.7699930155673331E+30</v>
      </c>
      <c r="QVC27" s="613">
        <f t="shared" ref="QVC27" si="6043">QVA27*$C$27</f>
        <v>5.8276929457230069E+30</v>
      </c>
      <c r="QVE27" s="613">
        <f t="shared" ref="QVE27" si="6044">QVC27*$C$27</f>
        <v>5.8859698751802367E+30</v>
      </c>
      <c r="QVG27" s="613">
        <f t="shared" ref="QVG27" si="6045">QVE27*$C$27</f>
        <v>5.9448295739320388E+30</v>
      </c>
      <c r="QVI27" s="613">
        <f t="shared" ref="QVI27" si="6046">QVG27*$C$27</f>
        <v>6.0042778696713589E+30</v>
      </c>
      <c r="QVK27" s="613">
        <f t="shared" ref="QVK27" si="6047">QVI27*$C$27</f>
        <v>6.064320648368072E+30</v>
      </c>
      <c r="QVM27" s="613">
        <f t="shared" ref="QVM27" si="6048">QVK27*$C$27</f>
        <v>6.1249638548517528E+30</v>
      </c>
      <c r="QVO27" s="613">
        <f t="shared" ref="QVO27" si="6049">QVM27*$C$27</f>
        <v>6.1862134934002701E+30</v>
      </c>
      <c r="QVQ27" s="613">
        <f t="shared" ref="QVQ27" si="6050">QVO27*$C$27</f>
        <v>6.2480756283342723E+30</v>
      </c>
      <c r="QVS27" s="613">
        <f t="shared" ref="QVS27" si="6051">QVQ27*$C$27</f>
        <v>6.310556384617615E+30</v>
      </c>
      <c r="QVU27" s="613">
        <f t="shared" ref="QVU27" si="6052">QVS27*$C$27</f>
        <v>6.3736619484637911E+30</v>
      </c>
      <c r="QVW27" s="613">
        <f t="shared" ref="QVW27" si="6053">QVU27*$C$27</f>
        <v>6.4373985679484291E+30</v>
      </c>
      <c r="QVY27" s="613">
        <f t="shared" ref="QVY27" si="6054">QVW27*$C$27</f>
        <v>6.5017725536279136E+30</v>
      </c>
      <c r="QWA27" s="613">
        <f t="shared" ref="QWA27" si="6055">QVY27*$C$27</f>
        <v>6.5667902791641928E+30</v>
      </c>
      <c r="QWC27" s="613">
        <f t="shared" ref="QWC27" si="6056">QWA27*$C$27</f>
        <v>6.6324581819558348E+30</v>
      </c>
      <c r="QWE27" s="613">
        <f t="shared" ref="QWE27" si="6057">QWC27*$C$27</f>
        <v>6.6987827637753932E+30</v>
      </c>
      <c r="QWG27" s="613">
        <f t="shared" ref="QWG27" si="6058">QWE27*$C$27</f>
        <v>6.7657705914131475E+30</v>
      </c>
      <c r="QWI27" s="613">
        <f t="shared" ref="QWI27" si="6059">QWG27*$C$27</f>
        <v>6.8334282973272788E+30</v>
      </c>
      <c r="QWK27" s="613">
        <f t="shared" ref="QWK27" si="6060">QWI27*$C$27</f>
        <v>6.9017625803005521E+30</v>
      </c>
      <c r="QWM27" s="613">
        <f t="shared" ref="QWM27" si="6061">QWK27*$C$27</f>
        <v>6.9707802061035575E+30</v>
      </c>
      <c r="QWO27" s="613">
        <f t="shared" ref="QWO27" si="6062">QWM27*$C$27</f>
        <v>7.0404880081645934E+30</v>
      </c>
      <c r="QWQ27" s="613">
        <f t="shared" ref="QWQ27" si="6063">QWO27*$C$27</f>
        <v>7.1108928882462393E+30</v>
      </c>
      <c r="QWS27" s="613">
        <f t="shared" ref="QWS27" si="6064">QWQ27*$C$27</f>
        <v>7.1820018171287016E+30</v>
      </c>
      <c r="QWU27" s="613">
        <f t="shared" ref="QWU27" si="6065">QWS27*$C$27</f>
        <v>7.2538218352999886E+30</v>
      </c>
      <c r="QWW27" s="613">
        <f t="shared" ref="QWW27" si="6066">QWU27*$C$27</f>
        <v>7.3263600536529885E+30</v>
      </c>
      <c r="QWY27" s="613">
        <f t="shared" ref="QWY27" si="6067">QWW27*$C$27</f>
        <v>7.3996236541895179E+30</v>
      </c>
      <c r="QXA27" s="613">
        <f t="shared" ref="QXA27" si="6068">QWY27*$C$27</f>
        <v>7.473619890731413E+30</v>
      </c>
      <c r="QXC27" s="613">
        <f t="shared" ref="QXC27" si="6069">QXA27*$C$27</f>
        <v>7.5483560896387277E+30</v>
      </c>
      <c r="QXE27" s="613">
        <f t="shared" ref="QXE27" si="6070">QXC27*$C$27</f>
        <v>7.6238396505351145E+30</v>
      </c>
      <c r="QXG27" s="613">
        <f t="shared" ref="QXG27" si="6071">QXE27*$C$27</f>
        <v>7.7000780470404653E+30</v>
      </c>
      <c r="QXI27" s="613">
        <f t="shared" ref="QXI27" si="6072">QXG27*$C$27</f>
        <v>7.7770788275108696E+30</v>
      </c>
      <c r="QXK27" s="613">
        <f t="shared" ref="QXK27" si="6073">QXI27*$C$27</f>
        <v>7.8548496157859782E+30</v>
      </c>
      <c r="QXM27" s="613">
        <f t="shared" ref="QXM27" si="6074">QXK27*$C$27</f>
        <v>7.9333981119438377E+30</v>
      </c>
      <c r="QXO27" s="613">
        <f t="shared" ref="QXO27" si="6075">QXM27*$C$27</f>
        <v>8.0127320930632757E+30</v>
      </c>
      <c r="QXQ27" s="613">
        <f t="shared" ref="QXQ27" si="6076">QXO27*$C$27</f>
        <v>8.0928594139939083E+30</v>
      </c>
      <c r="QXS27" s="613">
        <f t="shared" ref="QXS27" si="6077">QXQ27*$C$27</f>
        <v>8.1737880081338475E+30</v>
      </c>
      <c r="QXU27" s="613">
        <f t="shared" ref="QXU27" si="6078">QXS27*$C$27</f>
        <v>8.2555258882151864E+30</v>
      </c>
      <c r="QXW27" s="613">
        <f t="shared" ref="QXW27" si="6079">QXU27*$C$27</f>
        <v>8.3380811470973379E+30</v>
      </c>
      <c r="QXY27" s="613">
        <f t="shared" ref="QXY27" si="6080">QXW27*$C$27</f>
        <v>8.421461958568311E+30</v>
      </c>
      <c r="QYA27" s="613">
        <f t="shared" ref="QYA27" si="6081">QXY27*$C$27</f>
        <v>8.5056765781539939E+30</v>
      </c>
      <c r="QYC27" s="613">
        <f t="shared" ref="QYC27" si="6082">QYA27*$C$27</f>
        <v>8.590733343935534E+30</v>
      </c>
      <c r="QYE27" s="613">
        <f t="shared" ref="QYE27" si="6083">QYC27*$C$27</f>
        <v>8.6766406773748889E+30</v>
      </c>
      <c r="QYG27" s="613">
        <f t="shared" ref="QYG27" si="6084">QYE27*$C$27</f>
        <v>8.7634070841486384E+30</v>
      </c>
      <c r="QYI27" s="613">
        <f t="shared" ref="QYI27" si="6085">QYG27*$C$27</f>
        <v>8.8510411549901245E+30</v>
      </c>
      <c r="QYK27" s="613">
        <f t="shared" ref="QYK27" si="6086">QYI27*$C$27</f>
        <v>8.9395515665400258E+30</v>
      </c>
      <c r="QYM27" s="613">
        <f t="shared" ref="QYM27" si="6087">QYK27*$C$27</f>
        <v>9.028947082205426E+30</v>
      </c>
      <c r="QYO27" s="613">
        <f t="shared" ref="QYO27" si="6088">QYM27*$C$27</f>
        <v>9.1192365530274806E+30</v>
      </c>
      <c r="QYQ27" s="613">
        <f t="shared" ref="QYQ27" si="6089">QYO27*$C$27</f>
        <v>9.2104289185577558E+30</v>
      </c>
      <c r="QYS27" s="613">
        <f t="shared" ref="QYS27" si="6090">QYQ27*$C$27</f>
        <v>9.3025332077433338E+30</v>
      </c>
      <c r="QYU27" s="613">
        <f t="shared" ref="QYU27" si="6091">QYS27*$C$27</f>
        <v>9.395558539820767E+30</v>
      </c>
      <c r="QYW27" s="613">
        <f t="shared" ref="QYW27" si="6092">QYU27*$C$27</f>
        <v>9.4895141252189744E+30</v>
      </c>
      <c r="QYY27" s="613">
        <f t="shared" ref="QYY27" si="6093">QYW27*$C$27</f>
        <v>9.5844092664711641E+30</v>
      </c>
      <c r="QZA27" s="613">
        <f t="shared" ref="QZA27" si="6094">QYY27*$C$27</f>
        <v>9.6802533591358758E+30</v>
      </c>
      <c r="QZC27" s="613">
        <f t="shared" ref="QZC27" si="6095">QZA27*$C$27</f>
        <v>9.7770558927272342E+30</v>
      </c>
      <c r="QZE27" s="613">
        <f t="shared" ref="QZE27" si="6096">QZC27*$C$27</f>
        <v>9.8748264516545069E+30</v>
      </c>
      <c r="QZG27" s="613">
        <f t="shared" ref="QZG27" si="6097">QZE27*$C$27</f>
        <v>9.973574716171052E+30</v>
      </c>
      <c r="QZI27" s="613">
        <f t="shared" ref="QZI27" si="6098">QZG27*$C$27</f>
        <v>1.0073310463332762E+31</v>
      </c>
      <c r="QZK27" s="613">
        <f t="shared" ref="QZK27" si="6099">QZI27*$C$27</f>
        <v>1.0174043567966091E+31</v>
      </c>
      <c r="QZM27" s="613">
        <f t="shared" ref="QZM27" si="6100">QZK27*$C$27</f>
        <v>1.0275784003645752E+31</v>
      </c>
      <c r="QZO27" s="613">
        <f t="shared" ref="QZO27" si="6101">QZM27*$C$27</f>
        <v>1.0378541843682211E+31</v>
      </c>
      <c r="QZQ27" s="613">
        <f t="shared" ref="QZQ27" si="6102">QZO27*$C$27</f>
        <v>1.0482327262119032E+31</v>
      </c>
      <c r="QZS27" s="613">
        <f t="shared" ref="QZS27" si="6103">QZQ27*$C$27</f>
        <v>1.0587150534740222E+31</v>
      </c>
      <c r="QZU27" s="613">
        <f t="shared" ref="QZU27" si="6104">QZS27*$C$27</f>
        <v>1.0693022040087625E+31</v>
      </c>
      <c r="QZW27" s="613">
        <f t="shared" ref="QZW27" si="6105">QZU27*$C$27</f>
        <v>1.0799952260488501E+31</v>
      </c>
      <c r="QZY27" s="613">
        <f t="shared" ref="QZY27" si="6106">QZW27*$C$27</f>
        <v>1.0907951783093385E+31</v>
      </c>
      <c r="RAA27" s="613">
        <f t="shared" ref="RAA27" si="6107">QZY27*$C$27</f>
        <v>1.1017031300924318E+31</v>
      </c>
      <c r="RAC27" s="613">
        <f t="shared" ref="RAC27" si="6108">RAA27*$C$27</f>
        <v>1.1127201613933562E+31</v>
      </c>
      <c r="RAE27" s="613">
        <f t="shared" ref="RAE27" si="6109">RAC27*$C$27</f>
        <v>1.1238473630072898E+31</v>
      </c>
      <c r="RAG27" s="613">
        <f t="shared" ref="RAG27" si="6110">RAE27*$C$27</f>
        <v>1.1350858366373626E+31</v>
      </c>
      <c r="RAI27" s="613">
        <f t="shared" ref="RAI27" si="6111">RAG27*$C$27</f>
        <v>1.1464366950037361E+31</v>
      </c>
      <c r="RAK27" s="613">
        <f t="shared" ref="RAK27" si="6112">RAI27*$C$27</f>
        <v>1.1579010619537736E+31</v>
      </c>
      <c r="RAM27" s="613">
        <f t="shared" ref="RAM27" si="6113">RAK27*$C$27</f>
        <v>1.1694800725733113E+31</v>
      </c>
      <c r="RAO27" s="613">
        <f t="shared" ref="RAO27" si="6114">RAM27*$C$27</f>
        <v>1.1811748732990445E+31</v>
      </c>
      <c r="RAQ27" s="613">
        <f t="shared" ref="RAQ27" si="6115">RAO27*$C$27</f>
        <v>1.1929866220320349E+31</v>
      </c>
      <c r="RAS27" s="613">
        <f t="shared" ref="RAS27" si="6116">RAQ27*$C$27</f>
        <v>1.2049164882523553E+31</v>
      </c>
      <c r="RAU27" s="613">
        <f t="shared" ref="RAU27" si="6117">RAS27*$C$27</f>
        <v>1.2169656531348788E+31</v>
      </c>
      <c r="RAW27" s="613">
        <f t="shared" ref="RAW27" si="6118">RAU27*$C$27</f>
        <v>1.2291353096662275E+31</v>
      </c>
      <c r="RAY27" s="613">
        <f t="shared" ref="RAY27" si="6119">RAW27*$C$27</f>
        <v>1.2414266627628898E+31</v>
      </c>
      <c r="RBA27" s="613">
        <f t="shared" ref="RBA27" si="6120">RAY27*$C$27</f>
        <v>1.2538409293905187E+31</v>
      </c>
      <c r="RBC27" s="613">
        <f t="shared" ref="RBC27" si="6121">RBA27*$C$27</f>
        <v>1.2663793386844238E+31</v>
      </c>
      <c r="RBE27" s="613">
        <f t="shared" ref="RBE27" si="6122">RBC27*$C$27</f>
        <v>1.279043132071268E+31</v>
      </c>
      <c r="RBG27" s="613">
        <f t="shared" ref="RBG27" si="6123">RBE27*$C$27</f>
        <v>1.2918335633919807E+31</v>
      </c>
      <c r="RBI27" s="613">
        <f t="shared" ref="RBI27" si="6124">RBG27*$C$27</f>
        <v>1.3047518990259006E+31</v>
      </c>
      <c r="RBK27" s="613">
        <f t="shared" ref="RBK27" si="6125">RBI27*$C$27</f>
        <v>1.3177994180161596E+31</v>
      </c>
      <c r="RBM27" s="613">
        <f t="shared" ref="RBM27" si="6126">RBK27*$C$27</f>
        <v>1.3309774121963213E+31</v>
      </c>
      <c r="RBO27" s="613">
        <f t="shared" ref="RBO27" si="6127">RBM27*$C$27</f>
        <v>1.3442871863182846E+31</v>
      </c>
      <c r="RBQ27" s="613">
        <f t="shared" ref="RBQ27" si="6128">RBO27*$C$27</f>
        <v>1.3577300581814674E+31</v>
      </c>
      <c r="RBS27" s="613">
        <f t="shared" ref="RBS27" si="6129">RBQ27*$C$27</f>
        <v>1.3713073587632821E+31</v>
      </c>
      <c r="RBU27" s="613">
        <f t="shared" ref="RBU27" si="6130">RBS27*$C$27</f>
        <v>1.3850204323509149E+31</v>
      </c>
      <c r="RBW27" s="613">
        <f t="shared" ref="RBW27" si="6131">RBU27*$C$27</f>
        <v>1.3988706366744241E+31</v>
      </c>
      <c r="RBY27" s="613">
        <f t="shared" ref="RBY27" si="6132">RBW27*$C$27</f>
        <v>1.4128593430411683E+31</v>
      </c>
      <c r="RCA27" s="613">
        <f t="shared" ref="RCA27" si="6133">RBY27*$C$27</f>
        <v>1.42698793647158E+31</v>
      </c>
      <c r="RCC27" s="613">
        <f t="shared" ref="RCC27" si="6134">RCA27*$C$27</f>
        <v>1.4412578158362959E+31</v>
      </c>
      <c r="RCE27" s="613">
        <f t="shared" ref="RCE27" si="6135">RCC27*$C$27</f>
        <v>1.4556703939946589E+31</v>
      </c>
      <c r="RCG27" s="613">
        <f t="shared" ref="RCG27" si="6136">RCE27*$C$27</f>
        <v>1.4702270979346055E+31</v>
      </c>
      <c r="RCI27" s="613">
        <f t="shared" ref="RCI27" si="6137">RCG27*$C$27</f>
        <v>1.4849293689139516E+31</v>
      </c>
      <c r="RCK27" s="613">
        <f t="shared" ref="RCK27" si="6138">RCI27*$C$27</f>
        <v>1.4997786626030911E+31</v>
      </c>
      <c r="RCM27" s="613">
        <f t="shared" ref="RCM27" si="6139">RCK27*$C$27</f>
        <v>1.514776449229122E+31</v>
      </c>
      <c r="RCO27" s="613">
        <f t="shared" ref="RCO27" si="6140">RCM27*$C$27</f>
        <v>1.5299242137214132E+31</v>
      </c>
      <c r="RCQ27" s="613">
        <f t="shared" ref="RCQ27" si="6141">RCO27*$C$27</f>
        <v>1.5452234558586273E+31</v>
      </c>
      <c r="RCS27" s="613">
        <f t="shared" ref="RCS27" si="6142">RCQ27*$C$27</f>
        <v>1.5606756904172135E+31</v>
      </c>
      <c r="RCU27" s="613">
        <f t="shared" ref="RCU27" si="6143">RCS27*$C$27</f>
        <v>1.5762824473213856E+31</v>
      </c>
      <c r="RCW27" s="613">
        <f t="shared" ref="RCW27" si="6144">RCU27*$C$27</f>
        <v>1.5920452717945996E+31</v>
      </c>
      <c r="RCY27" s="613">
        <f t="shared" ref="RCY27" si="6145">RCW27*$C$27</f>
        <v>1.6079657245125455E+31</v>
      </c>
      <c r="RDA27" s="613">
        <f t="shared" ref="RDA27" si="6146">RCY27*$C$27</f>
        <v>1.624045381757671E+31</v>
      </c>
      <c r="RDC27" s="613">
        <f t="shared" ref="RDC27" si="6147">RDA27*$C$27</f>
        <v>1.6402858355752477E+31</v>
      </c>
      <c r="RDE27" s="613">
        <f t="shared" ref="RDE27" si="6148">RDC27*$C$27</f>
        <v>1.6566886939310002E+31</v>
      </c>
      <c r="RDG27" s="613">
        <f t="shared" ref="RDG27" si="6149">RDE27*$C$27</f>
        <v>1.6732555808703102E+31</v>
      </c>
      <c r="RDI27" s="613">
        <f t="shared" ref="RDI27" si="6150">RDG27*$C$27</f>
        <v>1.6899881366790132E+31</v>
      </c>
      <c r="RDK27" s="613">
        <f t="shared" ref="RDK27" si="6151">RDI27*$C$27</f>
        <v>1.7068880180458033E+31</v>
      </c>
      <c r="RDM27" s="613">
        <f t="shared" ref="RDM27" si="6152">RDK27*$C$27</f>
        <v>1.7239568982262613E+31</v>
      </c>
      <c r="RDO27" s="613">
        <f t="shared" ref="RDO27" si="6153">RDM27*$C$27</f>
        <v>1.741196467208524E+31</v>
      </c>
      <c r="RDQ27" s="613">
        <f t="shared" ref="RDQ27" si="6154">RDO27*$C$27</f>
        <v>1.7586084318806092E+31</v>
      </c>
      <c r="RDS27" s="613">
        <f t="shared" ref="RDS27" si="6155">RDQ27*$C$27</f>
        <v>1.7761945161994153E+31</v>
      </c>
      <c r="RDU27" s="613">
        <f t="shared" ref="RDU27" si="6156">RDS27*$C$27</f>
        <v>1.7939564613614094E+31</v>
      </c>
      <c r="RDW27" s="613">
        <f t="shared" ref="RDW27" si="6157">RDU27*$C$27</f>
        <v>1.8118960259750235E+31</v>
      </c>
      <c r="RDY27" s="613">
        <f t="shared" ref="RDY27" si="6158">RDW27*$C$27</f>
        <v>1.8300149862347738E+31</v>
      </c>
      <c r="REA27" s="613">
        <f t="shared" ref="REA27" si="6159">RDY27*$C$27</f>
        <v>1.8483151360971214E+31</v>
      </c>
      <c r="REC27" s="613">
        <f t="shared" ref="REC27" si="6160">REA27*$C$27</f>
        <v>1.8667982874580926E+31</v>
      </c>
      <c r="REE27" s="613">
        <f t="shared" ref="REE27" si="6161">REC27*$C$27</f>
        <v>1.8854662703326737E+31</v>
      </c>
      <c r="REG27" s="613">
        <f t="shared" ref="REG27" si="6162">REE27*$C$27</f>
        <v>1.9043209330360004E+31</v>
      </c>
      <c r="REI27" s="613">
        <f t="shared" ref="REI27" si="6163">REG27*$C$27</f>
        <v>1.9233641423663603E+31</v>
      </c>
      <c r="REK27" s="613">
        <f t="shared" ref="REK27" si="6164">REI27*$C$27</f>
        <v>1.9425977837900239E+31</v>
      </c>
      <c r="REM27" s="613">
        <f t="shared" ref="REM27" si="6165">REK27*$C$27</f>
        <v>1.9620237616279243E+31</v>
      </c>
      <c r="REO27" s="613">
        <f t="shared" ref="REO27" si="6166">REM27*$C$27</f>
        <v>1.9816439992442035E+31</v>
      </c>
      <c r="REQ27" s="613">
        <f t="shared" ref="REQ27" si="6167">REO27*$C$27</f>
        <v>2.0014604392366456E+31</v>
      </c>
      <c r="RES27" s="613">
        <f t="shared" ref="RES27" si="6168">REQ27*$C$27</f>
        <v>2.021475043629012E+31</v>
      </c>
      <c r="REU27" s="613">
        <f t="shared" ref="REU27" si="6169">RES27*$C$27</f>
        <v>2.0416897940653019E+31</v>
      </c>
      <c r="REW27" s="613">
        <f t="shared" ref="REW27" si="6170">REU27*$C$27</f>
        <v>2.062106692005955E+31</v>
      </c>
      <c r="REY27" s="613">
        <f t="shared" ref="REY27" si="6171">REW27*$C$27</f>
        <v>2.0827277589260148E+31</v>
      </c>
      <c r="RFA27" s="613">
        <f t="shared" ref="RFA27" si="6172">REY27*$C$27</f>
        <v>2.1035550365152748E+31</v>
      </c>
      <c r="RFC27" s="613">
        <f t="shared" ref="RFC27" si="6173">RFA27*$C$27</f>
        <v>2.1245905868804274E+31</v>
      </c>
      <c r="RFE27" s="613">
        <f t="shared" ref="RFE27" si="6174">RFC27*$C$27</f>
        <v>2.1458364927492319E+31</v>
      </c>
      <c r="RFG27" s="613">
        <f t="shared" ref="RFG27" si="6175">RFE27*$C$27</f>
        <v>2.1672948576767243E+31</v>
      </c>
      <c r="RFI27" s="613">
        <f t="shared" ref="RFI27" si="6176">RFG27*$C$27</f>
        <v>2.1889678062534915E+31</v>
      </c>
      <c r="RFK27" s="613">
        <f t="shared" ref="RFK27" si="6177">RFI27*$C$27</f>
        <v>2.2108574843160265E+31</v>
      </c>
      <c r="RFM27" s="613">
        <f t="shared" ref="RFM27" si="6178">RFK27*$C$27</f>
        <v>2.2329660591591867E+31</v>
      </c>
      <c r="RFO27" s="613">
        <f t="shared" ref="RFO27" si="6179">RFM27*$C$27</f>
        <v>2.2552957197507788E+31</v>
      </c>
      <c r="RFQ27" s="613">
        <f t="shared" ref="RFQ27" si="6180">RFO27*$C$27</f>
        <v>2.2778486769482867E+31</v>
      </c>
      <c r="RFS27" s="613">
        <f t="shared" ref="RFS27" si="6181">RFQ27*$C$27</f>
        <v>2.3006271637177697E+31</v>
      </c>
      <c r="RFU27" s="613">
        <f t="shared" ref="RFU27" si="6182">RFS27*$C$27</f>
        <v>2.3236334353549475E+31</v>
      </c>
      <c r="RFW27" s="613">
        <f t="shared" ref="RFW27" si="6183">RFU27*$C$27</f>
        <v>2.3468697697084969E+31</v>
      </c>
      <c r="RFY27" s="613">
        <f t="shared" ref="RFY27" si="6184">RFW27*$C$27</f>
        <v>2.3703384674055817E+31</v>
      </c>
      <c r="RGA27" s="613">
        <f t="shared" ref="RGA27" si="6185">RFY27*$C$27</f>
        <v>2.3940418520796377E+31</v>
      </c>
      <c r="RGC27" s="613">
        <f t="shared" ref="RGC27" si="6186">RGA27*$C$27</f>
        <v>2.4179822706004339E+31</v>
      </c>
      <c r="RGE27" s="613">
        <f t="shared" ref="RGE27" si="6187">RGC27*$C$27</f>
        <v>2.4421620933064381E+31</v>
      </c>
      <c r="RGG27" s="613">
        <f t="shared" ref="RGG27" si="6188">RGE27*$C$27</f>
        <v>2.4665837142395027E+31</v>
      </c>
      <c r="RGI27" s="613">
        <f t="shared" ref="RGI27" si="6189">RGG27*$C$27</f>
        <v>2.4912495513818979E+31</v>
      </c>
      <c r="RGK27" s="613">
        <f t="shared" ref="RGK27" si="6190">RGI27*$C$27</f>
        <v>2.5161620468957171E+31</v>
      </c>
      <c r="RGM27" s="613">
        <f t="shared" ref="RGM27" si="6191">RGK27*$C$27</f>
        <v>2.5413236673646744E+31</v>
      </c>
      <c r="RGO27" s="613">
        <f t="shared" ref="RGO27" si="6192">RGM27*$C$27</f>
        <v>2.5667369040383211E+31</v>
      </c>
      <c r="RGQ27" s="613">
        <f t="shared" ref="RGQ27" si="6193">RGO27*$C$27</f>
        <v>2.5924042730787044E+31</v>
      </c>
      <c r="RGS27" s="613">
        <f t="shared" ref="RGS27" si="6194">RGQ27*$C$27</f>
        <v>2.6183283158094913E+31</v>
      </c>
      <c r="RGU27" s="613">
        <f t="shared" ref="RGU27" si="6195">RGS27*$C$27</f>
        <v>2.6445115989675862E+31</v>
      </c>
      <c r="RGW27" s="613">
        <f t="shared" ref="RGW27" si="6196">RGU27*$C$27</f>
        <v>2.670956714957262E+31</v>
      </c>
      <c r="RGY27" s="613">
        <f t="shared" ref="RGY27" si="6197">RGW27*$C$27</f>
        <v>2.6976662821068349E+31</v>
      </c>
      <c r="RHA27" s="613">
        <f t="shared" ref="RHA27" si="6198">RGY27*$C$27</f>
        <v>2.7246429449279032E+31</v>
      </c>
      <c r="RHC27" s="613">
        <f t="shared" ref="RHC27" si="6199">RHA27*$C$27</f>
        <v>2.7518893743771822E+31</v>
      </c>
      <c r="RHE27" s="613">
        <f t="shared" ref="RHE27" si="6200">RHC27*$C$27</f>
        <v>2.7794082681209539E+31</v>
      </c>
      <c r="RHG27" s="613">
        <f t="shared" ref="RHG27" si="6201">RHE27*$C$27</f>
        <v>2.8072023508021633E+31</v>
      </c>
      <c r="RHI27" s="613">
        <f t="shared" ref="RHI27" si="6202">RHG27*$C$27</f>
        <v>2.8352743743101852E+31</v>
      </c>
      <c r="RHK27" s="613">
        <f t="shared" ref="RHK27" si="6203">RHI27*$C$27</f>
        <v>2.863627118053287E+31</v>
      </c>
      <c r="RHM27" s="613">
        <f t="shared" ref="RHM27" si="6204">RHK27*$C$27</f>
        <v>2.8922633892338199E+31</v>
      </c>
      <c r="RHO27" s="613">
        <f t="shared" ref="RHO27" si="6205">RHM27*$C$27</f>
        <v>2.9211860231261583E+31</v>
      </c>
      <c r="RHQ27" s="613">
        <f t="shared" ref="RHQ27" si="6206">RHO27*$C$27</f>
        <v>2.9503978833574199E+31</v>
      </c>
      <c r="RHS27" s="613">
        <f t="shared" ref="RHS27" si="6207">RHQ27*$C$27</f>
        <v>2.9799018621909942E+31</v>
      </c>
      <c r="RHU27" s="613">
        <f t="shared" ref="RHU27" si="6208">RHS27*$C$27</f>
        <v>3.009700880812904E+31</v>
      </c>
      <c r="RHW27" s="613">
        <f t="shared" ref="RHW27" si="6209">RHU27*$C$27</f>
        <v>3.039797889621033E+31</v>
      </c>
      <c r="RHY27" s="613">
        <f t="shared" ref="RHY27" si="6210">RHW27*$C$27</f>
        <v>3.0701958685172435E+31</v>
      </c>
      <c r="RIA27" s="613">
        <f t="shared" ref="RIA27" si="6211">RHY27*$C$27</f>
        <v>3.1008978272024162E+31</v>
      </c>
      <c r="RIC27" s="613">
        <f t="shared" ref="RIC27" si="6212">RIA27*$C$27</f>
        <v>3.1319068054744404E+31</v>
      </c>
      <c r="RIE27" s="613">
        <f t="shared" ref="RIE27" si="6213">RIC27*$C$27</f>
        <v>3.1632258735291848E+31</v>
      </c>
      <c r="RIG27" s="613">
        <f t="shared" ref="RIG27" si="6214">RIE27*$C$27</f>
        <v>3.1948581322644769E+31</v>
      </c>
      <c r="RII27" s="613">
        <f t="shared" ref="RII27" si="6215">RIG27*$C$27</f>
        <v>3.2268067135871217E+31</v>
      </c>
      <c r="RIK27" s="613">
        <f t="shared" ref="RIK27" si="6216">RII27*$C$27</f>
        <v>3.2590747807229929E+31</v>
      </c>
      <c r="RIM27" s="613">
        <f t="shared" ref="RIM27" si="6217">RIK27*$C$27</f>
        <v>3.2916655285302228E+31</v>
      </c>
      <c r="RIO27" s="613">
        <f t="shared" ref="RIO27" si="6218">RIM27*$C$27</f>
        <v>3.3245821838155252E+31</v>
      </c>
      <c r="RIQ27" s="613">
        <f t="shared" ref="RIQ27" si="6219">RIO27*$C$27</f>
        <v>3.3578280056536806E+31</v>
      </c>
      <c r="RIS27" s="613">
        <f t="shared" ref="RIS27" si="6220">RIQ27*$C$27</f>
        <v>3.3914062857102175E+31</v>
      </c>
      <c r="RIU27" s="613">
        <f t="shared" ref="RIU27" si="6221">RIS27*$C$27</f>
        <v>3.4253203485673196E+31</v>
      </c>
      <c r="RIW27" s="613">
        <f t="shared" ref="RIW27" si="6222">RIU27*$C$27</f>
        <v>3.4595735520529927E+31</v>
      </c>
      <c r="RIY27" s="613">
        <f t="shared" ref="RIY27" si="6223">RIW27*$C$27</f>
        <v>3.4941692875735224E+31</v>
      </c>
      <c r="RJA27" s="613">
        <f t="shared" ref="RJA27" si="6224">RIY27*$C$27</f>
        <v>3.5291109804492576E+31</v>
      </c>
      <c r="RJC27" s="613">
        <f t="shared" ref="RJC27" si="6225">RJA27*$C$27</f>
        <v>3.5644020902537504E+31</v>
      </c>
      <c r="RJE27" s="613">
        <f t="shared" ref="RJE27" si="6226">RJC27*$C$27</f>
        <v>3.6000461111562879E+31</v>
      </c>
      <c r="RJG27" s="613">
        <f t="shared" ref="RJG27" si="6227">RJE27*$C$27</f>
        <v>3.6360465722678507E+31</v>
      </c>
      <c r="RJI27" s="613">
        <f t="shared" ref="RJI27" si="6228">RJG27*$C$27</f>
        <v>3.6724070379905292E+31</v>
      </c>
      <c r="RJK27" s="613">
        <f t="shared" ref="RJK27" si="6229">RJI27*$C$27</f>
        <v>3.7091311083704344E+31</v>
      </c>
      <c r="RJM27" s="613">
        <f t="shared" ref="RJM27" si="6230">RJK27*$C$27</f>
        <v>3.7462224194541389E+31</v>
      </c>
      <c r="RJO27" s="613">
        <f t="shared" ref="RJO27" si="6231">RJM27*$C$27</f>
        <v>3.7836846436486804E+31</v>
      </c>
      <c r="RJQ27" s="613">
        <f t="shared" ref="RJQ27" si="6232">RJO27*$C$27</f>
        <v>3.8215214900851672E+31</v>
      </c>
      <c r="RJS27" s="613">
        <f t="shared" ref="RJS27" si="6233">RJQ27*$C$27</f>
        <v>3.859736704986019E+31</v>
      </c>
      <c r="RJU27" s="613">
        <f t="shared" ref="RJU27" si="6234">RJS27*$C$27</f>
        <v>3.898334072035879E+31</v>
      </c>
      <c r="RJW27" s="613">
        <f t="shared" ref="RJW27" si="6235">RJU27*$C$27</f>
        <v>3.937317412756238E+31</v>
      </c>
      <c r="RJY27" s="613">
        <f t="shared" ref="RJY27" si="6236">RJW27*$C$27</f>
        <v>3.9766905868838006E+31</v>
      </c>
      <c r="RKA27" s="613">
        <f t="shared" ref="RKA27" si="6237">RJY27*$C$27</f>
        <v>4.0164574927526389E+31</v>
      </c>
      <c r="RKC27" s="613">
        <f t="shared" ref="RKC27" si="6238">RKA27*$C$27</f>
        <v>4.0566220676801657E+31</v>
      </c>
      <c r="RKE27" s="613">
        <f t="shared" ref="RKE27" si="6239">RKC27*$C$27</f>
        <v>4.097188288356967E+31</v>
      </c>
      <c r="RKG27" s="613">
        <f t="shared" ref="RKG27" si="6240">RKE27*$C$27</f>
        <v>4.1381601712405364E+31</v>
      </c>
      <c r="RKI27" s="613">
        <f t="shared" ref="RKI27" si="6241">RKG27*$C$27</f>
        <v>4.1795417729529415E+31</v>
      </c>
      <c r="RKK27" s="613">
        <f t="shared" ref="RKK27" si="6242">RKI27*$C$27</f>
        <v>4.2213371906824709E+31</v>
      </c>
      <c r="RKM27" s="613">
        <f t="shared" ref="RKM27" si="6243">RKK27*$C$27</f>
        <v>4.263550562589296E+31</v>
      </c>
      <c r="RKO27" s="613">
        <f t="shared" ref="RKO27" si="6244">RKM27*$C$27</f>
        <v>4.3061860682151892E+31</v>
      </c>
      <c r="RKQ27" s="613">
        <f t="shared" ref="RKQ27" si="6245">RKO27*$C$27</f>
        <v>4.3492479288973413E+31</v>
      </c>
      <c r="RKS27" s="613">
        <f t="shared" ref="RKS27" si="6246">RKQ27*$C$27</f>
        <v>4.3927404081863146E+31</v>
      </c>
      <c r="RKU27" s="613">
        <f t="shared" ref="RKU27" si="6247">RKS27*$C$27</f>
        <v>4.4366678122681782E+31</v>
      </c>
      <c r="RKW27" s="613">
        <f t="shared" ref="RKW27" si="6248">RKU27*$C$27</f>
        <v>4.4810344903908604E+31</v>
      </c>
      <c r="RKY27" s="613">
        <f t="shared" ref="RKY27" si="6249">RKW27*$C$27</f>
        <v>4.5258448352947691E+31</v>
      </c>
      <c r="RLA27" s="613">
        <f t="shared" ref="RLA27" si="6250">RKY27*$C$27</f>
        <v>4.5711032836477168E+31</v>
      </c>
      <c r="RLC27" s="613">
        <f t="shared" ref="RLC27" si="6251">RLA27*$C$27</f>
        <v>4.6168143164841944E+31</v>
      </c>
      <c r="RLE27" s="613">
        <f t="shared" ref="RLE27" si="6252">RLC27*$C$27</f>
        <v>4.6629824596490363E+31</v>
      </c>
      <c r="RLG27" s="613">
        <f t="shared" ref="RLG27" si="6253">RLE27*$C$27</f>
        <v>4.7096122842455266E+31</v>
      </c>
      <c r="RLI27" s="613">
        <f t="shared" ref="RLI27" si="6254">RLG27*$C$27</f>
        <v>4.7567084070879822E+31</v>
      </c>
      <c r="RLK27" s="613">
        <f t="shared" ref="RLK27" si="6255">RLI27*$C$27</f>
        <v>4.8042754911588617E+31</v>
      </c>
      <c r="RLM27" s="613">
        <f t="shared" ref="RLM27" si="6256">RLK27*$C$27</f>
        <v>4.8523182460704504E+31</v>
      </c>
      <c r="RLO27" s="613">
        <f t="shared" ref="RLO27" si="6257">RLM27*$C$27</f>
        <v>4.9008414285311551E+31</v>
      </c>
      <c r="RLQ27" s="613">
        <f t="shared" ref="RLQ27" si="6258">RLO27*$C$27</f>
        <v>4.9498498428164664E+31</v>
      </c>
      <c r="RLS27" s="613">
        <f t="shared" ref="RLS27" si="6259">RLQ27*$C$27</f>
        <v>4.9993483412446315E+31</v>
      </c>
      <c r="RLU27" s="613">
        <f t="shared" ref="RLU27" si="6260">RLS27*$C$27</f>
        <v>5.049341824657078E+31</v>
      </c>
      <c r="RLW27" s="613">
        <f t="shared" ref="RLW27" si="6261">RLU27*$C$27</f>
        <v>5.0998352429036489E+31</v>
      </c>
      <c r="RLY27" s="613">
        <f t="shared" ref="RLY27" si="6262">RLW27*$C$27</f>
        <v>5.1508335953326858E+31</v>
      </c>
      <c r="RMA27" s="613">
        <f t="shared" ref="RMA27" si="6263">RLY27*$C$27</f>
        <v>5.2023419312860124E+31</v>
      </c>
      <c r="RMC27" s="613">
        <f t="shared" ref="RMC27" si="6264">RMA27*$C$27</f>
        <v>5.2543653505988722E+31</v>
      </c>
      <c r="RME27" s="613">
        <f t="shared" ref="RME27" si="6265">RMC27*$C$27</f>
        <v>5.3069090041048609E+31</v>
      </c>
      <c r="RMG27" s="613">
        <f t="shared" ref="RMG27" si="6266">RME27*$C$27</f>
        <v>5.3599780941459098E+31</v>
      </c>
      <c r="RMI27" s="613">
        <f t="shared" ref="RMI27" si="6267">RMG27*$C$27</f>
        <v>5.4135778750873693E+31</v>
      </c>
      <c r="RMK27" s="613">
        <f t="shared" ref="RMK27" si="6268">RMI27*$C$27</f>
        <v>5.4677136538382427E+31</v>
      </c>
      <c r="RMM27" s="613">
        <f t="shared" ref="RMM27" si="6269">RMK27*$C$27</f>
        <v>5.5223907903766255E+31</v>
      </c>
      <c r="RMO27" s="613">
        <f t="shared" ref="RMO27" si="6270">RMM27*$C$27</f>
        <v>5.5776146982803923E+31</v>
      </c>
      <c r="RMQ27" s="613">
        <f t="shared" ref="RMQ27" si="6271">RMO27*$C$27</f>
        <v>5.6333908452631963E+31</v>
      </c>
      <c r="RMS27" s="613">
        <f t="shared" ref="RMS27" si="6272">RMQ27*$C$27</f>
        <v>5.6897247537158285E+31</v>
      </c>
      <c r="RMU27" s="613">
        <f t="shared" ref="RMU27" si="6273">RMS27*$C$27</f>
        <v>5.7466220012529867E+31</v>
      </c>
      <c r="RMW27" s="613">
        <f t="shared" ref="RMW27" si="6274">RMU27*$C$27</f>
        <v>5.8040882212655169E+31</v>
      </c>
      <c r="RMY27" s="613">
        <f t="shared" ref="RMY27" si="6275">RMW27*$C$27</f>
        <v>5.8621291034781726E+31</v>
      </c>
      <c r="RNA27" s="613">
        <f t="shared" ref="RNA27" si="6276">RMY27*$C$27</f>
        <v>5.9207503945129543E+31</v>
      </c>
      <c r="RNC27" s="613">
        <f t="shared" ref="RNC27" si="6277">RNA27*$C$27</f>
        <v>5.9799578984580842E+31</v>
      </c>
      <c r="RNE27" s="613">
        <f t="shared" ref="RNE27" si="6278">RNC27*$C$27</f>
        <v>6.0397574774426648E+31</v>
      </c>
      <c r="RNG27" s="613">
        <f t="shared" ref="RNG27" si="6279">RNE27*$C$27</f>
        <v>6.1001550522170914E+31</v>
      </c>
      <c r="RNI27" s="613">
        <f t="shared" ref="RNI27" si="6280">RNG27*$C$27</f>
        <v>6.1611566027392625E+31</v>
      </c>
      <c r="RNK27" s="613">
        <f t="shared" ref="RNK27" si="6281">RNI27*$C$27</f>
        <v>6.2227681687666547E+31</v>
      </c>
      <c r="RNM27" s="613">
        <f t="shared" ref="RNM27" si="6282">RNK27*$C$27</f>
        <v>6.2849958504543216E+31</v>
      </c>
      <c r="RNO27" s="613">
        <f t="shared" ref="RNO27" si="6283">RNM27*$C$27</f>
        <v>6.3478458089588653E+31</v>
      </c>
      <c r="RNQ27" s="613">
        <f t="shared" ref="RNQ27" si="6284">RNO27*$C$27</f>
        <v>6.4113242670484536E+31</v>
      </c>
      <c r="RNS27" s="613">
        <f t="shared" ref="RNS27" si="6285">RNQ27*$C$27</f>
        <v>6.4754375097189381E+31</v>
      </c>
      <c r="RNU27" s="613">
        <f t="shared" ref="RNU27" si="6286">RNS27*$C$27</f>
        <v>6.540191884816128E+31</v>
      </c>
      <c r="RNW27" s="613">
        <f t="shared" ref="RNW27" si="6287">RNU27*$C$27</f>
        <v>6.6055938036642896E+31</v>
      </c>
      <c r="RNY27" s="613">
        <f t="shared" ref="RNY27" si="6288">RNW27*$C$27</f>
        <v>6.6716497417009328E+31</v>
      </c>
      <c r="ROA27" s="613">
        <f t="shared" ref="ROA27" si="6289">RNY27*$C$27</f>
        <v>6.7383662391179426E+31</v>
      </c>
      <c r="ROC27" s="613">
        <f t="shared" ref="ROC27" si="6290">ROA27*$C$27</f>
        <v>6.8057499015091223E+31</v>
      </c>
      <c r="ROE27" s="613">
        <f t="shared" ref="ROE27" si="6291">ROC27*$C$27</f>
        <v>6.8738074005242134E+31</v>
      </c>
      <c r="ROG27" s="613">
        <f t="shared" ref="ROG27" si="6292">ROE27*$C$27</f>
        <v>6.9425454745294557E+31</v>
      </c>
      <c r="ROI27" s="613">
        <f t="shared" ref="ROI27" si="6293">ROG27*$C$27</f>
        <v>7.0119709292747504E+31</v>
      </c>
      <c r="ROK27" s="613">
        <f t="shared" ref="ROK27" si="6294">ROI27*$C$27</f>
        <v>7.0820906385674981E+31</v>
      </c>
      <c r="ROM27" s="613">
        <f t="shared" ref="ROM27" si="6295">ROK27*$C$27</f>
        <v>7.1529115449531729E+31</v>
      </c>
      <c r="ROO27" s="613">
        <f t="shared" ref="ROO27" si="6296">ROM27*$C$27</f>
        <v>7.2244406604027045E+31</v>
      </c>
      <c r="ROQ27" s="613">
        <f t="shared" ref="ROQ27" si="6297">ROO27*$C$27</f>
        <v>7.296685067006732E+31</v>
      </c>
      <c r="ROS27" s="613">
        <f t="shared" ref="ROS27" si="6298">ROQ27*$C$27</f>
        <v>7.3696519176767991E+31</v>
      </c>
      <c r="ROU27" s="613">
        <f t="shared" ref="ROU27" si="6299">ROS27*$C$27</f>
        <v>7.4433484368535669E+31</v>
      </c>
      <c r="ROW27" s="613">
        <f t="shared" ref="ROW27" si="6300">ROU27*$C$27</f>
        <v>7.5177819212221025E+31</v>
      </c>
      <c r="ROY27" s="613">
        <f t="shared" ref="ROY27" si="6301">ROW27*$C$27</f>
        <v>7.5929597404343234E+31</v>
      </c>
      <c r="RPA27" s="613">
        <f t="shared" ref="RPA27" si="6302">ROY27*$C$27</f>
        <v>7.6688893378386663E+31</v>
      </c>
      <c r="RPC27" s="613">
        <f t="shared" ref="RPC27" si="6303">RPA27*$C$27</f>
        <v>7.7455782312170533E+31</v>
      </c>
      <c r="RPE27" s="613">
        <f t="shared" ref="RPE27" si="6304">RPC27*$C$27</f>
        <v>7.8230340135292241E+31</v>
      </c>
      <c r="RPG27" s="613">
        <f t="shared" ref="RPG27" si="6305">RPE27*$C$27</f>
        <v>7.9012643536645164E+31</v>
      </c>
      <c r="RPI27" s="613">
        <f t="shared" ref="RPI27" si="6306">RPG27*$C$27</f>
        <v>7.980276997201162E+31</v>
      </c>
      <c r="RPK27" s="613">
        <f t="shared" ref="RPK27" si="6307">RPI27*$C$27</f>
        <v>8.0600797671731733E+31</v>
      </c>
      <c r="RPM27" s="613">
        <f t="shared" ref="RPM27" si="6308">RPK27*$C$27</f>
        <v>8.1406805648449048E+31</v>
      </c>
      <c r="RPO27" s="613">
        <f t="shared" ref="RPO27" si="6309">RPM27*$C$27</f>
        <v>8.2220873704933544E+31</v>
      </c>
      <c r="RPQ27" s="613">
        <f t="shared" ref="RPQ27" si="6310">RPO27*$C$27</f>
        <v>8.3043082441982877E+31</v>
      </c>
      <c r="RPS27" s="613">
        <f t="shared" ref="RPS27" si="6311">RPQ27*$C$27</f>
        <v>8.3873513266402701E+31</v>
      </c>
      <c r="RPU27" s="613">
        <f t="shared" ref="RPU27" si="6312">RPS27*$C$27</f>
        <v>8.471224839906673E+31</v>
      </c>
      <c r="RPW27" s="613">
        <f t="shared" ref="RPW27" si="6313">RPU27*$C$27</f>
        <v>8.5559370883057402E+31</v>
      </c>
      <c r="RPY27" s="613">
        <f t="shared" ref="RPY27" si="6314">RPW27*$C$27</f>
        <v>8.6414964591887981E+31</v>
      </c>
      <c r="RQA27" s="613">
        <f t="shared" ref="RQA27" si="6315">RPY27*$C$27</f>
        <v>8.7279114237806863E+31</v>
      </c>
      <c r="RQC27" s="613">
        <f t="shared" ref="RQC27" si="6316">RQA27*$C$27</f>
        <v>8.8151905380184927E+31</v>
      </c>
      <c r="RQE27" s="613">
        <f t="shared" ref="RQE27" si="6317">RQC27*$C$27</f>
        <v>8.9033424433986781E+31</v>
      </c>
      <c r="RQG27" s="613">
        <f t="shared" ref="RQG27" si="6318">RQE27*$C$27</f>
        <v>8.9923758678326648E+31</v>
      </c>
      <c r="RQI27" s="613">
        <f t="shared" ref="RQI27" si="6319">RQG27*$C$27</f>
        <v>9.082299626510991E+31</v>
      </c>
      <c r="RQK27" s="613">
        <f t="shared" ref="RQK27" si="6320">RQI27*$C$27</f>
        <v>9.1731226227761012E+31</v>
      </c>
      <c r="RQM27" s="613">
        <f t="shared" ref="RQM27" si="6321">RQK27*$C$27</f>
        <v>9.2648538490038629E+31</v>
      </c>
      <c r="RQO27" s="613">
        <f t="shared" ref="RQO27" si="6322">RQM27*$C$27</f>
        <v>9.3575023874939025E+31</v>
      </c>
      <c r="RQQ27" s="613">
        <f t="shared" ref="RQQ27" si="6323">RQO27*$C$27</f>
        <v>9.4510774113688415E+31</v>
      </c>
      <c r="RQS27" s="613">
        <f t="shared" ref="RQS27" si="6324">RQQ27*$C$27</f>
        <v>9.5455881854825298E+31</v>
      </c>
      <c r="RQU27" s="613">
        <f t="shared" ref="RQU27" si="6325">RQS27*$C$27</f>
        <v>9.6410440673373553E+31</v>
      </c>
      <c r="RQW27" s="613">
        <f t="shared" ref="RQW27" si="6326">RQU27*$C$27</f>
        <v>9.7374545080107298E+31</v>
      </c>
      <c r="RQY27" s="613">
        <f t="shared" ref="RQY27" si="6327">RQW27*$C$27</f>
        <v>9.8348290530908376E+31</v>
      </c>
      <c r="RRA27" s="613">
        <f t="shared" ref="RRA27" si="6328">RQY27*$C$27</f>
        <v>9.9331773436217453E+31</v>
      </c>
      <c r="RRC27" s="613">
        <f t="shared" ref="RRC27" si="6329">RRA27*$C$27</f>
        <v>1.0032509117057963E+32</v>
      </c>
      <c r="RRE27" s="613">
        <f t="shared" ref="RRE27" si="6330">RRC27*$C$27</f>
        <v>1.0132834208228543E+32</v>
      </c>
      <c r="RRG27" s="613">
        <f t="shared" ref="RRG27" si="6331">RRE27*$C$27</f>
        <v>1.0234162550310829E+32</v>
      </c>
      <c r="RRI27" s="613">
        <f t="shared" ref="RRI27" si="6332">RRG27*$C$27</f>
        <v>1.0336504175813937E+32</v>
      </c>
      <c r="RRK27" s="613">
        <f t="shared" ref="RRK27" si="6333">RRI27*$C$27</f>
        <v>1.0439869217572077E+32</v>
      </c>
      <c r="RRM27" s="613">
        <f t="shared" ref="RRM27" si="6334">RRK27*$C$27</f>
        <v>1.0544267909747799E+32</v>
      </c>
      <c r="RRO27" s="613">
        <f t="shared" ref="RRO27" si="6335">RRM27*$C$27</f>
        <v>1.0649710588845277E+32</v>
      </c>
      <c r="RRQ27" s="613">
        <f t="shared" ref="RRQ27" si="6336">RRO27*$C$27</f>
        <v>1.075620769473373E+32</v>
      </c>
      <c r="RRS27" s="613">
        <f t="shared" ref="RRS27" si="6337">RRQ27*$C$27</f>
        <v>1.0863769771681067E+32</v>
      </c>
      <c r="RRU27" s="613">
        <f t="shared" ref="RRU27" si="6338">RRS27*$C$27</f>
        <v>1.0972407469397878E+32</v>
      </c>
      <c r="RRW27" s="613">
        <f t="shared" ref="RRW27" si="6339">RRU27*$C$27</f>
        <v>1.1082131544091857E+32</v>
      </c>
      <c r="RRY27" s="613">
        <f t="shared" ref="RRY27" si="6340">RRW27*$C$27</f>
        <v>1.1192952859532776E+32</v>
      </c>
      <c r="RSA27" s="613">
        <f t="shared" ref="RSA27" si="6341">RRY27*$C$27</f>
        <v>1.1304882388128104E+32</v>
      </c>
      <c r="RSC27" s="613">
        <f t="shared" ref="RSC27" si="6342">RSA27*$C$27</f>
        <v>1.1417931212009384E+32</v>
      </c>
      <c r="RSE27" s="613">
        <f t="shared" ref="RSE27" si="6343">RSC27*$C$27</f>
        <v>1.1532110524129478E+32</v>
      </c>
      <c r="RSG27" s="613">
        <f t="shared" ref="RSG27" si="6344">RSE27*$C$27</f>
        <v>1.1647431629370772E+32</v>
      </c>
      <c r="RSI27" s="613">
        <f t="shared" ref="RSI27" si="6345">RSG27*$C$27</f>
        <v>1.1763905945664481E+32</v>
      </c>
      <c r="RSK27" s="613">
        <f t="shared" ref="RSK27" si="6346">RSI27*$C$27</f>
        <v>1.1881545005121125E+32</v>
      </c>
      <c r="RSM27" s="613">
        <f t="shared" ref="RSM27" si="6347">RSK27*$C$27</f>
        <v>1.2000360455172337E+32</v>
      </c>
      <c r="RSO27" s="613">
        <f t="shared" ref="RSO27" si="6348">RSM27*$C$27</f>
        <v>1.2120364059724061E+32</v>
      </c>
      <c r="RSQ27" s="613">
        <f t="shared" ref="RSQ27" si="6349">RSO27*$C$27</f>
        <v>1.22415677003213E+32</v>
      </c>
      <c r="RSS27" s="613">
        <f t="shared" ref="RSS27" si="6350">RSQ27*$C$27</f>
        <v>1.2363983377324514E+32</v>
      </c>
      <c r="RSU27" s="613">
        <f t="shared" ref="RSU27" si="6351">RSS27*$C$27</f>
        <v>1.2487623211097759E+32</v>
      </c>
      <c r="RSW27" s="613">
        <f t="shared" ref="RSW27" si="6352">RSU27*$C$27</f>
        <v>1.2612499443208736E+32</v>
      </c>
      <c r="RSY27" s="613">
        <f t="shared" ref="RSY27" si="6353">RSW27*$C$27</f>
        <v>1.2738624437640825E+32</v>
      </c>
      <c r="RTA27" s="613">
        <f t="shared" ref="RTA27" si="6354">RSY27*$C$27</f>
        <v>1.2866010682017233E+32</v>
      </c>
      <c r="RTC27" s="613">
        <f t="shared" ref="RTC27" si="6355">RTA27*$C$27</f>
        <v>1.2994670788837406E+32</v>
      </c>
      <c r="RTE27" s="613">
        <f t="shared" ref="RTE27" si="6356">RTC27*$C$27</f>
        <v>1.312461749672578E+32</v>
      </c>
      <c r="RTG27" s="613">
        <f t="shared" ref="RTG27" si="6357">RTE27*$C$27</f>
        <v>1.3255863671693038E+32</v>
      </c>
      <c r="RTI27" s="613">
        <f t="shared" ref="RTI27" si="6358">RTG27*$C$27</f>
        <v>1.3388422308409969E+32</v>
      </c>
      <c r="RTK27" s="613">
        <f t="shared" ref="RTK27" si="6359">RTI27*$C$27</f>
        <v>1.3522306531494068E+32</v>
      </c>
      <c r="RTM27" s="613">
        <f t="shared" ref="RTM27" si="6360">RTK27*$C$27</f>
        <v>1.3657529596809008E+32</v>
      </c>
      <c r="RTO27" s="613">
        <f t="shared" ref="RTO27" si="6361">RTM27*$C$27</f>
        <v>1.3794104892777099E+32</v>
      </c>
      <c r="RTQ27" s="613">
        <f t="shared" ref="RTQ27" si="6362">RTO27*$C$27</f>
        <v>1.393204594170487E+32</v>
      </c>
      <c r="RTS27" s="613">
        <f t="shared" ref="RTS27" si="6363">RTQ27*$C$27</f>
        <v>1.4071366401121918E+32</v>
      </c>
      <c r="RTU27" s="613">
        <f t="shared" ref="RTU27" si="6364">RTS27*$C$27</f>
        <v>1.4212080065133138E+32</v>
      </c>
      <c r="RTW27" s="613">
        <f t="shared" ref="RTW27" si="6365">RTU27*$C$27</f>
        <v>1.4354200865784469E+32</v>
      </c>
      <c r="RTY27" s="613">
        <f t="shared" ref="RTY27" si="6366">RTW27*$C$27</f>
        <v>1.4497742874442313E+32</v>
      </c>
      <c r="RUA27" s="613">
        <f t="shared" ref="RUA27" si="6367">RTY27*$C$27</f>
        <v>1.4642720303186737E+32</v>
      </c>
      <c r="RUC27" s="613">
        <f t="shared" ref="RUC27" si="6368">RUA27*$C$27</f>
        <v>1.4789147506218604E+32</v>
      </c>
      <c r="RUE27" s="613">
        <f t="shared" ref="RUE27" si="6369">RUC27*$C$27</f>
        <v>1.493703898128079E+32</v>
      </c>
      <c r="RUG27" s="613">
        <f t="shared" ref="RUG27" si="6370">RUE27*$C$27</f>
        <v>1.5086409371093598E+32</v>
      </c>
      <c r="RUI27" s="613">
        <f t="shared" ref="RUI27" si="6371">RUG27*$C$27</f>
        <v>1.5237273464804534E+32</v>
      </c>
      <c r="RUK27" s="613">
        <f t="shared" ref="RUK27" si="6372">RUI27*$C$27</f>
        <v>1.538964619945258E+32</v>
      </c>
      <c r="RUM27" s="613">
        <f t="shared" ref="RUM27" si="6373">RUK27*$C$27</f>
        <v>1.5543542661447106E+32</v>
      </c>
      <c r="RUO27" s="613">
        <f t="shared" ref="RUO27" si="6374">RUM27*$C$27</f>
        <v>1.5698978088061578E+32</v>
      </c>
      <c r="RUQ27" s="613">
        <f t="shared" ref="RUQ27" si="6375">RUO27*$C$27</f>
        <v>1.5855967868942194E+32</v>
      </c>
      <c r="RUS27" s="613">
        <f t="shared" ref="RUS27" si="6376">RUQ27*$C$27</f>
        <v>1.6014527547631617E+32</v>
      </c>
      <c r="RUU27" s="613">
        <f t="shared" ref="RUU27" si="6377">RUS27*$C$27</f>
        <v>1.6174672823107932E+32</v>
      </c>
      <c r="RUW27" s="613">
        <f t="shared" ref="RUW27" si="6378">RUU27*$C$27</f>
        <v>1.6336419551339011E+32</v>
      </c>
      <c r="RUY27" s="613">
        <f t="shared" ref="RUY27" si="6379">RUW27*$C$27</f>
        <v>1.6499783746852402E+32</v>
      </c>
      <c r="RVA27" s="613">
        <f t="shared" ref="RVA27" si="6380">RUY27*$C$27</f>
        <v>1.6664781584320927E+32</v>
      </c>
      <c r="RVC27" s="613">
        <f t="shared" ref="RVC27" si="6381">RVA27*$C$27</f>
        <v>1.6831429400164137E+32</v>
      </c>
      <c r="RVE27" s="613">
        <f t="shared" ref="RVE27" si="6382">RVC27*$C$27</f>
        <v>1.699974369416578E+32</v>
      </c>
      <c r="RVG27" s="613">
        <f t="shared" ref="RVG27" si="6383">RVE27*$C$27</f>
        <v>1.7169741131107438E+32</v>
      </c>
      <c r="RVI27" s="613">
        <f t="shared" ref="RVI27" si="6384">RVG27*$C$27</f>
        <v>1.7341438542418513E+32</v>
      </c>
      <c r="RVK27" s="613">
        <f t="shared" ref="RVK27" si="6385">RVI27*$C$27</f>
        <v>1.7514852927842699E+32</v>
      </c>
      <c r="RVM27" s="613">
        <f t="shared" ref="RVM27" si="6386">RVK27*$C$27</f>
        <v>1.7690001457121127E+32</v>
      </c>
      <c r="RVO27" s="613">
        <f t="shared" ref="RVO27" si="6387">RVM27*$C$27</f>
        <v>1.7866901471692338E+32</v>
      </c>
      <c r="RVQ27" s="613">
        <f t="shared" ref="RVQ27" si="6388">RVO27*$C$27</f>
        <v>1.8045570486409262E+32</v>
      </c>
      <c r="RVS27" s="613">
        <f t="shared" ref="RVS27" si="6389">RVQ27*$C$27</f>
        <v>1.8226026191273353E+32</v>
      </c>
      <c r="RVU27" s="613">
        <f t="shared" ref="RVU27" si="6390">RVS27*$C$27</f>
        <v>1.8408286453186086E+32</v>
      </c>
      <c r="RVW27" s="613">
        <f t="shared" ref="RVW27" si="6391">RVU27*$C$27</f>
        <v>1.8592369317717946E+32</v>
      </c>
      <c r="RVY27" s="613">
        <f t="shared" ref="RVY27" si="6392">RVW27*$C$27</f>
        <v>1.8778293010895126E+32</v>
      </c>
      <c r="RWA27" s="613">
        <f t="shared" ref="RWA27" si="6393">RVY27*$C$27</f>
        <v>1.8966075941004078E+32</v>
      </c>
      <c r="RWC27" s="613">
        <f t="shared" ref="RWC27" si="6394">RWA27*$C$27</f>
        <v>1.915573670041412E+32</v>
      </c>
      <c r="RWE27" s="613">
        <f t="shared" ref="RWE27" si="6395">RWC27*$C$27</f>
        <v>1.934729406741826E+32</v>
      </c>
      <c r="RWG27" s="613">
        <f t="shared" ref="RWG27" si="6396">RWE27*$C$27</f>
        <v>1.9540767008092444E+32</v>
      </c>
      <c r="RWI27" s="613">
        <f t="shared" ref="RWI27" si="6397">RWG27*$C$27</f>
        <v>1.973617467817337E+32</v>
      </c>
      <c r="RWK27" s="613">
        <f t="shared" ref="RWK27" si="6398">RWI27*$C$27</f>
        <v>1.9933536424955103E+32</v>
      </c>
      <c r="RWM27" s="613">
        <f t="shared" ref="RWM27" si="6399">RWK27*$C$27</f>
        <v>2.0132871789204656E+32</v>
      </c>
      <c r="RWO27" s="613">
        <f t="shared" ref="RWO27" si="6400">RWM27*$C$27</f>
        <v>2.0334200507096702E+32</v>
      </c>
      <c r="RWQ27" s="613">
        <f t="shared" ref="RWQ27" si="6401">RWO27*$C$27</f>
        <v>2.0537542512167668E+32</v>
      </c>
      <c r="RWS27" s="613">
        <f t="shared" ref="RWS27" si="6402">RWQ27*$C$27</f>
        <v>2.0742917937289343E+32</v>
      </c>
      <c r="RWU27" s="613">
        <f t="shared" ref="RWU27" si="6403">RWS27*$C$27</f>
        <v>2.0950347116662237E+32</v>
      </c>
      <c r="RWW27" s="613">
        <f t="shared" ref="RWW27" si="6404">RWU27*$C$27</f>
        <v>2.1159850587828859E+32</v>
      </c>
      <c r="RWY27" s="613">
        <f t="shared" ref="RWY27" si="6405">RWW27*$C$27</f>
        <v>2.1371449093707146E+32</v>
      </c>
      <c r="RXA27" s="613">
        <f t="shared" ref="RXA27" si="6406">RWY27*$C$27</f>
        <v>2.1585163584644216E+32</v>
      </c>
      <c r="RXC27" s="613">
        <f t="shared" ref="RXC27" si="6407">RXA27*$C$27</f>
        <v>2.1801015220490658E+32</v>
      </c>
      <c r="RXE27" s="613">
        <f t="shared" ref="RXE27" si="6408">RXC27*$C$27</f>
        <v>2.2019025372695566E+32</v>
      </c>
      <c r="RXG27" s="613">
        <f t="shared" ref="RXG27" si="6409">RXE27*$C$27</f>
        <v>2.223921562642252E+32</v>
      </c>
      <c r="RXI27" s="613">
        <f t="shared" ref="RXI27" si="6410">RXG27*$C$27</f>
        <v>2.2461607782686747E+32</v>
      </c>
      <c r="RXK27" s="613">
        <f t="shared" ref="RXK27" si="6411">RXI27*$C$27</f>
        <v>2.2686223860513614E+32</v>
      </c>
      <c r="RXM27" s="613">
        <f t="shared" ref="RXM27" si="6412">RXK27*$C$27</f>
        <v>2.291308609911875E+32</v>
      </c>
      <c r="RXO27" s="613">
        <f t="shared" ref="RXO27" si="6413">RXM27*$C$27</f>
        <v>2.3142216960109939E+32</v>
      </c>
      <c r="RXQ27" s="613">
        <f t="shared" ref="RXQ27" si="6414">RXO27*$C$27</f>
        <v>2.3373639129711038E+32</v>
      </c>
      <c r="RXS27" s="613">
        <f t="shared" ref="RXS27" si="6415">RXQ27*$C$27</f>
        <v>2.3607375521008149E+32</v>
      </c>
      <c r="RXU27" s="613">
        <f t="shared" ref="RXU27" si="6416">RXS27*$C$27</f>
        <v>2.3843449276218231E+32</v>
      </c>
      <c r="RXW27" s="613">
        <f t="shared" ref="RXW27" si="6417">RXU27*$C$27</f>
        <v>2.4081883768980414E+32</v>
      </c>
      <c r="RXY27" s="613">
        <f t="shared" ref="RXY27" si="6418">RXW27*$C$27</f>
        <v>2.4322702606670217E+32</v>
      </c>
      <c r="RYA27" s="613">
        <f t="shared" ref="RYA27" si="6419">RXY27*$C$27</f>
        <v>2.456592963273692E+32</v>
      </c>
      <c r="RYC27" s="613">
        <f t="shared" ref="RYC27" si="6420">RYA27*$C$27</f>
        <v>2.4811588929064289E+32</v>
      </c>
      <c r="RYE27" s="613">
        <f t="shared" ref="RYE27" si="6421">RYC27*$C$27</f>
        <v>2.5059704818354934E+32</v>
      </c>
      <c r="RYG27" s="613">
        <f t="shared" ref="RYG27" si="6422">RYE27*$C$27</f>
        <v>2.5310301866538483E+32</v>
      </c>
      <c r="RYI27" s="613">
        <f t="shared" ref="RYI27" si="6423">RYG27*$C$27</f>
        <v>2.5563404885203867E+32</v>
      </c>
      <c r="RYK27" s="613">
        <f t="shared" ref="RYK27" si="6424">RYI27*$C$27</f>
        <v>2.5819038934055905E+32</v>
      </c>
      <c r="RYM27" s="613">
        <f t="shared" ref="RYM27" si="6425">RYK27*$C$27</f>
        <v>2.6077229323396465E+32</v>
      </c>
      <c r="RYO27" s="613">
        <f t="shared" ref="RYO27" si="6426">RYM27*$C$27</f>
        <v>2.6338001616630431E+32</v>
      </c>
      <c r="RYQ27" s="613">
        <f t="shared" ref="RYQ27" si="6427">RYO27*$C$27</f>
        <v>2.6601381632796735E+32</v>
      </c>
      <c r="RYS27" s="613">
        <f t="shared" ref="RYS27" si="6428">RYQ27*$C$27</f>
        <v>2.6867395449124701E+32</v>
      </c>
      <c r="RYU27" s="613">
        <f t="shared" ref="RYU27" si="6429">RYS27*$C$27</f>
        <v>2.713606940361595E+32</v>
      </c>
      <c r="RYW27" s="613">
        <f t="shared" ref="RYW27" si="6430">RYU27*$C$27</f>
        <v>2.7407430097652111E+32</v>
      </c>
      <c r="RYY27" s="613">
        <f t="shared" ref="RYY27" si="6431">RYW27*$C$27</f>
        <v>2.7681504398628633E+32</v>
      </c>
      <c r="RZA27" s="613">
        <f t="shared" ref="RZA27" si="6432">RYY27*$C$27</f>
        <v>2.7958319442614919E+32</v>
      </c>
      <c r="RZC27" s="613">
        <f t="shared" ref="RZC27" si="6433">RZA27*$C$27</f>
        <v>2.8237902637041069E+32</v>
      </c>
      <c r="RZE27" s="613">
        <f t="shared" ref="RZE27" si="6434">RZC27*$C$27</f>
        <v>2.852028166341148E+32</v>
      </c>
      <c r="RZG27" s="613">
        <f t="shared" ref="RZG27" si="6435">RZE27*$C$27</f>
        <v>2.8805484480045594E+32</v>
      </c>
      <c r="RZI27" s="613">
        <f t="shared" ref="RZI27" si="6436">RZG27*$C$27</f>
        <v>2.909353932484605E+32</v>
      </c>
      <c r="RZK27" s="613">
        <f t="shared" ref="RZK27" si="6437">RZI27*$C$27</f>
        <v>2.9384474718094511E+32</v>
      </c>
      <c r="RZM27" s="613">
        <f t="shared" ref="RZM27" si="6438">RZK27*$C$27</f>
        <v>2.9678319465275457E+32</v>
      </c>
      <c r="RZO27" s="613">
        <f t="shared" ref="RZO27" si="6439">RZM27*$C$27</f>
        <v>2.9975102659928213E+32</v>
      </c>
      <c r="RZQ27" s="613">
        <f t="shared" ref="RZQ27" si="6440">RZO27*$C$27</f>
        <v>3.0274853686527496E+32</v>
      </c>
      <c r="RZS27" s="613">
        <f t="shared" ref="RZS27" si="6441">RZQ27*$C$27</f>
        <v>3.0577602223392773E+32</v>
      </c>
      <c r="RZU27" s="613">
        <f t="shared" ref="RZU27" si="6442">RZS27*$C$27</f>
        <v>3.08833782456267E+32</v>
      </c>
      <c r="RZW27" s="613">
        <f t="shared" ref="RZW27" si="6443">RZU27*$C$27</f>
        <v>3.1192212028082967E+32</v>
      </c>
      <c r="RZY27" s="613">
        <f t="shared" ref="RZY27" si="6444">RZW27*$C$27</f>
        <v>3.1504134148363798E+32</v>
      </c>
      <c r="SAA27" s="613">
        <f t="shared" ref="SAA27" si="6445">RZY27*$C$27</f>
        <v>3.1819175489847437E+32</v>
      </c>
      <c r="SAC27" s="613">
        <f t="shared" ref="SAC27" si="6446">SAA27*$C$27</f>
        <v>3.2137367244745912E+32</v>
      </c>
      <c r="SAE27" s="613">
        <f t="shared" ref="SAE27" si="6447">SAC27*$C$27</f>
        <v>3.2458740917193371E+32</v>
      </c>
      <c r="SAG27" s="613">
        <f t="shared" ref="SAG27" si="6448">SAE27*$C$27</f>
        <v>3.2783328326365301E+32</v>
      </c>
      <c r="SAI27" s="613">
        <f t="shared" ref="SAI27" si="6449">SAG27*$C$27</f>
        <v>3.3111161609628954E+32</v>
      </c>
      <c r="SAK27" s="613">
        <f t="shared" ref="SAK27" si="6450">SAI27*$C$27</f>
        <v>3.3442273225725241E+32</v>
      </c>
      <c r="SAM27" s="613">
        <f t="shared" ref="SAM27" si="6451">SAK27*$C$27</f>
        <v>3.3776695957982494E+32</v>
      </c>
      <c r="SAO27" s="613">
        <f t="shared" ref="SAO27" si="6452">SAM27*$C$27</f>
        <v>3.4114462917562322E+32</v>
      </c>
      <c r="SAQ27" s="613">
        <f t="shared" ref="SAQ27" si="6453">SAO27*$C$27</f>
        <v>3.4455607546737949E+32</v>
      </c>
      <c r="SAS27" s="613">
        <f t="shared" ref="SAS27" si="6454">SAQ27*$C$27</f>
        <v>3.4800163622205329E+32</v>
      </c>
      <c r="SAU27" s="613">
        <f t="shared" ref="SAU27" si="6455">SAS27*$C$27</f>
        <v>3.5148165258427383E+32</v>
      </c>
      <c r="SAW27" s="613">
        <f t="shared" ref="SAW27" si="6456">SAU27*$C$27</f>
        <v>3.5499646911011656E+32</v>
      </c>
      <c r="SAY27" s="613">
        <f t="shared" ref="SAY27" si="6457">SAW27*$C$27</f>
        <v>3.5854643380121776E+32</v>
      </c>
      <c r="SBA27" s="613">
        <f t="shared" ref="SBA27" si="6458">SAY27*$C$27</f>
        <v>3.6213189813922994E+32</v>
      </c>
      <c r="SBC27" s="613">
        <f t="shared" ref="SBC27" si="6459">SBA27*$C$27</f>
        <v>3.6575321712062223E+32</v>
      </c>
      <c r="SBE27" s="613">
        <f t="shared" ref="SBE27" si="6460">SBC27*$C$27</f>
        <v>3.6941074929182846E+32</v>
      </c>
      <c r="SBG27" s="613">
        <f t="shared" ref="SBG27" si="6461">SBE27*$C$27</f>
        <v>3.7310485678474672E+32</v>
      </c>
      <c r="SBI27" s="613">
        <f t="shared" ref="SBI27" si="6462">SBG27*$C$27</f>
        <v>3.7683590535259417E+32</v>
      </c>
      <c r="SBK27" s="613">
        <f t="shared" ref="SBK27" si="6463">SBI27*$C$27</f>
        <v>3.8060426440612015E+32</v>
      </c>
      <c r="SBM27" s="613">
        <f t="shared" ref="SBM27" si="6464">SBK27*$C$27</f>
        <v>3.8441030705018132E+32</v>
      </c>
      <c r="SBO27" s="613">
        <f t="shared" ref="SBO27" si="6465">SBM27*$C$27</f>
        <v>3.8825441012068312E+32</v>
      </c>
      <c r="SBQ27" s="613">
        <f t="shared" ref="SBQ27" si="6466">SBO27*$C$27</f>
        <v>3.9213695422188994E+32</v>
      </c>
      <c r="SBS27" s="613">
        <f t="shared" ref="SBS27" si="6467">SBQ27*$C$27</f>
        <v>3.9605832376410881E+32</v>
      </c>
      <c r="SBU27" s="613">
        <f t="shared" ref="SBU27" si="6468">SBS27*$C$27</f>
        <v>4.0001890700174992E+32</v>
      </c>
      <c r="SBW27" s="613">
        <f t="shared" ref="SBW27" si="6469">SBU27*$C$27</f>
        <v>4.0401909607176745E+32</v>
      </c>
      <c r="SBY27" s="613">
        <f t="shared" ref="SBY27" si="6470">SBW27*$C$27</f>
        <v>4.0805928703248513E+32</v>
      </c>
      <c r="SCA27" s="613">
        <f t="shared" ref="SCA27" si="6471">SBY27*$C$27</f>
        <v>4.1213987990280999E+32</v>
      </c>
      <c r="SCC27" s="613">
        <f t="shared" ref="SCC27" si="6472">SCA27*$C$27</f>
        <v>4.1626127870183807E+32</v>
      </c>
      <c r="SCE27" s="613">
        <f t="shared" ref="SCE27" si="6473">SCC27*$C$27</f>
        <v>4.2042389148885644E+32</v>
      </c>
      <c r="SCG27" s="613">
        <f t="shared" ref="SCG27" si="6474">SCE27*$C$27</f>
        <v>4.2462813040374503E+32</v>
      </c>
      <c r="SCI27" s="613">
        <f t="shared" ref="SCI27" si="6475">SCG27*$C$27</f>
        <v>4.2887441170778245E+32</v>
      </c>
      <c r="SCK27" s="613">
        <f t="shared" ref="SCK27" si="6476">SCI27*$C$27</f>
        <v>4.331631558248603E+32</v>
      </c>
      <c r="SCM27" s="613">
        <f t="shared" ref="SCM27" si="6477">SCK27*$C$27</f>
        <v>4.3749478738310892E+32</v>
      </c>
      <c r="SCO27" s="613">
        <f t="shared" ref="SCO27" si="6478">SCM27*$C$27</f>
        <v>4.4186973525694002E+32</v>
      </c>
      <c r="SCQ27" s="613">
        <f t="shared" ref="SCQ27" si="6479">SCO27*$C$27</f>
        <v>4.4628843260950945E+32</v>
      </c>
      <c r="SCS27" s="613">
        <f t="shared" ref="SCS27" si="6480">SCQ27*$C$27</f>
        <v>4.5075131693560456E+32</v>
      </c>
      <c r="SCU27" s="613">
        <f t="shared" ref="SCU27" si="6481">SCS27*$C$27</f>
        <v>4.5525883010496057E+32</v>
      </c>
      <c r="SCW27" s="613">
        <f t="shared" ref="SCW27" si="6482">SCU27*$C$27</f>
        <v>4.5981141840601018E+32</v>
      </c>
      <c r="SCY27" s="613">
        <f t="shared" ref="SCY27" si="6483">SCW27*$C$27</f>
        <v>4.6440953259007028E+32</v>
      </c>
      <c r="SDA27" s="613">
        <f t="shared" ref="SDA27" si="6484">SCY27*$C$27</f>
        <v>4.69053627915971E+32</v>
      </c>
      <c r="SDC27" s="613">
        <f t="shared" ref="SDC27" si="6485">SDA27*$C$27</f>
        <v>4.737441641951307E+32</v>
      </c>
      <c r="SDE27" s="613">
        <f t="shared" ref="SDE27" si="6486">SDC27*$C$27</f>
        <v>4.7848160583708199E+32</v>
      </c>
      <c r="SDG27" s="613">
        <f t="shared" ref="SDG27" si="6487">SDE27*$C$27</f>
        <v>4.8326642189545278E+32</v>
      </c>
      <c r="SDI27" s="613">
        <f t="shared" ref="SDI27" si="6488">SDG27*$C$27</f>
        <v>4.8809908611440728E+32</v>
      </c>
      <c r="SDK27" s="613">
        <f t="shared" ref="SDK27" si="6489">SDI27*$C$27</f>
        <v>4.9298007697555136E+32</v>
      </c>
      <c r="SDM27" s="613">
        <f t="shared" ref="SDM27" si="6490">SDK27*$C$27</f>
        <v>4.9790987774530684E+32</v>
      </c>
      <c r="SDO27" s="613">
        <f t="shared" ref="SDO27" si="6491">SDM27*$C$27</f>
        <v>5.0288897652275991E+32</v>
      </c>
      <c r="SDQ27" s="613">
        <f t="shared" ref="SDQ27" si="6492">SDO27*$C$27</f>
        <v>5.0791786628798754E+32</v>
      </c>
      <c r="SDS27" s="613">
        <f t="shared" ref="SDS27" si="6493">SDQ27*$C$27</f>
        <v>5.1299704495086744E+32</v>
      </c>
      <c r="SDU27" s="613">
        <f t="shared" ref="SDU27" si="6494">SDS27*$C$27</f>
        <v>5.1812701540037612E+32</v>
      </c>
      <c r="SDW27" s="613">
        <f t="shared" ref="SDW27" si="6495">SDU27*$C$27</f>
        <v>5.2330828555437986E+32</v>
      </c>
      <c r="SDY27" s="613">
        <f t="shared" ref="SDY27" si="6496">SDW27*$C$27</f>
        <v>5.2854136840992369E+32</v>
      </c>
      <c r="SEA27" s="613">
        <f t="shared" ref="SEA27" si="6497">SDY27*$C$27</f>
        <v>5.3382678209402292E+32</v>
      </c>
      <c r="SEC27" s="613">
        <f t="shared" ref="SEC27" si="6498">SEA27*$C$27</f>
        <v>5.3916504991496318E+32</v>
      </c>
      <c r="SEE27" s="613">
        <f t="shared" ref="SEE27" si="6499">SEC27*$C$27</f>
        <v>5.4455670041411285E+32</v>
      </c>
      <c r="SEG27" s="613">
        <f t="shared" ref="SEG27" si="6500">SEE27*$C$27</f>
        <v>5.5000226741825401E+32</v>
      </c>
      <c r="SEI27" s="613">
        <f t="shared" ref="SEI27" si="6501">SEG27*$C$27</f>
        <v>5.5550229009243659E+32</v>
      </c>
      <c r="SEK27" s="613">
        <f t="shared" ref="SEK27" si="6502">SEI27*$C$27</f>
        <v>5.6105731299336094E+32</v>
      </c>
      <c r="SEM27" s="613">
        <f t="shared" ref="SEM27" si="6503">SEK27*$C$27</f>
        <v>5.6666788612329454E+32</v>
      </c>
      <c r="SEO27" s="613">
        <f t="shared" ref="SEO27" si="6504">SEM27*$C$27</f>
        <v>5.7233456498452753E+32</v>
      </c>
      <c r="SEQ27" s="613">
        <f t="shared" ref="SEQ27" si="6505">SEO27*$C$27</f>
        <v>5.7805791063437283E+32</v>
      </c>
      <c r="SES27" s="613">
        <f t="shared" ref="SES27" si="6506">SEQ27*$C$27</f>
        <v>5.8383848974071655E+32</v>
      </c>
      <c r="SEU27" s="613">
        <f t="shared" ref="SEU27" si="6507">SES27*$C$27</f>
        <v>5.896768746381237E+32</v>
      </c>
      <c r="SEW27" s="613">
        <f t="shared" ref="SEW27" si="6508">SEU27*$C$27</f>
        <v>5.9557364338450495E+32</v>
      </c>
      <c r="SEY27" s="613">
        <f t="shared" ref="SEY27" si="6509">SEW27*$C$27</f>
        <v>6.0152937981834999E+32</v>
      </c>
      <c r="SFA27" s="613">
        <f t="shared" ref="SFA27" si="6510">SEY27*$C$27</f>
        <v>6.075446736165335E+32</v>
      </c>
      <c r="SFC27" s="613">
        <f t="shared" ref="SFC27" si="6511">SFA27*$C$27</f>
        <v>6.136201203526988E+32</v>
      </c>
      <c r="SFE27" s="613">
        <f t="shared" ref="SFE27" si="6512">SFC27*$C$27</f>
        <v>6.1975632155622577E+32</v>
      </c>
      <c r="SFG27" s="613">
        <f t="shared" ref="SFG27" si="6513">SFE27*$C$27</f>
        <v>6.2595388477178801E+32</v>
      </c>
      <c r="SFI27" s="613">
        <f t="shared" ref="SFI27" si="6514">SFG27*$C$27</f>
        <v>6.3221342361950588E+32</v>
      </c>
      <c r="SFK27" s="613">
        <f t="shared" ref="SFK27" si="6515">SFI27*$C$27</f>
        <v>6.3853555785570093E+32</v>
      </c>
      <c r="SFM27" s="613">
        <f t="shared" ref="SFM27" si="6516">SFK27*$C$27</f>
        <v>6.4492091343425797E+32</v>
      </c>
      <c r="SFO27" s="613">
        <f t="shared" ref="SFO27" si="6517">SFM27*$C$27</f>
        <v>6.5137012256860062E+32</v>
      </c>
      <c r="SFQ27" s="613">
        <f t="shared" ref="SFQ27" si="6518">SFO27*$C$27</f>
        <v>6.5788382379428667E+32</v>
      </c>
      <c r="SFS27" s="613">
        <f t="shared" ref="SFS27" si="6519">SFQ27*$C$27</f>
        <v>6.6446266203222961E+32</v>
      </c>
      <c r="SFU27" s="613">
        <f t="shared" ref="SFU27" si="6520">SFS27*$C$27</f>
        <v>6.7110728865255189E+32</v>
      </c>
      <c r="SFW27" s="613">
        <f t="shared" ref="SFW27" si="6521">SFU27*$C$27</f>
        <v>6.7781836153907741E+32</v>
      </c>
      <c r="SFY27" s="613">
        <f t="shared" ref="SFY27" si="6522">SFW27*$C$27</f>
        <v>6.845965451544682E+32</v>
      </c>
      <c r="SGA27" s="613">
        <f t="shared" ref="SGA27" si="6523">SFY27*$C$27</f>
        <v>6.914425106060129E+32</v>
      </c>
      <c r="SGC27" s="613">
        <f t="shared" ref="SGC27" si="6524">SGA27*$C$27</f>
        <v>6.9835693571207307E+32</v>
      </c>
      <c r="SGE27" s="613">
        <f t="shared" ref="SGE27" si="6525">SGC27*$C$27</f>
        <v>7.0534050506919375E+32</v>
      </c>
      <c r="SGG27" s="613">
        <f t="shared" ref="SGG27" si="6526">SGE27*$C$27</f>
        <v>7.1239391011988572E+32</v>
      </c>
      <c r="SGI27" s="613">
        <f t="shared" ref="SGI27" si="6527">SGG27*$C$27</f>
        <v>7.1951784922108457E+32</v>
      </c>
      <c r="SGK27" s="613">
        <f t="shared" ref="SGK27" si="6528">SGI27*$C$27</f>
        <v>7.2671302771329538E+32</v>
      </c>
      <c r="SGM27" s="613">
        <f t="shared" ref="SGM27" si="6529">SGK27*$C$27</f>
        <v>7.339801579904284E+32</v>
      </c>
      <c r="SGO27" s="613">
        <f t="shared" ref="SGO27" si="6530">SGM27*$C$27</f>
        <v>7.4131995957033276E+32</v>
      </c>
      <c r="SGQ27" s="613">
        <f t="shared" ref="SGQ27" si="6531">SGO27*$C$27</f>
        <v>7.4873315916603604E+32</v>
      </c>
      <c r="SGS27" s="613">
        <f t="shared" ref="SGS27" si="6532">SGQ27*$C$27</f>
        <v>7.5622049075769639E+32</v>
      </c>
      <c r="SGU27" s="613">
        <f t="shared" ref="SGU27" si="6533">SGS27*$C$27</f>
        <v>7.6378269566527333E+32</v>
      </c>
      <c r="SGW27" s="613">
        <f t="shared" ref="SGW27" si="6534">SGU27*$C$27</f>
        <v>7.7142052262192607E+32</v>
      </c>
      <c r="SGY27" s="613">
        <f t="shared" ref="SGY27" si="6535">SGW27*$C$27</f>
        <v>7.7913472784814532E+32</v>
      </c>
      <c r="SHA27" s="613">
        <f t="shared" ref="SHA27" si="6536">SGY27*$C$27</f>
        <v>7.8692607512662675E+32</v>
      </c>
      <c r="SHC27" s="613">
        <f t="shared" ref="SHC27" si="6537">SHA27*$C$27</f>
        <v>7.9479533587789303E+32</v>
      </c>
      <c r="SHE27" s="613">
        <f t="shared" ref="SHE27" si="6538">SHC27*$C$27</f>
        <v>8.0274328923667195E+32</v>
      </c>
      <c r="SHG27" s="613">
        <f t="shared" ref="SHG27" si="6539">SHE27*$C$27</f>
        <v>8.107707221290387E+32</v>
      </c>
      <c r="SHI27" s="613">
        <f t="shared" ref="SHI27" si="6540">SHG27*$C$27</f>
        <v>8.1887842935032916E+32</v>
      </c>
      <c r="SHK27" s="613">
        <f t="shared" ref="SHK27" si="6541">SHI27*$C$27</f>
        <v>8.2706721364383241E+32</v>
      </c>
      <c r="SHM27" s="613">
        <f t="shared" ref="SHM27" si="6542">SHK27*$C$27</f>
        <v>8.353378857802707E+32</v>
      </c>
      <c r="SHO27" s="613">
        <f t="shared" ref="SHO27" si="6543">SHM27*$C$27</f>
        <v>8.4369126463807345E+32</v>
      </c>
      <c r="SHQ27" s="613">
        <f t="shared" ref="SHQ27" si="6544">SHO27*$C$27</f>
        <v>8.5212817728445417E+32</v>
      </c>
      <c r="SHS27" s="613">
        <f t="shared" ref="SHS27" si="6545">SHQ27*$C$27</f>
        <v>8.6064945905729874E+32</v>
      </c>
      <c r="SHU27" s="613">
        <f t="shared" ref="SHU27" si="6546">SHS27*$C$27</f>
        <v>8.6925595364787167E+32</v>
      </c>
      <c r="SHW27" s="613">
        <f t="shared" ref="SHW27" si="6547">SHU27*$C$27</f>
        <v>8.7794851318435041E+32</v>
      </c>
      <c r="SHY27" s="613">
        <f t="shared" ref="SHY27" si="6548">SHW27*$C$27</f>
        <v>8.8672799831619391E+32</v>
      </c>
      <c r="SIA27" s="613">
        <f t="shared" ref="SIA27" si="6549">SHY27*$C$27</f>
        <v>8.9559527829935585E+32</v>
      </c>
      <c r="SIC27" s="613">
        <f t="shared" ref="SIC27" si="6550">SIA27*$C$27</f>
        <v>9.0455123108234942E+32</v>
      </c>
      <c r="SIE27" s="613">
        <f t="shared" ref="SIE27" si="6551">SIC27*$C$27</f>
        <v>9.1359674339317292E+32</v>
      </c>
      <c r="SIG27" s="613">
        <f t="shared" ref="SIG27" si="6552">SIE27*$C$27</f>
        <v>9.2273271082710467E+32</v>
      </c>
      <c r="SII27" s="613">
        <f t="shared" ref="SII27" si="6553">SIG27*$C$27</f>
        <v>9.3196003793537574E+32</v>
      </c>
      <c r="SIK27" s="613">
        <f t="shared" ref="SIK27" si="6554">SII27*$C$27</f>
        <v>9.4127963831472945E+32</v>
      </c>
      <c r="SIM27" s="613">
        <f t="shared" ref="SIM27" si="6555">SIK27*$C$27</f>
        <v>9.5069243469787678E+32</v>
      </c>
      <c r="SIO27" s="613">
        <f t="shared" ref="SIO27" si="6556">SIM27*$C$27</f>
        <v>9.6019935904485552E+32</v>
      </c>
      <c r="SIQ27" s="613">
        <f t="shared" ref="SIQ27" si="6557">SIO27*$C$27</f>
        <v>9.6980135263530411E+32</v>
      </c>
      <c r="SIS27" s="613">
        <f t="shared" ref="SIS27" si="6558">SIQ27*$C$27</f>
        <v>9.7949936616165716E+32</v>
      </c>
      <c r="SIU27" s="613">
        <f t="shared" ref="SIU27" si="6559">SIS27*$C$27</f>
        <v>9.8929435982327371E+32</v>
      </c>
      <c r="SIW27" s="613">
        <f t="shared" ref="SIW27" si="6560">SIU27*$C$27</f>
        <v>9.9918730342150642E+32</v>
      </c>
      <c r="SIY27" s="613">
        <f t="shared" ref="SIY27" si="6561">SIW27*$C$27</f>
        <v>1.0091791764557215E+33</v>
      </c>
      <c r="SJA27" s="613">
        <f t="shared" ref="SJA27" si="6562">SIY27*$C$27</f>
        <v>1.0192709682202787E+33</v>
      </c>
      <c r="SJC27" s="613">
        <f t="shared" ref="SJC27" si="6563">SJA27*$C$27</f>
        <v>1.0294636779024814E+33</v>
      </c>
      <c r="SJE27" s="613">
        <f t="shared" ref="SJE27" si="6564">SJC27*$C$27</f>
        <v>1.0397583146815062E+33</v>
      </c>
      <c r="SJG27" s="613">
        <f t="shared" ref="SJG27" si="6565">SJE27*$C$27</f>
        <v>1.0501558978283213E+33</v>
      </c>
      <c r="SJI27" s="613">
        <f t="shared" ref="SJI27" si="6566">SJG27*$C$27</f>
        <v>1.0606574568066046E+33</v>
      </c>
      <c r="SJK27" s="613">
        <f t="shared" ref="SJK27" si="6567">SJI27*$C$27</f>
        <v>1.0712640313746706E+33</v>
      </c>
      <c r="SJM27" s="613">
        <f t="shared" ref="SJM27" si="6568">SJK27*$C$27</f>
        <v>1.0819766716884174E+33</v>
      </c>
      <c r="SJO27" s="613">
        <f t="shared" ref="SJO27" si="6569">SJM27*$C$27</f>
        <v>1.0927964384053016E+33</v>
      </c>
      <c r="SJQ27" s="613">
        <f t="shared" ref="SJQ27" si="6570">SJO27*$C$27</f>
        <v>1.1037244027893546E+33</v>
      </c>
      <c r="SJS27" s="613">
        <f t="shared" ref="SJS27" si="6571">SJQ27*$C$27</f>
        <v>1.1147616468172482E+33</v>
      </c>
      <c r="SJU27" s="613">
        <f t="shared" ref="SJU27" si="6572">SJS27*$C$27</f>
        <v>1.1259092632854207E+33</v>
      </c>
      <c r="SJW27" s="613">
        <f t="shared" ref="SJW27" si="6573">SJU27*$C$27</f>
        <v>1.1371683559182749E+33</v>
      </c>
      <c r="SJY27" s="613">
        <f t="shared" ref="SJY27" si="6574">SJW27*$C$27</f>
        <v>1.1485400394774576E+33</v>
      </c>
      <c r="SKA27" s="613">
        <f t="shared" ref="SKA27" si="6575">SJY27*$C$27</f>
        <v>1.1600254398722322E+33</v>
      </c>
      <c r="SKC27" s="613">
        <f t="shared" ref="SKC27" si="6576">SKA27*$C$27</f>
        <v>1.1716256942709545E+33</v>
      </c>
      <c r="SKE27" s="613">
        <f t="shared" ref="SKE27" si="6577">SKC27*$C$27</f>
        <v>1.183341951213664E+33</v>
      </c>
      <c r="SKG27" s="613">
        <f t="shared" ref="SKG27" si="6578">SKE27*$C$27</f>
        <v>1.1951753707258007E+33</v>
      </c>
      <c r="SKI27" s="613">
        <f t="shared" ref="SKI27" si="6579">SKG27*$C$27</f>
        <v>1.2071271244330587E+33</v>
      </c>
      <c r="SKK27" s="613">
        <f t="shared" ref="SKK27" si="6580">SKI27*$C$27</f>
        <v>1.2191983956773892E+33</v>
      </c>
      <c r="SKM27" s="613">
        <f t="shared" ref="SKM27" si="6581">SKK27*$C$27</f>
        <v>1.2313903796341631E+33</v>
      </c>
      <c r="SKO27" s="613">
        <f t="shared" ref="SKO27" si="6582">SKM27*$C$27</f>
        <v>1.2437042834305047E+33</v>
      </c>
      <c r="SKQ27" s="613">
        <f t="shared" ref="SKQ27" si="6583">SKO27*$C$27</f>
        <v>1.2561413262648097E+33</v>
      </c>
      <c r="SKS27" s="613">
        <f t="shared" ref="SKS27" si="6584">SKQ27*$C$27</f>
        <v>1.2687027395274578E+33</v>
      </c>
      <c r="SKU27" s="613">
        <f t="shared" ref="SKU27" si="6585">SKS27*$C$27</f>
        <v>1.2813897669227324E+33</v>
      </c>
      <c r="SKW27" s="613">
        <f t="shared" ref="SKW27" si="6586">SKU27*$C$27</f>
        <v>1.2942036645919598E+33</v>
      </c>
      <c r="SKY27" s="613">
        <f t="shared" ref="SKY27" si="6587">SKW27*$C$27</f>
        <v>1.3071457012378793E+33</v>
      </c>
      <c r="SLA27" s="613">
        <f t="shared" ref="SLA27" si="6588">SKY27*$C$27</f>
        <v>1.320217158250258E+33</v>
      </c>
      <c r="SLC27" s="613">
        <f t="shared" ref="SLC27" si="6589">SLA27*$C$27</f>
        <v>1.3334193298327605E+33</v>
      </c>
      <c r="SLE27" s="613">
        <f t="shared" ref="SLE27" si="6590">SLC27*$C$27</f>
        <v>1.3467535231310881E+33</v>
      </c>
      <c r="SLG27" s="613">
        <f t="shared" ref="SLG27" si="6591">SLE27*$C$27</f>
        <v>1.3602210583623989E+33</v>
      </c>
      <c r="SLI27" s="613">
        <f t="shared" ref="SLI27" si="6592">SLG27*$C$27</f>
        <v>1.3738232689460228E+33</v>
      </c>
      <c r="SLK27" s="613">
        <f t="shared" ref="SLK27" si="6593">SLI27*$C$27</f>
        <v>1.3875615016354829E+33</v>
      </c>
      <c r="SLM27" s="613">
        <f t="shared" ref="SLM27" si="6594">SLK27*$C$27</f>
        <v>1.4014371166518377E+33</v>
      </c>
      <c r="SLO27" s="613">
        <f t="shared" ref="SLO27" si="6595">SLM27*$C$27</f>
        <v>1.4154514878183561E+33</v>
      </c>
      <c r="SLQ27" s="613">
        <f t="shared" ref="SLQ27" si="6596">SLO27*$C$27</f>
        <v>1.4296060026965397E+33</v>
      </c>
      <c r="SLS27" s="613">
        <f t="shared" ref="SLS27" si="6597">SLQ27*$C$27</f>
        <v>1.4439020627235051E+33</v>
      </c>
      <c r="SLU27" s="613">
        <f t="shared" ref="SLU27" si="6598">SLS27*$C$27</f>
        <v>1.4583410833507401E+33</v>
      </c>
      <c r="SLW27" s="613">
        <f t="shared" ref="SLW27" si="6599">SLU27*$C$27</f>
        <v>1.4729244941842477E+33</v>
      </c>
      <c r="SLY27" s="613">
        <f t="shared" ref="SLY27" si="6600">SLW27*$C$27</f>
        <v>1.4876537391260903E+33</v>
      </c>
      <c r="SMA27" s="613">
        <f t="shared" ref="SMA27" si="6601">SLY27*$C$27</f>
        <v>1.5025302765173511E+33</v>
      </c>
      <c r="SMC27" s="613">
        <f t="shared" ref="SMC27" si="6602">SMA27*$C$27</f>
        <v>1.5175555792825245E+33</v>
      </c>
      <c r="SME27" s="613">
        <f t="shared" ref="SME27" si="6603">SMC27*$C$27</f>
        <v>1.5327311350753499E+33</v>
      </c>
      <c r="SMG27" s="613">
        <f t="shared" ref="SMG27" si="6604">SME27*$C$27</f>
        <v>1.5480584464261035E+33</v>
      </c>
      <c r="SMI27" s="613">
        <f t="shared" ref="SMI27" si="6605">SMG27*$C$27</f>
        <v>1.5635390308903645E+33</v>
      </c>
      <c r="SMK27" s="613">
        <f t="shared" ref="SMK27" si="6606">SMI27*$C$27</f>
        <v>1.5791744211992682E+33</v>
      </c>
      <c r="SMM27" s="613">
        <f t="shared" ref="SMM27" si="6607">SMK27*$C$27</f>
        <v>1.5949661654112609E+33</v>
      </c>
      <c r="SMO27" s="613">
        <f t="shared" ref="SMO27" si="6608">SMM27*$C$27</f>
        <v>1.6109158270653733E+33</v>
      </c>
      <c r="SMQ27" s="613">
        <f t="shared" ref="SMQ27" si="6609">SMO27*$C$27</f>
        <v>1.6270249853360271E+33</v>
      </c>
      <c r="SMS27" s="613">
        <f t="shared" ref="SMS27" si="6610">SMQ27*$C$27</f>
        <v>1.6432952351893875E+33</v>
      </c>
      <c r="SMU27" s="613">
        <f t="shared" ref="SMU27" si="6611">SMS27*$C$27</f>
        <v>1.6597281875412813E+33</v>
      </c>
      <c r="SMW27" s="613">
        <f t="shared" ref="SMW27" si="6612">SMU27*$C$27</f>
        <v>1.6763254694166941E+33</v>
      </c>
      <c r="SMY27" s="613">
        <f t="shared" ref="SMY27" si="6613">SMW27*$C$27</f>
        <v>1.6930887241108612E+33</v>
      </c>
      <c r="SNA27" s="613">
        <f t="shared" ref="SNA27" si="6614">SMY27*$C$27</f>
        <v>1.7100196113519699E+33</v>
      </c>
      <c r="SNC27" s="613">
        <f t="shared" ref="SNC27" si="6615">SNA27*$C$27</f>
        <v>1.7271198074654896E+33</v>
      </c>
      <c r="SNE27" s="613">
        <f t="shared" ref="SNE27" si="6616">SNC27*$C$27</f>
        <v>1.7443910055401447E+33</v>
      </c>
      <c r="SNG27" s="613">
        <f t="shared" ref="SNG27" si="6617">SNE27*$C$27</f>
        <v>1.7618349155955462E+33</v>
      </c>
      <c r="SNI27" s="613">
        <f t="shared" ref="SNI27" si="6618">SNG27*$C$27</f>
        <v>1.7794532647515016E+33</v>
      </c>
      <c r="SNK27" s="613">
        <f t="shared" ref="SNK27" si="6619">SNI27*$C$27</f>
        <v>1.7972477973990166E+33</v>
      </c>
      <c r="SNM27" s="613">
        <f t="shared" ref="SNM27" si="6620">SNK27*$C$27</f>
        <v>1.8152202753730069E+33</v>
      </c>
      <c r="SNO27" s="613">
        <f t="shared" ref="SNO27" si="6621">SNM27*$C$27</f>
        <v>1.833372478126737E+33</v>
      </c>
      <c r="SNQ27" s="613">
        <f t="shared" ref="SNQ27" si="6622">SNO27*$C$27</f>
        <v>1.8517062029080045E+33</v>
      </c>
      <c r="SNS27" s="613">
        <f t="shared" ref="SNS27" si="6623">SNQ27*$C$27</f>
        <v>1.8702232649370847E+33</v>
      </c>
      <c r="SNU27" s="613">
        <f t="shared" ref="SNU27" si="6624">SNS27*$C$27</f>
        <v>1.8889254975864555E+33</v>
      </c>
      <c r="SNW27" s="613">
        <f t="shared" ref="SNW27" si="6625">SNU27*$C$27</f>
        <v>1.9078147525623201E+33</v>
      </c>
      <c r="SNY27" s="613">
        <f t="shared" ref="SNY27" si="6626">SNW27*$C$27</f>
        <v>1.9268929000879433E+33</v>
      </c>
      <c r="SOA27" s="613">
        <f t="shared" ref="SOA27" si="6627">SNY27*$C$27</f>
        <v>1.9461618290888228E+33</v>
      </c>
      <c r="SOC27" s="613">
        <f t="shared" ref="SOC27" si="6628">SOA27*$C$27</f>
        <v>1.9656234473797111E+33</v>
      </c>
      <c r="SOE27" s="613">
        <f t="shared" ref="SOE27" si="6629">SOC27*$C$27</f>
        <v>1.9852796818535082E+33</v>
      </c>
      <c r="SOG27" s="613">
        <f t="shared" ref="SOG27" si="6630">SOE27*$C$27</f>
        <v>2.0051324786720433E+33</v>
      </c>
      <c r="SOI27" s="613">
        <f t="shared" ref="SOI27" si="6631">SOG27*$C$27</f>
        <v>2.0251838034587637E+33</v>
      </c>
      <c r="SOK27" s="613">
        <f t="shared" ref="SOK27" si="6632">SOI27*$C$27</f>
        <v>2.0454356414933512E+33</v>
      </c>
      <c r="SOM27" s="613">
        <f t="shared" ref="SOM27" si="6633">SOK27*$C$27</f>
        <v>2.0658899979082848E+33</v>
      </c>
      <c r="SOO27" s="613">
        <f t="shared" ref="SOO27" si="6634">SOM27*$C$27</f>
        <v>2.0865488978873677E+33</v>
      </c>
      <c r="SOQ27" s="613">
        <f t="shared" ref="SOQ27" si="6635">SOO27*$C$27</f>
        <v>2.1074143868662414E+33</v>
      </c>
      <c r="SOS27" s="613">
        <f t="shared" ref="SOS27" si="6636">SOQ27*$C$27</f>
        <v>2.1284885307349039E+33</v>
      </c>
      <c r="SOU27" s="613">
        <f t="shared" ref="SOU27" si="6637">SOS27*$C$27</f>
        <v>2.1497734160422528E+33</v>
      </c>
      <c r="SOW27" s="613">
        <f t="shared" ref="SOW27" si="6638">SOU27*$C$27</f>
        <v>2.1712711502026753E+33</v>
      </c>
      <c r="SOY27" s="613">
        <f t="shared" ref="SOY27" si="6639">SOW27*$C$27</f>
        <v>2.1929838617047021E+33</v>
      </c>
      <c r="SPA27" s="613">
        <f t="shared" ref="SPA27" si="6640">SOY27*$C$27</f>
        <v>2.2149137003217493E+33</v>
      </c>
      <c r="SPC27" s="613">
        <f t="shared" ref="SPC27" si="6641">SPA27*$C$27</f>
        <v>2.2370628373249668E+33</v>
      </c>
      <c r="SPE27" s="613">
        <f t="shared" ref="SPE27" si="6642">SPC27*$C$27</f>
        <v>2.2594334656982165E+33</v>
      </c>
      <c r="SPG27" s="613">
        <f t="shared" ref="SPG27" si="6643">SPE27*$C$27</f>
        <v>2.2820278003551987E+33</v>
      </c>
      <c r="SPI27" s="613">
        <f t="shared" ref="SPI27" si="6644">SPG27*$C$27</f>
        <v>2.3048480783587508E+33</v>
      </c>
      <c r="SPK27" s="613">
        <f t="shared" ref="SPK27" si="6645">SPI27*$C$27</f>
        <v>2.3278965591423383E+33</v>
      </c>
      <c r="SPM27" s="613">
        <f t="shared" ref="SPM27" si="6646">SPK27*$C$27</f>
        <v>2.3511755247337617E+33</v>
      </c>
      <c r="SPO27" s="613">
        <f t="shared" ref="SPO27" si="6647">SPM27*$C$27</f>
        <v>2.3746872799810994E+33</v>
      </c>
      <c r="SPQ27" s="613">
        <f t="shared" ref="SPQ27" si="6648">SPO27*$C$27</f>
        <v>2.3984341527809105E+33</v>
      </c>
      <c r="SPS27" s="613">
        <f t="shared" ref="SPS27" si="6649">SPQ27*$C$27</f>
        <v>2.4224184943087197E+33</v>
      </c>
      <c r="SPU27" s="613">
        <f t="shared" ref="SPU27" si="6650">SPS27*$C$27</f>
        <v>2.446642679251807E+33</v>
      </c>
      <c r="SPW27" s="613">
        <f t="shared" ref="SPW27" si="6651">SPU27*$C$27</f>
        <v>2.4711091060443251E+33</v>
      </c>
      <c r="SPY27" s="613">
        <f t="shared" ref="SPY27" si="6652">SPW27*$C$27</f>
        <v>2.4958201971047683E+33</v>
      </c>
      <c r="SQA27" s="613">
        <f t="shared" ref="SQA27" si="6653">SPY27*$C$27</f>
        <v>2.520778399075816E+33</v>
      </c>
      <c r="SQC27" s="613">
        <f t="shared" ref="SQC27" si="6654">SQA27*$C$27</f>
        <v>2.5459861830665741E+33</v>
      </c>
      <c r="SQE27" s="613">
        <f t="shared" ref="SQE27" si="6655">SQC27*$C$27</f>
        <v>2.5714460448972398E+33</v>
      </c>
      <c r="SQG27" s="613">
        <f t="shared" ref="SQG27" si="6656">SQE27*$C$27</f>
        <v>2.5971605053462121E+33</v>
      </c>
      <c r="SQI27" s="613">
        <f t="shared" ref="SQI27" si="6657">SQG27*$C$27</f>
        <v>2.6231321103996745E+33</v>
      </c>
      <c r="SQK27" s="613">
        <f t="shared" ref="SQK27" si="6658">SQI27*$C$27</f>
        <v>2.6493634315036712E+33</v>
      </c>
      <c r="SQM27" s="613">
        <f t="shared" ref="SQM27" si="6659">SQK27*$C$27</f>
        <v>2.675857065818708E+33</v>
      </c>
      <c r="SQO27" s="613">
        <f t="shared" ref="SQO27" si="6660">SQM27*$C$27</f>
        <v>2.7026156364768949E+33</v>
      </c>
      <c r="SQQ27" s="613">
        <f t="shared" ref="SQQ27" si="6661">SQO27*$C$27</f>
        <v>2.729641792841664E+33</v>
      </c>
      <c r="SQS27" s="613">
        <f t="shared" ref="SQS27" si="6662">SQQ27*$C$27</f>
        <v>2.7569382107700809E+33</v>
      </c>
      <c r="SQU27" s="613">
        <f t="shared" ref="SQU27" si="6663">SQS27*$C$27</f>
        <v>2.784507592877782E+33</v>
      </c>
      <c r="SQW27" s="613">
        <f t="shared" ref="SQW27" si="6664">SQU27*$C$27</f>
        <v>2.8123526688065601E+33</v>
      </c>
      <c r="SQY27" s="613">
        <f t="shared" ref="SQY27" si="6665">SQW27*$C$27</f>
        <v>2.8404761954946259E+33</v>
      </c>
      <c r="SRA27" s="613">
        <f t="shared" ref="SRA27" si="6666">SQY27*$C$27</f>
        <v>2.868880957449572E+33</v>
      </c>
      <c r="SRC27" s="613">
        <f t="shared" ref="SRC27" si="6667">SRA27*$C$27</f>
        <v>2.8975697670240678E+33</v>
      </c>
      <c r="SRE27" s="613">
        <f t="shared" ref="SRE27" si="6668">SRC27*$C$27</f>
        <v>2.9265454646943085E+33</v>
      </c>
      <c r="SRG27" s="613">
        <f t="shared" ref="SRG27" si="6669">SRE27*$C$27</f>
        <v>2.9558109193412517E+33</v>
      </c>
      <c r="SRI27" s="613">
        <f t="shared" ref="SRI27" si="6670">SRG27*$C$27</f>
        <v>2.9853690285346645E+33</v>
      </c>
      <c r="SRK27" s="613">
        <f t="shared" ref="SRK27" si="6671">SRI27*$C$27</f>
        <v>3.0152227188200114E+33</v>
      </c>
      <c r="SRM27" s="613">
        <f t="shared" ref="SRM27" si="6672">SRK27*$C$27</f>
        <v>3.0453749460082116E+33</v>
      </c>
      <c r="SRO27" s="613">
        <f t="shared" ref="SRO27" si="6673">SRM27*$C$27</f>
        <v>3.075828695468294E+33</v>
      </c>
      <c r="SRQ27" s="613">
        <f t="shared" ref="SRQ27" si="6674">SRO27*$C$27</f>
        <v>3.1065869824229771E+33</v>
      </c>
      <c r="SRS27" s="613">
        <f t="shared" ref="SRS27" si="6675">SRQ27*$C$27</f>
        <v>3.137652852247207E+33</v>
      </c>
      <c r="SRU27" s="613">
        <f t="shared" ref="SRU27" si="6676">SRS27*$C$27</f>
        <v>3.1690293807696789E+33</v>
      </c>
      <c r="SRW27" s="613">
        <f t="shared" ref="SRW27" si="6677">SRU27*$C$27</f>
        <v>3.2007196745773757E+33</v>
      </c>
      <c r="SRY27" s="613">
        <f t="shared" ref="SRY27" si="6678">SRW27*$C$27</f>
        <v>3.2327268713231493E+33</v>
      </c>
      <c r="SSA27" s="613">
        <f t="shared" ref="SSA27" si="6679">SRY27*$C$27</f>
        <v>3.2650541400363807E+33</v>
      </c>
      <c r="SSC27" s="613">
        <f t="shared" ref="SSC27" si="6680">SSA27*$C$27</f>
        <v>3.2977046814367446E+33</v>
      </c>
      <c r="SSE27" s="613">
        <f t="shared" ref="SSE27" si="6681">SSC27*$C$27</f>
        <v>3.3306817282511119E+33</v>
      </c>
      <c r="SSG27" s="613">
        <f t="shared" ref="SSG27" si="6682">SSE27*$C$27</f>
        <v>3.3639885455336229E+33</v>
      </c>
      <c r="SSI27" s="613">
        <f t="shared" ref="SSI27" si="6683">SSG27*$C$27</f>
        <v>3.3976284309889595E+33</v>
      </c>
      <c r="SSK27" s="613">
        <f t="shared" ref="SSK27" si="6684">SSI27*$C$27</f>
        <v>3.4316047152988491E+33</v>
      </c>
      <c r="SSM27" s="613">
        <f t="shared" ref="SSM27" si="6685">SSK27*$C$27</f>
        <v>3.4659207624518375E+33</v>
      </c>
      <c r="SSO27" s="613">
        <f t="shared" ref="SSO27" si="6686">SSM27*$C$27</f>
        <v>3.5005799700763556E+33</v>
      </c>
      <c r="SSQ27" s="613">
        <f t="shared" ref="SSQ27" si="6687">SSO27*$C$27</f>
        <v>3.5355857697771189E+33</v>
      </c>
      <c r="SSS27" s="613">
        <f t="shared" ref="SSS27" si="6688">SSQ27*$C$27</f>
        <v>3.5709416274748901E+33</v>
      </c>
      <c r="SSU27" s="613">
        <f t="shared" ref="SSU27" si="6689">SSS27*$C$27</f>
        <v>3.6066510437496389E+33</v>
      </c>
      <c r="SSW27" s="613">
        <f t="shared" ref="SSW27" si="6690">SSU27*$C$27</f>
        <v>3.6427175541871356E+33</v>
      </c>
      <c r="SSY27" s="613">
        <f t="shared" ref="SSY27" si="6691">SSW27*$C$27</f>
        <v>3.6791447297290067E+33</v>
      </c>
      <c r="STA27" s="613">
        <f t="shared" ref="STA27" si="6692">SSY27*$C$27</f>
        <v>3.715936177026297E+33</v>
      </c>
      <c r="STC27" s="613">
        <f t="shared" ref="STC27" si="6693">STA27*$C$27</f>
        <v>3.7530955387965599E+33</v>
      </c>
      <c r="STE27" s="613">
        <f t="shared" ref="STE27" si="6694">STC27*$C$27</f>
        <v>3.7906264941845254E+33</v>
      </c>
      <c r="STG27" s="613">
        <f t="shared" ref="STG27" si="6695">STE27*$C$27</f>
        <v>3.8285327591263709E+33</v>
      </c>
      <c r="STI27" s="613">
        <f t="shared" ref="STI27" si="6696">STG27*$C$27</f>
        <v>3.8668180867176347E+33</v>
      </c>
      <c r="STK27" s="613">
        <f t="shared" ref="STK27" si="6697">STI27*$C$27</f>
        <v>3.9054862675848111E+33</v>
      </c>
      <c r="STM27" s="613">
        <f t="shared" ref="STM27" si="6698">STK27*$C$27</f>
        <v>3.9445411302606591E+33</v>
      </c>
      <c r="STO27" s="613">
        <f t="shared" ref="STO27" si="6699">STM27*$C$27</f>
        <v>3.983986541563266E+33</v>
      </c>
      <c r="STQ27" s="613">
        <f t="shared" ref="STQ27" si="6700">STO27*$C$27</f>
        <v>4.0238264069788989E+33</v>
      </c>
      <c r="STS27" s="613">
        <f t="shared" ref="STS27" si="6701">STQ27*$C$27</f>
        <v>4.0640646710486879E+33</v>
      </c>
      <c r="STU27" s="613">
        <f t="shared" ref="STU27" si="6702">STS27*$C$27</f>
        <v>4.1047053177591747E+33</v>
      </c>
      <c r="STW27" s="613">
        <f t="shared" ref="STW27" si="6703">STU27*$C$27</f>
        <v>4.1457523709367665E+33</v>
      </c>
      <c r="STY27" s="613">
        <f t="shared" ref="STY27" si="6704">STW27*$C$27</f>
        <v>4.1872098946461341E+33</v>
      </c>
      <c r="SUA27" s="613">
        <f t="shared" ref="SUA27" si="6705">STY27*$C$27</f>
        <v>4.2290819935925953E+33</v>
      </c>
      <c r="SUC27" s="613">
        <f t="shared" ref="SUC27" si="6706">SUA27*$C$27</f>
        <v>4.2713728135285214E+33</v>
      </c>
      <c r="SUE27" s="613">
        <f t="shared" ref="SUE27" si="6707">SUC27*$C$27</f>
        <v>4.3140865416638065E+33</v>
      </c>
      <c r="SUG27" s="613">
        <f t="shared" ref="SUG27" si="6708">SUE27*$C$27</f>
        <v>4.3572274070804445E+33</v>
      </c>
      <c r="SUI27" s="613">
        <f t="shared" ref="SUI27" si="6709">SUG27*$C$27</f>
        <v>4.400799681151249E+33</v>
      </c>
      <c r="SUK27" s="613">
        <f t="shared" ref="SUK27" si="6710">SUI27*$C$27</f>
        <v>4.4448076779627614E+33</v>
      </c>
      <c r="SUM27" s="613">
        <f t="shared" ref="SUM27" si="6711">SUK27*$C$27</f>
        <v>4.4892557547423892E+33</v>
      </c>
      <c r="SUO27" s="613">
        <f t="shared" ref="SUO27" si="6712">SUM27*$C$27</f>
        <v>4.5341483122898131E+33</v>
      </c>
      <c r="SUQ27" s="613">
        <f t="shared" ref="SUQ27" si="6713">SUO27*$C$27</f>
        <v>4.5794897954127115E+33</v>
      </c>
      <c r="SUS27" s="613">
        <f t="shared" ref="SUS27" si="6714">SUQ27*$C$27</f>
        <v>4.6252846933668388E+33</v>
      </c>
      <c r="SUU27" s="613">
        <f t="shared" ref="SUU27" si="6715">SUS27*$C$27</f>
        <v>4.6715375403005075E+33</v>
      </c>
      <c r="SUW27" s="613">
        <f t="shared" ref="SUW27" si="6716">SUU27*$C$27</f>
        <v>4.7182529157035124E+33</v>
      </c>
      <c r="SUY27" s="613">
        <f t="shared" ref="SUY27" si="6717">SUW27*$C$27</f>
        <v>4.7654354448605475E+33</v>
      </c>
      <c r="SVA27" s="613">
        <f t="shared" ref="SVA27" si="6718">SUY27*$C$27</f>
        <v>4.8130897993091531E+33</v>
      </c>
      <c r="SVC27" s="613">
        <f t="shared" ref="SVC27" si="6719">SVA27*$C$27</f>
        <v>4.8612206973022447E+33</v>
      </c>
      <c r="SVE27" s="613">
        <f t="shared" ref="SVE27" si="6720">SVC27*$C$27</f>
        <v>4.9098329042752675E+33</v>
      </c>
      <c r="SVG27" s="613">
        <f t="shared" ref="SVG27" si="6721">SVE27*$C$27</f>
        <v>4.9589312333180202E+33</v>
      </c>
      <c r="SVI27" s="613">
        <f t="shared" ref="SVI27" si="6722">SVG27*$C$27</f>
        <v>5.0085205456512005E+33</v>
      </c>
      <c r="SVK27" s="613">
        <f t="shared" ref="SVK27" si="6723">SVI27*$C$27</f>
        <v>5.0586057511077124E+33</v>
      </c>
      <c r="SVM27" s="613">
        <f t="shared" ref="SVM27" si="6724">SVK27*$C$27</f>
        <v>5.1091918086187893E+33</v>
      </c>
      <c r="SVO27" s="613">
        <f t="shared" ref="SVO27" si="6725">SVM27*$C$27</f>
        <v>5.1602837267049771E+33</v>
      </c>
      <c r="SVQ27" s="613">
        <f t="shared" ref="SVQ27" si="6726">SVO27*$C$27</f>
        <v>5.2118865639720269E+33</v>
      </c>
      <c r="SVS27" s="613">
        <f t="shared" ref="SVS27" si="6727">SVQ27*$C$27</f>
        <v>5.2640054296117473E+33</v>
      </c>
      <c r="SVU27" s="613">
        <f t="shared" ref="SVU27" si="6728">SVS27*$C$27</f>
        <v>5.3166454839078643E+33</v>
      </c>
      <c r="SVW27" s="613">
        <f t="shared" ref="SVW27" si="6729">SVU27*$C$27</f>
        <v>5.3698119387469427E+33</v>
      </c>
      <c r="SVY27" s="613">
        <f t="shared" ref="SVY27" si="6730">SVW27*$C$27</f>
        <v>5.4235100581344118E+33</v>
      </c>
      <c r="SWA27" s="613">
        <f t="shared" ref="SWA27" si="6731">SVY27*$C$27</f>
        <v>5.4777451587157565E+33</v>
      </c>
      <c r="SWC27" s="613">
        <f t="shared" ref="SWC27" si="6732">SWA27*$C$27</f>
        <v>5.5325226103029145E+33</v>
      </c>
      <c r="SWE27" s="613">
        <f t="shared" ref="SWE27" si="6733">SWC27*$C$27</f>
        <v>5.5878478364059439E+33</v>
      </c>
      <c r="SWG27" s="613">
        <f t="shared" ref="SWG27" si="6734">SWE27*$C$27</f>
        <v>5.6437263147700034E+33</v>
      </c>
      <c r="SWI27" s="613">
        <f t="shared" ref="SWI27" si="6735">SWG27*$C$27</f>
        <v>5.7001635779177034E+33</v>
      </c>
      <c r="SWK27" s="613">
        <f t="shared" ref="SWK27" si="6736">SWI27*$C$27</f>
        <v>5.7571652136968805E+33</v>
      </c>
      <c r="SWM27" s="613">
        <f t="shared" ref="SWM27" si="6737">SWK27*$C$27</f>
        <v>5.8147368658338493E+33</v>
      </c>
      <c r="SWO27" s="613">
        <f t="shared" ref="SWO27" si="6738">SWM27*$C$27</f>
        <v>5.8728842344921879E+33</v>
      </c>
      <c r="SWQ27" s="613">
        <f t="shared" ref="SWQ27" si="6739">SWO27*$C$27</f>
        <v>5.9316130768371093E+33</v>
      </c>
      <c r="SWS27" s="613">
        <f t="shared" ref="SWS27" si="6740">SWQ27*$C$27</f>
        <v>5.9909292076054807E+33</v>
      </c>
      <c r="SWU27" s="613">
        <f t="shared" ref="SWU27" si="6741">SWS27*$C$27</f>
        <v>6.0508384996815357E+33</v>
      </c>
      <c r="SWW27" s="613">
        <f t="shared" ref="SWW27" si="6742">SWU27*$C$27</f>
        <v>6.1113468846783508E+33</v>
      </c>
      <c r="SWY27" s="613">
        <f t="shared" ref="SWY27" si="6743">SWW27*$C$27</f>
        <v>6.172460353525134E+33</v>
      </c>
      <c r="SXA27" s="613">
        <f t="shared" ref="SXA27" si="6744">SWY27*$C$27</f>
        <v>6.2341849570603856E+33</v>
      </c>
      <c r="SXC27" s="613">
        <f t="shared" ref="SXC27" si="6745">SXA27*$C$27</f>
        <v>6.29652680663099E+33</v>
      </c>
      <c r="SXE27" s="613">
        <f t="shared" ref="SXE27" si="6746">SXC27*$C$27</f>
        <v>6.3594920746972995E+33</v>
      </c>
      <c r="SXG27" s="613">
        <f t="shared" ref="SXG27" si="6747">SXE27*$C$27</f>
        <v>6.4230869954442722E+33</v>
      </c>
      <c r="SXI27" s="613">
        <f t="shared" ref="SXI27" si="6748">SXG27*$C$27</f>
        <v>6.4873178653987154E+33</v>
      </c>
      <c r="SXK27" s="613">
        <f t="shared" ref="SXK27" si="6749">SXI27*$C$27</f>
        <v>6.5521910440527032E+33</v>
      </c>
      <c r="SXM27" s="613">
        <f t="shared" ref="SXM27" si="6750">SXK27*$C$27</f>
        <v>6.6177129544932301E+33</v>
      </c>
      <c r="SXO27" s="613">
        <f t="shared" ref="SXO27" si="6751">SXM27*$C$27</f>
        <v>6.6838900840381622E+33</v>
      </c>
      <c r="SXQ27" s="613">
        <f t="shared" ref="SXQ27" si="6752">SXO27*$C$27</f>
        <v>6.7507289848785438E+33</v>
      </c>
      <c r="SXS27" s="613">
        <f t="shared" ref="SXS27" si="6753">SXQ27*$C$27</f>
        <v>6.8182362747273299E+33</v>
      </c>
      <c r="SXU27" s="613">
        <f t="shared" ref="SXU27" si="6754">SXS27*$C$27</f>
        <v>6.8864186374746035E+33</v>
      </c>
      <c r="SXW27" s="613">
        <f t="shared" ref="SXW27" si="6755">SXU27*$C$27</f>
        <v>6.9552828238493495E+33</v>
      </c>
      <c r="SXY27" s="613">
        <f t="shared" ref="SXY27" si="6756">SXW27*$C$27</f>
        <v>7.0248356520878434E+33</v>
      </c>
      <c r="SYA27" s="613">
        <f t="shared" ref="SYA27" si="6757">SXY27*$C$27</f>
        <v>7.0950840086087217E+33</v>
      </c>
      <c r="SYC27" s="613">
        <f t="shared" ref="SYC27" si="6758">SYA27*$C$27</f>
        <v>7.166034848694809E+33</v>
      </c>
      <c r="SYE27" s="613">
        <f t="shared" ref="SYE27" si="6759">SYC27*$C$27</f>
        <v>7.2376951971817572E+33</v>
      </c>
      <c r="SYG27" s="613">
        <f t="shared" ref="SYG27" si="6760">SYE27*$C$27</f>
        <v>7.3100721491535748E+33</v>
      </c>
      <c r="SYI27" s="613">
        <f t="shared" ref="SYI27" si="6761">SYG27*$C$27</f>
        <v>7.383172870645111E+33</v>
      </c>
      <c r="SYK27" s="613">
        <f t="shared" ref="SYK27" si="6762">SYI27*$C$27</f>
        <v>7.4570045993515624E+33</v>
      </c>
      <c r="SYM27" s="613">
        <f t="shared" ref="SYM27" si="6763">SYK27*$C$27</f>
        <v>7.5315746453450781E+33</v>
      </c>
      <c r="SYO27" s="613">
        <f t="shared" ref="SYO27" si="6764">SYM27*$C$27</f>
        <v>7.6068903917985289E+33</v>
      </c>
      <c r="SYQ27" s="613">
        <f t="shared" ref="SYQ27" si="6765">SYO27*$C$27</f>
        <v>7.6829592957165146E+33</v>
      </c>
      <c r="SYS27" s="613">
        <f t="shared" ref="SYS27" si="6766">SYQ27*$C$27</f>
        <v>7.7597888886736793E+33</v>
      </c>
      <c r="SYU27" s="613">
        <f t="shared" ref="SYU27" si="6767">SYS27*$C$27</f>
        <v>7.8373867775604161E+33</v>
      </c>
      <c r="SYW27" s="613">
        <f t="shared" ref="SYW27" si="6768">SYU27*$C$27</f>
        <v>7.9157606453360198E+33</v>
      </c>
      <c r="SYY27" s="613">
        <f t="shared" ref="SYY27" si="6769">SYW27*$C$27</f>
        <v>7.9949182517893805E+33</v>
      </c>
      <c r="SZA27" s="613">
        <f t="shared" ref="SZA27" si="6770">SYY27*$C$27</f>
        <v>8.0748674343072749E+33</v>
      </c>
      <c r="SZC27" s="613">
        <f t="shared" ref="SZC27" si="6771">SZA27*$C$27</f>
        <v>8.1556161086503475E+33</v>
      </c>
      <c r="SZE27" s="613">
        <f t="shared" ref="SZE27" si="6772">SZC27*$C$27</f>
        <v>8.2371722697368511E+33</v>
      </c>
      <c r="SZG27" s="613">
        <f t="shared" ref="SZG27" si="6773">SZE27*$C$27</f>
        <v>8.3195439924342192E+33</v>
      </c>
      <c r="SZI27" s="613">
        <f t="shared" ref="SZI27" si="6774">SZG27*$C$27</f>
        <v>8.4027394323585611E+33</v>
      </c>
      <c r="SZK27" s="613">
        <f t="shared" ref="SZK27" si="6775">SZI27*$C$27</f>
        <v>8.4867668266821465E+33</v>
      </c>
      <c r="SZM27" s="613">
        <f t="shared" ref="SZM27" si="6776">SZK27*$C$27</f>
        <v>8.5716344949489685E+33</v>
      </c>
      <c r="SZO27" s="613">
        <f t="shared" ref="SZO27" si="6777">SZM27*$C$27</f>
        <v>8.6573508398984583E+33</v>
      </c>
      <c r="SZQ27" s="613">
        <f t="shared" ref="SZQ27" si="6778">SZO27*$C$27</f>
        <v>8.743924348297443E+33</v>
      </c>
      <c r="SZS27" s="613">
        <f t="shared" ref="SZS27" si="6779">SZQ27*$C$27</f>
        <v>8.8313635917804176E+33</v>
      </c>
      <c r="SZU27" s="613">
        <f t="shared" ref="SZU27" si="6780">SZS27*$C$27</f>
        <v>8.919677227698222E+33</v>
      </c>
      <c r="SZW27" s="613">
        <f t="shared" ref="SZW27" si="6781">SZU27*$C$27</f>
        <v>9.0088739999752041E+33</v>
      </c>
      <c r="SZY27" s="613">
        <f t="shared" ref="SZY27" si="6782">SZW27*$C$27</f>
        <v>9.0989627399749557E+33</v>
      </c>
      <c r="TAA27" s="613">
        <f t="shared" ref="TAA27" si="6783">SZY27*$C$27</f>
        <v>9.1899523673747053E+33</v>
      </c>
      <c r="TAC27" s="613">
        <f t="shared" ref="TAC27" si="6784">TAA27*$C$27</f>
        <v>9.2818518910484527E+33</v>
      </c>
      <c r="TAE27" s="613">
        <f t="shared" ref="TAE27" si="6785">TAC27*$C$27</f>
        <v>9.3746704099589368E+33</v>
      </c>
      <c r="TAG27" s="613">
        <f t="shared" ref="TAG27" si="6786">TAE27*$C$27</f>
        <v>9.4684171140585268E+33</v>
      </c>
      <c r="TAI27" s="613">
        <f t="shared" ref="TAI27" si="6787">TAG27*$C$27</f>
        <v>9.5631012851991127E+33</v>
      </c>
      <c r="TAK27" s="613">
        <f t="shared" ref="TAK27" si="6788">TAI27*$C$27</f>
        <v>9.6587322980511034E+33</v>
      </c>
      <c r="TAM27" s="613">
        <f t="shared" ref="TAM27" si="6789">TAK27*$C$27</f>
        <v>9.755319621031614E+33</v>
      </c>
      <c r="TAO27" s="613">
        <f t="shared" ref="TAO27" si="6790">TAM27*$C$27</f>
        <v>9.8528728172419307E+33</v>
      </c>
      <c r="TAQ27" s="613">
        <f t="shared" ref="TAQ27" si="6791">TAO27*$C$27</f>
        <v>9.9514015454143505E+33</v>
      </c>
      <c r="TAS27" s="613">
        <f t="shared" ref="TAS27" si="6792">TAQ27*$C$27</f>
        <v>1.0050915560868494E+34</v>
      </c>
      <c r="TAU27" s="613">
        <f t="shared" ref="TAU27" si="6793">TAS27*$C$27</f>
        <v>1.0151424716477179E+34</v>
      </c>
      <c r="TAW27" s="613">
        <f t="shared" ref="TAW27" si="6794">TAU27*$C$27</f>
        <v>1.0252938963641951E+34</v>
      </c>
      <c r="TAY27" s="613">
        <f t="shared" ref="TAY27" si="6795">TAW27*$C$27</f>
        <v>1.0355468353278371E+34</v>
      </c>
      <c r="TBA27" s="613">
        <f t="shared" ref="TBA27" si="6796">TAY27*$C$27</f>
        <v>1.0459023036811155E+34</v>
      </c>
      <c r="TBC27" s="613">
        <f t="shared" ref="TBC27" si="6797">TBA27*$C$27</f>
        <v>1.0563613267179266E+34</v>
      </c>
      <c r="TBE27" s="613">
        <f t="shared" ref="TBE27" si="6798">TBC27*$C$27</f>
        <v>1.0669249399851059E+34</v>
      </c>
      <c r="TBG27" s="613">
        <f t="shared" ref="TBG27" si="6799">TBE27*$C$27</f>
        <v>1.077594189384957E+34</v>
      </c>
      <c r="TBI27" s="613">
        <f t="shared" ref="TBI27" si="6800">TBG27*$C$27</f>
        <v>1.0883701312788066E+34</v>
      </c>
      <c r="TBK27" s="613">
        <f t="shared" ref="TBK27" si="6801">TBI27*$C$27</f>
        <v>1.0992538325915947E+34</v>
      </c>
      <c r="TBM27" s="613">
        <f t="shared" ref="TBM27" si="6802">TBK27*$C$27</f>
        <v>1.1102463709175107E+34</v>
      </c>
      <c r="TBO27" s="613">
        <f t="shared" ref="TBO27" si="6803">TBM27*$C$27</f>
        <v>1.1213488346266859E+34</v>
      </c>
      <c r="TBQ27" s="613">
        <f t="shared" ref="TBQ27" si="6804">TBO27*$C$27</f>
        <v>1.1325623229729528E+34</v>
      </c>
      <c r="TBS27" s="613">
        <f t="shared" ref="TBS27" si="6805">TBQ27*$C$27</f>
        <v>1.1438879462026823E+34</v>
      </c>
      <c r="TBU27" s="613">
        <f t="shared" ref="TBU27" si="6806">TBS27*$C$27</f>
        <v>1.1553268256647091E+34</v>
      </c>
      <c r="TBW27" s="613">
        <f t="shared" ref="TBW27" si="6807">TBU27*$C$27</f>
        <v>1.1668800939213561E+34</v>
      </c>
      <c r="TBY27" s="613">
        <f t="shared" ref="TBY27" si="6808">TBW27*$C$27</f>
        <v>1.1785488948605697E+34</v>
      </c>
      <c r="TCA27" s="613">
        <f t="shared" ref="TCA27" si="6809">TBY27*$C$27</f>
        <v>1.1903343838091754E+34</v>
      </c>
      <c r="TCC27" s="613">
        <f t="shared" ref="TCC27" si="6810">TCA27*$C$27</f>
        <v>1.2022377276472672E+34</v>
      </c>
      <c r="TCE27" s="613">
        <f t="shared" ref="TCE27" si="6811">TCC27*$C$27</f>
        <v>1.2142601049237398E+34</v>
      </c>
      <c r="TCG27" s="613">
        <f t="shared" ref="TCG27" si="6812">TCE27*$C$27</f>
        <v>1.2264027059729772E+34</v>
      </c>
      <c r="TCI27" s="613">
        <f t="shared" ref="TCI27" si="6813">TCG27*$C$27</f>
        <v>1.238666733032707E+34</v>
      </c>
      <c r="TCK27" s="613">
        <f t="shared" ref="TCK27" si="6814">TCI27*$C$27</f>
        <v>1.251053400363034E+34</v>
      </c>
      <c r="TCM27" s="613">
        <f t="shared" ref="TCM27" si="6815">TCK27*$C$27</f>
        <v>1.2635639343666643E+34</v>
      </c>
      <c r="TCO27" s="613">
        <f t="shared" ref="TCO27" si="6816">TCM27*$C$27</f>
        <v>1.276199573710331E+34</v>
      </c>
      <c r="TCQ27" s="613">
        <f t="shared" ref="TCQ27" si="6817">TCO27*$C$27</f>
        <v>1.2889615694474344E+34</v>
      </c>
      <c r="TCS27" s="613">
        <f t="shared" ref="TCS27" si="6818">TCQ27*$C$27</f>
        <v>1.3018511851419086E+34</v>
      </c>
      <c r="TCU27" s="613">
        <f t="shared" ref="TCU27" si="6819">TCS27*$C$27</f>
        <v>1.3148696969933276E+34</v>
      </c>
      <c r="TCW27" s="613">
        <f t="shared" ref="TCW27" si="6820">TCU27*$C$27</f>
        <v>1.3280183939632609E+34</v>
      </c>
      <c r="TCY27" s="613">
        <f t="shared" ref="TCY27" si="6821">TCW27*$C$27</f>
        <v>1.3412985779028935E+34</v>
      </c>
      <c r="TDA27" s="613">
        <f t="shared" ref="TDA27" si="6822">TCY27*$C$27</f>
        <v>1.3547115636819224E+34</v>
      </c>
      <c r="TDC27" s="613">
        <f t="shared" ref="TDC27" si="6823">TDA27*$C$27</f>
        <v>1.3682586793187416E+34</v>
      </c>
      <c r="TDE27" s="613">
        <f t="shared" ref="TDE27" si="6824">TDC27*$C$27</f>
        <v>1.381941266111929E+34</v>
      </c>
      <c r="TDG27" s="613">
        <f t="shared" ref="TDG27" si="6825">TDE27*$C$27</f>
        <v>1.3957606787730483E+34</v>
      </c>
      <c r="TDI27" s="613">
        <f t="shared" ref="TDI27" si="6826">TDG27*$C$27</f>
        <v>1.4097182855607787E+34</v>
      </c>
      <c r="TDK27" s="613">
        <f t="shared" ref="TDK27" si="6827">TDI27*$C$27</f>
        <v>1.4238154684163866E+34</v>
      </c>
      <c r="TDM27" s="613">
        <f t="shared" ref="TDM27" si="6828">TDK27*$C$27</f>
        <v>1.4380536231005506E+34</v>
      </c>
      <c r="TDO27" s="613">
        <f t="shared" ref="TDO27" si="6829">TDM27*$C$27</f>
        <v>1.4524341593315562E+34</v>
      </c>
      <c r="TDQ27" s="613">
        <f t="shared" ref="TDQ27" si="6830">TDO27*$C$27</f>
        <v>1.4669585009248717E+34</v>
      </c>
      <c r="TDS27" s="613">
        <f t="shared" ref="TDS27" si="6831">TDQ27*$C$27</f>
        <v>1.4816280859341204E+34</v>
      </c>
      <c r="TDU27" s="613">
        <f t="shared" ref="TDU27" si="6832">TDS27*$C$27</f>
        <v>1.4964443667934617E+34</v>
      </c>
      <c r="TDW27" s="613">
        <f t="shared" ref="TDW27" si="6833">TDU27*$C$27</f>
        <v>1.5114088104613964E+34</v>
      </c>
      <c r="TDY27" s="613">
        <f t="shared" ref="TDY27" si="6834">TDW27*$C$27</f>
        <v>1.5265228985660104E+34</v>
      </c>
      <c r="TEA27" s="613">
        <f t="shared" ref="TEA27" si="6835">TDY27*$C$27</f>
        <v>1.5417881275516706E+34</v>
      </c>
      <c r="TEC27" s="613">
        <f t="shared" ref="TEC27" si="6836">TEA27*$C$27</f>
        <v>1.5572060088271872E+34</v>
      </c>
      <c r="TEE27" s="613">
        <f t="shared" ref="TEE27" si="6837">TEC27*$C$27</f>
        <v>1.5727780689154592E+34</v>
      </c>
      <c r="TEG27" s="613">
        <f t="shared" ref="TEG27" si="6838">TEE27*$C$27</f>
        <v>1.5885058496046138E+34</v>
      </c>
      <c r="TEI27" s="613">
        <f t="shared" ref="TEI27" si="6839">TEG27*$C$27</f>
        <v>1.6043909081006599E+34</v>
      </c>
      <c r="TEK27" s="613">
        <f t="shared" ref="TEK27" si="6840">TEI27*$C$27</f>
        <v>1.6204348171816665E+34</v>
      </c>
      <c r="TEM27" s="613">
        <f t="shared" ref="TEM27" si="6841">TEK27*$C$27</f>
        <v>1.6366391653534832E+34</v>
      </c>
      <c r="TEO27" s="613">
        <f t="shared" ref="TEO27" si="6842">TEM27*$C$27</f>
        <v>1.653005557007018E+34</v>
      </c>
      <c r="TEQ27" s="613">
        <f t="shared" ref="TEQ27" si="6843">TEO27*$C$27</f>
        <v>1.6695356125770882E+34</v>
      </c>
      <c r="TES27" s="613">
        <f t="shared" ref="TES27" si="6844">TEQ27*$C$27</f>
        <v>1.6862309687028591E+34</v>
      </c>
      <c r="TEU27" s="613">
        <f t="shared" ref="TEU27" si="6845">TES27*$C$27</f>
        <v>1.7030932783898877E+34</v>
      </c>
      <c r="TEW27" s="613">
        <f t="shared" ref="TEW27" si="6846">TEU27*$C$27</f>
        <v>1.7201242111737866E+34</v>
      </c>
      <c r="TEY27" s="613">
        <f t="shared" ref="TEY27" si="6847">TEW27*$C$27</f>
        <v>1.7373254532855244E+34</v>
      </c>
      <c r="TFA27" s="613">
        <f t="shared" ref="TFA27" si="6848">TEY27*$C$27</f>
        <v>1.7546987078183796E+34</v>
      </c>
      <c r="TFC27" s="613">
        <f t="shared" ref="TFC27" si="6849">TFA27*$C$27</f>
        <v>1.7722456948965634E+34</v>
      </c>
      <c r="TFE27" s="613">
        <f t="shared" ref="TFE27" si="6850">TFC27*$C$27</f>
        <v>1.7899681518455292E+34</v>
      </c>
      <c r="TFG27" s="613">
        <f t="shared" ref="TFG27" si="6851">TFE27*$C$27</f>
        <v>1.8078678333639846E+34</v>
      </c>
      <c r="TFI27" s="613">
        <f t="shared" ref="TFI27" si="6852">TFG27*$C$27</f>
        <v>1.8259465116976245E+34</v>
      </c>
      <c r="TFK27" s="613">
        <f t="shared" ref="TFK27" si="6853">TFI27*$C$27</f>
        <v>1.8442059768146008E+34</v>
      </c>
      <c r="TFM27" s="613">
        <f t="shared" ref="TFM27" si="6854">TFK27*$C$27</f>
        <v>1.8626480365827469E+34</v>
      </c>
      <c r="TFO27" s="613">
        <f t="shared" ref="TFO27" si="6855">TFM27*$C$27</f>
        <v>1.8812745169485744E+34</v>
      </c>
      <c r="TFQ27" s="613">
        <f t="shared" ref="TFQ27" si="6856">TFO27*$C$27</f>
        <v>1.9000872621180602E+34</v>
      </c>
      <c r="TFS27" s="613">
        <f t="shared" ref="TFS27" si="6857">TFQ27*$C$27</f>
        <v>1.9190881347392407E+34</v>
      </c>
      <c r="TFU27" s="613">
        <f t="shared" ref="TFU27" si="6858">TFS27*$C$27</f>
        <v>1.9382790160866332E+34</v>
      </c>
      <c r="TFW27" s="613">
        <f t="shared" ref="TFW27" si="6859">TFU27*$C$27</f>
        <v>1.9576618062474996E+34</v>
      </c>
      <c r="TFY27" s="613">
        <f t="shared" ref="TFY27" si="6860">TFW27*$C$27</f>
        <v>1.9772384243099748E+34</v>
      </c>
      <c r="TGA27" s="613">
        <f t="shared" ref="TGA27" si="6861">TFY27*$C$27</f>
        <v>1.9970108085530746E+34</v>
      </c>
      <c r="TGC27" s="613">
        <f t="shared" ref="TGC27" si="6862">TGA27*$C$27</f>
        <v>2.0169809166386053E+34</v>
      </c>
      <c r="TGE27" s="613">
        <f t="shared" ref="TGE27" si="6863">TGC27*$C$27</f>
        <v>2.0371507258049913E+34</v>
      </c>
      <c r="TGG27" s="613">
        <f t="shared" ref="TGG27" si="6864">TGE27*$C$27</f>
        <v>2.0575222330630413E+34</v>
      </c>
      <c r="TGI27" s="613">
        <f t="shared" ref="TGI27" si="6865">TGG27*$C$27</f>
        <v>2.0780974553936717E+34</v>
      </c>
      <c r="TGK27" s="613">
        <f t="shared" ref="TGK27" si="6866">TGI27*$C$27</f>
        <v>2.0988784299476083E+34</v>
      </c>
      <c r="TGM27" s="613">
        <f t="shared" ref="TGM27" si="6867">TGK27*$C$27</f>
        <v>2.1198672142470842E+34</v>
      </c>
      <c r="TGO27" s="613">
        <f t="shared" ref="TGO27" si="6868">TGM27*$C$27</f>
        <v>2.1410658863895552E+34</v>
      </c>
      <c r="TGQ27" s="613">
        <f t="shared" ref="TGQ27" si="6869">TGO27*$C$27</f>
        <v>2.1624765452534507E+34</v>
      </c>
      <c r="TGS27" s="613">
        <f t="shared" ref="TGS27" si="6870">TGQ27*$C$27</f>
        <v>2.1841013107059853E+34</v>
      </c>
      <c r="TGU27" s="613">
        <f t="shared" ref="TGU27" si="6871">TGS27*$C$27</f>
        <v>2.205942323813045E+34</v>
      </c>
      <c r="TGW27" s="613">
        <f t="shared" ref="TGW27" si="6872">TGU27*$C$27</f>
        <v>2.2280017470511757E+34</v>
      </c>
      <c r="TGY27" s="613">
        <f t="shared" ref="TGY27" si="6873">TGW27*$C$27</f>
        <v>2.2502817645216876E+34</v>
      </c>
      <c r="THA27" s="613">
        <f t="shared" ref="THA27" si="6874">TGY27*$C$27</f>
        <v>2.2727845821669047E+34</v>
      </c>
      <c r="THC27" s="613">
        <f t="shared" ref="THC27" si="6875">THA27*$C$27</f>
        <v>2.2955124279885736E+34</v>
      </c>
      <c r="THE27" s="613">
        <f t="shared" ref="THE27" si="6876">THC27*$C$27</f>
        <v>2.3184675522684594E+34</v>
      </c>
      <c r="THG27" s="613">
        <f t="shared" ref="THG27" si="6877">THE27*$C$27</f>
        <v>2.3416522277911439E+34</v>
      </c>
      <c r="THI27" s="613">
        <f t="shared" ref="THI27" si="6878">THG27*$C$27</f>
        <v>2.3650687500690555E+34</v>
      </c>
      <c r="THK27" s="613">
        <f t="shared" ref="THK27" si="6879">THI27*$C$27</f>
        <v>2.3887194375697461E+34</v>
      </c>
      <c r="THM27" s="613">
        <f t="shared" ref="THM27" si="6880">THK27*$C$27</f>
        <v>2.4126066319454434E+34</v>
      </c>
      <c r="THO27" s="613">
        <f t="shared" ref="THO27" si="6881">THM27*$C$27</f>
        <v>2.4367326982648979E+34</v>
      </c>
      <c r="THQ27" s="613">
        <f t="shared" ref="THQ27" si="6882">THO27*$C$27</f>
        <v>2.4611000252475468E+34</v>
      </c>
      <c r="THS27" s="613">
        <f t="shared" ref="THS27" si="6883">THQ27*$C$27</f>
        <v>2.485711025500022E+34</v>
      </c>
      <c r="THU27" s="613">
        <f t="shared" ref="THU27" si="6884">THS27*$C$27</f>
        <v>2.5105681357550223E+34</v>
      </c>
      <c r="THW27" s="613">
        <f t="shared" ref="THW27" si="6885">THU27*$C$27</f>
        <v>2.5356738171125727E+34</v>
      </c>
      <c r="THY27" s="613">
        <f t="shared" ref="THY27" si="6886">THW27*$C$27</f>
        <v>2.5610305552836983E+34</v>
      </c>
      <c r="TIA27" s="613">
        <f t="shared" ref="TIA27" si="6887">THY27*$C$27</f>
        <v>2.5866408608365354E+34</v>
      </c>
      <c r="TIC27" s="613">
        <f t="shared" ref="TIC27" si="6888">TIA27*$C$27</f>
        <v>2.6125072694449008E+34</v>
      </c>
      <c r="TIE27" s="613">
        <f t="shared" ref="TIE27" si="6889">TIC27*$C$27</f>
        <v>2.6386323421393499E+34</v>
      </c>
      <c r="TIG27" s="613">
        <f t="shared" ref="TIG27" si="6890">TIE27*$C$27</f>
        <v>2.6650186655607434E+34</v>
      </c>
      <c r="TII27" s="613">
        <f t="shared" ref="TII27" si="6891">TIG27*$C$27</f>
        <v>2.6916688522163511E+34</v>
      </c>
      <c r="TIK27" s="613">
        <f t="shared" ref="TIK27" si="6892">TII27*$C$27</f>
        <v>2.7185855407385147E+34</v>
      </c>
      <c r="TIM27" s="613">
        <f t="shared" ref="TIM27" si="6893">TIK27*$C$27</f>
        <v>2.7457713961459001E+34</v>
      </c>
      <c r="TIO27" s="613">
        <f t="shared" ref="TIO27" si="6894">TIM27*$C$27</f>
        <v>2.7732291101073592E+34</v>
      </c>
      <c r="TIQ27" s="613">
        <f t="shared" ref="TIQ27" si="6895">TIO27*$C$27</f>
        <v>2.8009614012084328E+34</v>
      </c>
      <c r="TIS27" s="613">
        <f t="shared" ref="TIS27" si="6896">TIQ27*$C$27</f>
        <v>2.8289710152205174E+34</v>
      </c>
      <c r="TIU27" s="613">
        <f t="shared" ref="TIU27" si="6897">TIS27*$C$27</f>
        <v>2.8572607253727225E+34</v>
      </c>
      <c r="TIW27" s="613">
        <f t="shared" ref="TIW27" si="6898">TIU27*$C$27</f>
        <v>2.8858333326264496E+34</v>
      </c>
      <c r="TIY27" s="613">
        <f t="shared" ref="TIY27" si="6899">TIW27*$C$27</f>
        <v>2.9146916659527143E+34</v>
      </c>
      <c r="TJA27" s="613">
        <f t="shared" ref="TJA27" si="6900">TIY27*$C$27</f>
        <v>2.9438385826122416E+34</v>
      </c>
      <c r="TJC27" s="613">
        <f t="shared" ref="TJC27" si="6901">TJA27*$C$27</f>
        <v>2.9732769684383641E+34</v>
      </c>
      <c r="TJE27" s="613">
        <f t="shared" ref="TJE27" si="6902">TJC27*$C$27</f>
        <v>3.0030097381227479E+34</v>
      </c>
      <c r="TJG27" s="613">
        <f t="shared" ref="TJG27" si="6903">TJE27*$C$27</f>
        <v>3.0330398355039753E+34</v>
      </c>
      <c r="TJI27" s="613">
        <f t="shared" ref="TJI27" si="6904">TJG27*$C$27</f>
        <v>3.0633702338590152E+34</v>
      </c>
      <c r="TJK27" s="613">
        <f t="shared" ref="TJK27" si="6905">TJI27*$C$27</f>
        <v>3.0940039361976051E+34</v>
      </c>
      <c r="TJM27" s="613">
        <f t="shared" ref="TJM27" si="6906">TJK27*$C$27</f>
        <v>3.1249439755595812E+34</v>
      </c>
      <c r="TJO27" s="613">
        <f t="shared" ref="TJO27" si="6907">TJM27*$C$27</f>
        <v>3.1561934153151771E+34</v>
      </c>
      <c r="TJQ27" s="613">
        <f t="shared" ref="TJQ27" si="6908">TJO27*$C$27</f>
        <v>3.1877553494683288E+34</v>
      </c>
      <c r="TJS27" s="613">
        <f t="shared" ref="TJS27" si="6909">TJQ27*$C$27</f>
        <v>3.2196329029630121E+34</v>
      </c>
      <c r="TJU27" s="613">
        <f t="shared" ref="TJU27" si="6910">TJS27*$C$27</f>
        <v>3.2518292319926421E+34</v>
      </c>
      <c r="TJW27" s="613">
        <f t="shared" ref="TJW27" si="6911">TJU27*$C$27</f>
        <v>3.2843475243125686E+34</v>
      </c>
      <c r="TJY27" s="613">
        <f t="shared" ref="TJY27" si="6912">TJW27*$C$27</f>
        <v>3.3171909995556945E+34</v>
      </c>
      <c r="TKA27" s="613">
        <f t="shared" ref="TKA27" si="6913">TJY27*$C$27</f>
        <v>3.3503629095512515E+34</v>
      </c>
      <c r="TKC27" s="613">
        <f t="shared" ref="TKC27" si="6914">TKA27*$C$27</f>
        <v>3.3838665386467643E+34</v>
      </c>
      <c r="TKE27" s="613">
        <f t="shared" ref="TKE27" si="6915">TKC27*$C$27</f>
        <v>3.4177052040332322E+34</v>
      </c>
      <c r="TKG27" s="613">
        <f t="shared" ref="TKG27" si="6916">TKE27*$C$27</f>
        <v>3.4518822560735645E+34</v>
      </c>
      <c r="TKI27" s="613">
        <f t="shared" ref="TKI27" si="6917">TKG27*$C$27</f>
        <v>3.4864010786343004E+34</v>
      </c>
      <c r="TKK27" s="613">
        <f t="shared" ref="TKK27" si="6918">TKI27*$C$27</f>
        <v>3.5212650894206433E+34</v>
      </c>
      <c r="TKM27" s="613">
        <f t="shared" ref="TKM27" si="6919">TKK27*$C$27</f>
        <v>3.55647774031485E+34</v>
      </c>
      <c r="TKO27" s="613">
        <f t="shared" ref="TKO27" si="6920">TKM27*$C$27</f>
        <v>3.5920425177179985E+34</v>
      </c>
      <c r="TKQ27" s="613">
        <f t="shared" ref="TKQ27" si="6921">TKO27*$C$27</f>
        <v>3.6279629428951784E+34</v>
      </c>
      <c r="TKS27" s="613">
        <f t="shared" ref="TKS27" si="6922">TKQ27*$C$27</f>
        <v>3.6642425723241301E+34</v>
      </c>
      <c r="TKU27" s="613">
        <f t="shared" ref="TKU27" si="6923">TKS27*$C$27</f>
        <v>3.7008849980473715E+34</v>
      </c>
      <c r="TKW27" s="613">
        <f t="shared" ref="TKW27" si="6924">TKU27*$C$27</f>
        <v>3.7378938480278455E+34</v>
      </c>
      <c r="TKY27" s="613">
        <f t="shared" ref="TKY27" si="6925">TKW27*$C$27</f>
        <v>3.775272786508124E+34</v>
      </c>
      <c r="TLA27" s="613">
        <f t="shared" ref="TLA27" si="6926">TKY27*$C$27</f>
        <v>3.8130255143732051E+34</v>
      </c>
      <c r="TLC27" s="613">
        <f t="shared" ref="TLC27" si="6927">TLA27*$C$27</f>
        <v>3.8511557695169373E+34</v>
      </c>
      <c r="TLE27" s="613">
        <f t="shared" ref="TLE27" si="6928">TLC27*$C$27</f>
        <v>3.8896673272121067E+34</v>
      </c>
      <c r="TLG27" s="613">
        <f t="shared" ref="TLG27" si="6929">TLE27*$C$27</f>
        <v>3.9285640004842277E+34</v>
      </c>
      <c r="TLI27" s="613">
        <f t="shared" ref="TLI27" si="6930">TLG27*$C$27</f>
        <v>3.9678496404890701E+34</v>
      </c>
      <c r="TLK27" s="613">
        <f t="shared" ref="TLK27" si="6931">TLI27*$C$27</f>
        <v>4.007528136893961E+34</v>
      </c>
      <c r="TLM27" s="613">
        <f t="shared" ref="TLM27" si="6932">TLK27*$C$27</f>
        <v>4.0476034182629004E+34</v>
      </c>
      <c r="TLO27" s="613">
        <f t="shared" ref="TLO27" si="6933">TLM27*$C$27</f>
        <v>4.0880794524455295E+34</v>
      </c>
      <c r="TLQ27" s="613">
        <f t="shared" ref="TLQ27" si="6934">TLO27*$C$27</f>
        <v>4.1289602469699848E+34</v>
      </c>
      <c r="TLS27" s="613">
        <f t="shared" ref="TLS27" si="6935">TLQ27*$C$27</f>
        <v>4.1702498494396848E+34</v>
      </c>
      <c r="TLU27" s="613">
        <f t="shared" ref="TLU27" si="6936">TLS27*$C$27</f>
        <v>4.211952347934082E+34</v>
      </c>
      <c r="TLW27" s="613">
        <f t="shared" ref="TLW27" si="6937">TLU27*$C$27</f>
        <v>4.2540718714134233E+34</v>
      </c>
      <c r="TLY27" s="613">
        <f t="shared" ref="TLY27" si="6938">TLW27*$C$27</f>
        <v>4.2966125901275574E+34</v>
      </c>
      <c r="TMA27" s="613">
        <f t="shared" ref="TMA27" si="6939">TLY27*$C$27</f>
        <v>4.3395787160288333E+34</v>
      </c>
      <c r="TMC27" s="613">
        <f t="shared" ref="TMC27" si="6940">TMA27*$C$27</f>
        <v>4.3829745031891215E+34</v>
      </c>
      <c r="TME27" s="613">
        <f t="shared" ref="TME27" si="6941">TMC27*$C$27</f>
        <v>4.4268042482210125E+34</v>
      </c>
      <c r="TMG27" s="613">
        <f t="shared" ref="TMG27" si="6942">TME27*$C$27</f>
        <v>4.4710722907032228E+34</v>
      </c>
      <c r="TMI27" s="613">
        <f t="shared" ref="TMI27" si="6943">TMG27*$C$27</f>
        <v>4.5157830136102553E+34</v>
      </c>
      <c r="TMK27" s="613">
        <f t="shared" ref="TMK27" si="6944">TMI27*$C$27</f>
        <v>4.560940843746358E+34</v>
      </c>
      <c r="TMM27" s="613">
        <f t="shared" ref="TMM27" si="6945">TMK27*$C$27</f>
        <v>4.6065502521838219E+34</v>
      </c>
      <c r="TMO27" s="613">
        <f t="shared" ref="TMO27" si="6946">TMM27*$C$27</f>
        <v>4.6526157547056606E+34</v>
      </c>
      <c r="TMQ27" s="613">
        <f t="shared" ref="TMQ27" si="6947">TMO27*$C$27</f>
        <v>4.6991419122527175E+34</v>
      </c>
      <c r="TMS27" s="613">
        <f t="shared" ref="TMS27" si="6948">TMQ27*$C$27</f>
        <v>4.7461333313752449E+34</v>
      </c>
      <c r="TMU27" s="613">
        <f t="shared" ref="TMU27" si="6949">TMS27*$C$27</f>
        <v>4.7935946646889973E+34</v>
      </c>
      <c r="TMW27" s="613">
        <f t="shared" ref="TMW27" si="6950">TMU27*$C$27</f>
        <v>4.8415306113358869E+34</v>
      </c>
      <c r="TMY27" s="613">
        <f t="shared" ref="TMY27" si="6951">TMW27*$C$27</f>
        <v>4.8899459174492454E+34</v>
      </c>
      <c r="TNA27" s="613">
        <f t="shared" ref="TNA27" si="6952">TMY27*$C$27</f>
        <v>4.9388453766237379E+34</v>
      </c>
      <c r="TNC27" s="613">
        <f t="shared" ref="TNC27" si="6953">TNA27*$C$27</f>
        <v>4.9882338303899758E+34</v>
      </c>
      <c r="TNE27" s="613">
        <f t="shared" ref="TNE27" si="6954">TNC27*$C$27</f>
        <v>5.0381161686938755E+34</v>
      </c>
      <c r="TNG27" s="613">
        <f t="shared" ref="TNG27" si="6955">TNE27*$C$27</f>
        <v>5.0884973303808148E+34</v>
      </c>
      <c r="TNI27" s="613">
        <f t="shared" ref="TNI27" si="6956">TNG27*$C$27</f>
        <v>5.1393823036846232E+34</v>
      </c>
      <c r="TNK27" s="613">
        <f t="shared" ref="TNK27" si="6957">TNI27*$C$27</f>
        <v>5.1907761267214692E+34</v>
      </c>
      <c r="TNM27" s="613">
        <f t="shared" ref="TNM27" si="6958">TNK27*$C$27</f>
        <v>5.2426838879886838E+34</v>
      </c>
      <c r="TNO27" s="613">
        <f t="shared" ref="TNO27" si="6959">TNM27*$C$27</f>
        <v>5.2951107268685708E+34</v>
      </c>
      <c r="TNQ27" s="613">
        <f t="shared" ref="TNQ27" si="6960">TNO27*$C$27</f>
        <v>5.3480618341372565E+34</v>
      </c>
      <c r="TNS27" s="613">
        <f t="shared" ref="TNS27" si="6961">TNQ27*$C$27</f>
        <v>5.4015424524786289E+34</v>
      </c>
      <c r="TNU27" s="613">
        <f t="shared" ref="TNU27" si="6962">TNS27*$C$27</f>
        <v>5.4555578770034151E+34</v>
      </c>
      <c r="TNW27" s="613">
        <f t="shared" ref="TNW27" si="6963">TNU27*$C$27</f>
        <v>5.5101134557734491E+34</v>
      </c>
      <c r="TNY27" s="613">
        <f t="shared" ref="TNY27" si="6964">TNW27*$C$27</f>
        <v>5.5652145903311838E+34</v>
      </c>
      <c r="TOA27" s="613">
        <f t="shared" ref="TOA27" si="6965">TNY27*$C$27</f>
        <v>5.6208667362344956E+34</v>
      </c>
      <c r="TOC27" s="613">
        <f t="shared" ref="TOC27" si="6966">TOA27*$C$27</f>
        <v>5.6770754035968411E+34</v>
      </c>
      <c r="TOE27" s="613">
        <f t="shared" ref="TOE27" si="6967">TOC27*$C$27</f>
        <v>5.7338461576328093E+34</v>
      </c>
      <c r="TOG27" s="613">
        <f t="shared" ref="TOG27" si="6968">TOE27*$C$27</f>
        <v>5.7911846192091379E+34</v>
      </c>
      <c r="TOI27" s="613">
        <f t="shared" ref="TOI27" si="6969">TOG27*$C$27</f>
        <v>5.8490964654012294E+34</v>
      </c>
      <c r="TOK27" s="613">
        <f t="shared" ref="TOK27" si="6970">TOI27*$C$27</f>
        <v>5.9075874300552417E+34</v>
      </c>
      <c r="TOM27" s="613">
        <f t="shared" ref="TOM27" si="6971">TOK27*$C$27</f>
        <v>5.9666633043557945E+34</v>
      </c>
      <c r="TOO27" s="613">
        <f t="shared" ref="TOO27" si="6972">TOM27*$C$27</f>
        <v>6.0263299373993526E+34</v>
      </c>
      <c r="TOQ27" s="613">
        <f t="shared" ref="TOQ27" si="6973">TOO27*$C$27</f>
        <v>6.086593236773346E+34</v>
      </c>
      <c r="TOS27" s="613">
        <f t="shared" ref="TOS27" si="6974">TOQ27*$C$27</f>
        <v>6.1474591691410791E+34</v>
      </c>
      <c r="TOU27" s="613">
        <f t="shared" ref="TOU27" si="6975">TOS27*$C$27</f>
        <v>6.2089337608324899E+34</v>
      </c>
      <c r="TOW27" s="613">
        <f t="shared" ref="TOW27" si="6976">TOU27*$C$27</f>
        <v>6.271023098440815E+34</v>
      </c>
      <c r="TOY27" s="613">
        <f t="shared" ref="TOY27" si="6977">TOW27*$C$27</f>
        <v>6.3337333294252231E+34</v>
      </c>
      <c r="TPA27" s="613">
        <f t="shared" ref="TPA27" si="6978">TOY27*$C$27</f>
        <v>6.3970706627194756E+34</v>
      </c>
      <c r="TPC27" s="613">
        <f t="shared" ref="TPC27" si="6979">TPA27*$C$27</f>
        <v>6.4610413693466699E+34</v>
      </c>
      <c r="TPE27" s="613">
        <f t="shared" ref="TPE27" si="6980">TPC27*$C$27</f>
        <v>6.5256517830401368E+34</v>
      </c>
      <c r="TPG27" s="613">
        <f t="shared" ref="TPG27" si="6981">TPE27*$C$27</f>
        <v>6.590908300870538E+34</v>
      </c>
      <c r="TPI27" s="613">
        <f t="shared" ref="TPI27" si="6982">TPG27*$C$27</f>
        <v>6.6568173838792436E+34</v>
      </c>
      <c r="TPK27" s="613">
        <f t="shared" ref="TPK27" si="6983">TPI27*$C$27</f>
        <v>6.7233855577180365E+34</v>
      </c>
      <c r="TPM27" s="613">
        <f t="shared" ref="TPM27" si="6984">TPK27*$C$27</f>
        <v>6.7906194132952172E+34</v>
      </c>
      <c r="TPO27" s="613">
        <f t="shared" ref="TPO27" si="6985">TPM27*$C$27</f>
        <v>6.8585256074281692E+34</v>
      </c>
      <c r="TPQ27" s="613">
        <f t="shared" ref="TPQ27" si="6986">TPO27*$C$27</f>
        <v>6.9271108635024511E+34</v>
      </c>
      <c r="TPS27" s="613">
        <f t="shared" ref="TPS27" si="6987">TPQ27*$C$27</f>
        <v>6.9963819721374756E+34</v>
      </c>
      <c r="TPU27" s="613">
        <f t="shared" ref="TPU27" si="6988">TPS27*$C$27</f>
        <v>7.0663457918588506E+34</v>
      </c>
      <c r="TPW27" s="613">
        <f t="shared" ref="TPW27" si="6989">TPU27*$C$27</f>
        <v>7.1370092497774394E+34</v>
      </c>
      <c r="TPY27" s="613">
        <f t="shared" ref="TPY27" si="6990">TPW27*$C$27</f>
        <v>7.2083793422752135E+34</v>
      </c>
      <c r="TQA27" s="613">
        <f t="shared" ref="TQA27" si="6991">TPY27*$C$27</f>
        <v>7.2804631356979654E+34</v>
      </c>
      <c r="TQC27" s="613">
        <f t="shared" ref="TQC27" si="6992">TQA27*$C$27</f>
        <v>7.3532677670549454E+34</v>
      </c>
      <c r="TQE27" s="613">
        <f t="shared" ref="TQE27" si="6993">TQC27*$C$27</f>
        <v>7.4268004447254948E+34</v>
      </c>
      <c r="TQG27" s="613">
        <f t="shared" ref="TQG27" si="6994">TQE27*$C$27</f>
        <v>7.5010684491727499E+34</v>
      </c>
      <c r="TQI27" s="613">
        <f t="shared" ref="TQI27" si="6995">TQG27*$C$27</f>
        <v>7.5760791336644777E+34</v>
      </c>
      <c r="TQK27" s="613">
        <f t="shared" ref="TQK27" si="6996">TQI27*$C$27</f>
        <v>7.6518399250011222E+34</v>
      </c>
      <c r="TQM27" s="613">
        <f t="shared" ref="TQM27" si="6997">TQK27*$C$27</f>
        <v>7.7283583242511331E+34</v>
      </c>
      <c r="TQO27" s="613">
        <f t="shared" ref="TQO27" si="6998">TQM27*$C$27</f>
        <v>7.8056419074936443E+34</v>
      </c>
      <c r="TQQ27" s="613">
        <f t="shared" ref="TQQ27" si="6999">TQO27*$C$27</f>
        <v>7.8836983265685807E+34</v>
      </c>
      <c r="TQS27" s="613">
        <f t="shared" ref="TQS27" si="7000">TQQ27*$C$27</f>
        <v>7.9625353098342666E+34</v>
      </c>
      <c r="TQU27" s="613">
        <f t="shared" ref="TQU27" si="7001">TQS27*$C$27</f>
        <v>8.0421606629326097E+34</v>
      </c>
      <c r="TQW27" s="613">
        <f t="shared" ref="TQW27" si="7002">TQU27*$C$27</f>
        <v>8.1225822695619358E+34</v>
      </c>
      <c r="TQY27" s="613">
        <f t="shared" ref="TQY27" si="7003">TQW27*$C$27</f>
        <v>8.2038080922575553E+34</v>
      </c>
      <c r="TRA27" s="613">
        <f t="shared" ref="TRA27" si="7004">TQY27*$C$27</f>
        <v>8.2858461731801308E+34</v>
      </c>
      <c r="TRC27" s="613">
        <f t="shared" ref="TRC27" si="7005">TRA27*$C$27</f>
        <v>8.368704634911933E+34</v>
      </c>
      <c r="TRE27" s="613">
        <f t="shared" ref="TRE27" si="7006">TRC27*$C$27</f>
        <v>8.4523916812610521E+34</v>
      </c>
      <c r="TRG27" s="613">
        <f t="shared" ref="TRG27" si="7007">TRE27*$C$27</f>
        <v>8.5369155980736622E+34</v>
      </c>
      <c r="TRI27" s="613">
        <f t="shared" ref="TRI27" si="7008">TRG27*$C$27</f>
        <v>8.6222847540543984E+34</v>
      </c>
      <c r="TRK27" s="613">
        <f t="shared" ref="TRK27" si="7009">TRI27*$C$27</f>
        <v>8.7085076015949422E+34</v>
      </c>
      <c r="TRM27" s="613">
        <f t="shared" ref="TRM27" si="7010">TRK27*$C$27</f>
        <v>8.7955926776108919E+34</v>
      </c>
      <c r="TRO27" s="613">
        <f t="shared" ref="TRO27" si="7011">TRM27*$C$27</f>
        <v>8.8835486043870015E+34</v>
      </c>
      <c r="TRQ27" s="613">
        <f t="shared" ref="TRQ27" si="7012">TRO27*$C$27</f>
        <v>8.9723840904308719E+34</v>
      </c>
      <c r="TRS27" s="613">
        <f t="shared" ref="TRS27" si="7013">TRQ27*$C$27</f>
        <v>9.0621079313351813E+34</v>
      </c>
      <c r="TRU27" s="613">
        <f t="shared" ref="TRU27" si="7014">TRS27*$C$27</f>
        <v>9.1527290106485338E+34</v>
      </c>
      <c r="TRW27" s="613">
        <f t="shared" ref="TRW27" si="7015">TRU27*$C$27</f>
        <v>9.2442563007550188E+34</v>
      </c>
      <c r="TRY27" s="613">
        <f t="shared" ref="TRY27" si="7016">TRW27*$C$27</f>
        <v>9.3366988637625689E+34</v>
      </c>
      <c r="TSA27" s="613">
        <f t="shared" ref="TSA27" si="7017">TRY27*$C$27</f>
        <v>9.4300658524001954E+34</v>
      </c>
      <c r="TSC27" s="613">
        <f t="shared" ref="TSC27" si="7018">TSA27*$C$27</f>
        <v>9.5243665109241967E+34</v>
      </c>
      <c r="TSE27" s="613">
        <f t="shared" ref="TSE27" si="7019">TSC27*$C$27</f>
        <v>9.6196101760334387E+34</v>
      </c>
      <c r="TSG27" s="613">
        <f t="shared" ref="TSG27" si="7020">TSE27*$C$27</f>
        <v>9.7158062777937738E+34</v>
      </c>
      <c r="TSI27" s="613">
        <f t="shared" ref="TSI27" si="7021">TSG27*$C$27</f>
        <v>9.8129643405717124E+34</v>
      </c>
      <c r="TSK27" s="613">
        <f t="shared" ref="TSK27" si="7022">TSI27*$C$27</f>
        <v>9.9110939839774292E+34</v>
      </c>
      <c r="TSM27" s="613">
        <f t="shared" ref="TSM27" si="7023">TSK27*$C$27</f>
        <v>1.0010204923817204E+35</v>
      </c>
      <c r="TSO27" s="613">
        <f t="shared" ref="TSO27" si="7024">TSM27*$C$27</f>
        <v>1.0110306973055377E+35</v>
      </c>
      <c r="TSQ27" s="613">
        <f t="shared" ref="TSQ27" si="7025">TSO27*$C$27</f>
        <v>1.0211410042785931E+35</v>
      </c>
      <c r="TSS27" s="613">
        <f t="shared" ref="TSS27" si="7026">TSQ27*$C$27</f>
        <v>1.031352414321379E+35</v>
      </c>
      <c r="TSU27" s="613">
        <f t="shared" ref="TSU27" si="7027">TSS27*$C$27</f>
        <v>1.0416659384645929E+35</v>
      </c>
      <c r="TSW27" s="613">
        <f t="shared" ref="TSW27" si="7028">TSU27*$C$27</f>
        <v>1.0520825978492388E+35</v>
      </c>
      <c r="TSY27" s="613">
        <f t="shared" ref="TSY27" si="7029">TSW27*$C$27</f>
        <v>1.0626034238277312E+35</v>
      </c>
      <c r="TTA27" s="613">
        <f t="shared" ref="TTA27" si="7030">TSY27*$C$27</f>
        <v>1.0732294580660085E+35</v>
      </c>
      <c r="TTC27" s="613">
        <f t="shared" ref="TTC27" si="7031">TTA27*$C$27</f>
        <v>1.0839617526466685E+35</v>
      </c>
      <c r="TTE27" s="613">
        <f t="shared" ref="TTE27" si="7032">TTC27*$C$27</f>
        <v>1.0948013701731353E+35</v>
      </c>
      <c r="TTG27" s="613">
        <f t="shared" ref="TTG27" si="7033">TTE27*$C$27</f>
        <v>1.1057493838748666E+35</v>
      </c>
      <c r="TTI27" s="613">
        <f t="shared" ref="TTI27" si="7034">TTG27*$C$27</f>
        <v>1.1168068777136153E+35</v>
      </c>
      <c r="TTK27" s="613">
        <f t="shared" ref="TTK27" si="7035">TTI27*$C$27</f>
        <v>1.1279749464907515E+35</v>
      </c>
      <c r="TTM27" s="613">
        <f t="shared" ref="TTM27" si="7036">TTK27*$C$27</f>
        <v>1.1392546959556591E+35</v>
      </c>
      <c r="TTO27" s="613">
        <f t="shared" ref="TTO27" si="7037">TTM27*$C$27</f>
        <v>1.1506472429152157E+35</v>
      </c>
      <c r="TTQ27" s="613">
        <f t="shared" ref="TTQ27" si="7038">TTO27*$C$27</f>
        <v>1.1621537153443679E+35</v>
      </c>
      <c r="TTS27" s="613">
        <f t="shared" ref="TTS27" si="7039">TTQ27*$C$27</f>
        <v>1.1737752524978116E+35</v>
      </c>
      <c r="TTU27" s="613">
        <f t="shared" ref="TTU27" si="7040">TTS27*$C$27</f>
        <v>1.1855130050227896E+35</v>
      </c>
      <c r="TTW27" s="613">
        <f t="shared" ref="TTW27" si="7041">TTU27*$C$27</f>
        <v>1.1973681350730174E+35</v>
      </c>
      <c r="TTY27" s="613">
        <f t="shared" ref="TTY27" si="7042">TTW27*$C$27</f>
        <v>1.2093418164237476E+35</v>
      </c>
      <c r="TUA27" s="613">
        <f t="shared" ref="TUA27" si="7043">TTY27*$C$27</f>
        <v>1.2214352345879851E+35</v>
      </c>
      <c r="TUC27" s="613">
        <f t="shared" ref="TUC27" si="7044">TUA27*$C$27</f>
        <v>1.233649586933865E+35</v>
      </c>
      <c r="TUE27" s="613">
        <f t="shared" ref="TUE27" si="7045">TUC27*$C$27</f>
        <v>1.2459860828032036E+35</v>
      </c>
      <c r="TUG27" s="613">
        <f t="shared" ref="TUG27" si="7046">TUE27*$C$27</f>
        <v>1.2584459436312357E+35</v>
      </c>
      <c r="TUI27" s="613">
        <f t="shared" ref="TUI27" si="7047">TUG27*$C$27</f>
        <v>1.2710304030675481E+35</v>
      </c>
      <c r="TUK27" s="613">
        <f t="shared" ref="TUK27" si="7048">TUI27*$C$27</f>
        <v>1.2837407070982236E+35</v>
      </c>
      <c r="TUM27" s="613">
        <f t="shared" ref="TUM27" si="7049">TUK27*$C$27</f>
        <v>1.2965781141692059E+35</v>
      </c>
      <c r="TUO27" s="613">
        <f t="shared" ref="TUO27" si="7050">TUM27*$C$27</f>
        <v>1.309543895310898E+35</v>
      </c>
      <c r="TUQ27" s="613">
        <f t="shared" ref="TUQ27" si="7051">TUO27*$C$27</f>
        <v>1.3226393342640069E+35</v>
      </c>
      <c r="TUS27" s="613">
        <f t="shared" ref="TUS27" si="7052">TUQ27*$C$27</f>
        <v>1.335865727606647E+35</v>
      </c>
      <c r="TUU27" s="613">
        <f t="shared" ref="TUU27" si="7053">TUS27*$C$27</f>
        <v>1.3492243848827135E+35</v>
      </c>
      <c r="TUW27" s="613">
        <f t="shared" ref="TUW27" si="7054">TUU27*$C$27</f>
        <v>1.3627166287315407E+35</v>
      </c>
      <c r="TUY27" s="613">
        <f t="shared" ref="TUY27" si="7055">TUW27*$C$27</f>
        <v>1.3763437950188561E+35</v>
      </c>
      <c r="TVA27" s="613">
        <f t="shared" ref="TVA27" si="7056">TUY27*$C$27</f>
        <v>1.3901072329690446E+35</v>
      </c>
      <c r="TVC27" s="613">
        <f t="shared" ref="TVC27" si="7057">TVA27*$C$27</f>
        <v>1.4040083052987351E+35</v>
      </c>
      <c r="TVE27" s="613">
        <f t="shared" ref="TVE27" si="7058">TVC27*$C$27</f>
        <v>1.4180483883517225E+35</v>
      </c>
      <c r="TVG27" s="613">
        <f t="shared" ref="TVG27" si="7059">TVE27*$C$27</f>
        <v>1.4322288722352397E+35</v>
      </c>
      <c r="TVI27" s="613">
        <f t="shared" ref="TVI27" si="7060">TVG27*$C$27</f>
        <v>1.4465511609575921E+35</v>
      </c>
      <c r="TVK27" s="613">
        <f t="shared" ref="TVK27" si="7061">TVI27*$C$27</f>
        <v>1.4610166725671682E+35</v>
      </c>
      <c r="TVM27" s="613">
        <f t="shared" ref="TVM27" si="7062">TVK27*$C$27</f>
        <v>1.4756268392928398E+35</v>
      </c>
      <c r="TVO27" s="613">
        <f t="shared" ref="TVO27" si="7063">TVM27*$C$27</f>
        <v>1.4903831076857682E+35</v>
      </c>
      <c r="TVQ27" s="613">
        <f t="shared" ref="TVQ27" si="7064">TVO27*$C$27</f>
        <v>1.5052869387626258E+35</v>
      </c>
      <c r="TVS27" s="613">
        <f t="shared" ref="TVS27" si="7065">TVQ27*$C$27</f>
        <v>1.5203398081502521E+35</v>
      </c>
      <c r="TVU27" s="613">
        <f t="shared" ref="TVU27" si="7066">TVS27*$C$27</f>
        <v>1.5355432062317547E+35</v>
      </c>
      <c r="TVW27" s="613">
        <f t="shared" ref="TVW27" si="7067">TVU27*$C$27</f>
        <v>1.5508986382940722E+35</v>
      </c>
      <c r="TVY27" s="613">
        <f t="shared" ref="TVY27" si="7068">TVW27*$C$27</f>
        <v>1.5664076246770129E+35</v>
      </c>
      <c r="TWA27" s="613">
        <f t="shared" ref="TWA27" si="7069">TVY27*$C$27</f>
        <v>1.582071700923783E+35</v>
      </c>
      <c r="TWC27" s="613">
        <f t="shared" ref="TWC27" si="7070">TWA27*$C$27</f>
        <v>1.5978924179330208E+35</v>
      </c>
      <c r="TWE27" s="613">
        <f t="shared" ref="TWE27" si="7071">TWC27*$C$27</f>
        <v>1.6138713421123511E+35</v>
      </c>
      <c r="TWG27" s="613">
        <f t="shared" ref="TWG27" si="7072">TWE27*$C$27</f>
        <v>1.6300100555334745E+35</v>
      </c>
      <c r="TWI27" s="613">
        <f t="shared" ref="TWI27" si="7073">TWG27*$C$27</f>
        <v>1.6463101560888093E+35</v>
      </c>
      <c r="TWK27" s="613">
        <f t="shared" ref="TWK27" si="7074">TWI27*$C$27</f>
        <v>1.6627732576496973E+35</v>
      </c>
      <c r="TWM27" s="613">
        <f t="shared" ref="TWM27" si="7075">TWK27*$C$27</f>
        <v>1.6794009902261942E+35</v>
      </c>
      <c r="TWO27" s="613">
        <f t="shared" ref="TWO27" si="7076">TWM27*$C$27</f>
        <v>1.6961950001284563E+35</v>
      </c>
      <c r="TWQ27" s="613">
        <f t="shared" ref="TWQ27" si="7077">TWO27*$C$27</f>
        <v>1.7131569501297408E+35</v>
      </c>
      <c r="TWS27" s="613">
        <f t="shared" ref="TWS27" si="7078">TWQ27*$C$27</f>
        <v>1.7302885196310384E+35</v>
      </c>
      <c r="TWU27" s="613">
        <f t="shared" ref="TWU27" si="7079">TWS27*$C$27</f>
        <v>1.747591404827349E+35</v>
      </c>
      <c r="TWW27" s="613">
        <f t="shared" ref="TWW27" si="7080">TWU27*$C$27</f>
        <v>1.7650673188756224E+35</v>
      </c>
      <c r="TWY27" s="613">
        <f t="shared" ref="TWY27" si="7081">TWW27*$C$27</f>
        <v>1.7827179920643787E+35</v>
      </c>
      <c r="TXA27" s="613">
        <f t="shared" ref="TXA27" si="7082">TWY27*$C$27</f>
        <v>1.8005451719850225E+35</v>
      </c>
      <c r="TXC27" s="613">
        <f t="shared" ref="TXC27" si="7083">TXA27*$C$27</f>
        <v>1.8185506237048726E+35</v>
      </c>
      <c r="TXE27" s="613">
        <f t="shared" ref="TXE27" si="7084">TXC27*$C$27</f>
        <v>1.8367361299419213E+35</v>
      </c>
      <c r="TXG27" s="613">
        <f t="shared" ref="TXG27" si="7085">TXE27*$C$27</f>
        <v>1.8551034912413404E+35</v>
      </c>
      <c r="TXI27" s="613">
        <f t="shared" ref="TXI27" si="7086">TXG27*$C$27</f>
        <v>1.8736545261537539E+35</v>
      </c>
      <c r="TXK27" s="613">
        <f t="shared" ref="TXK27" si="7087">TXI27*$C$27</f>
        <v>1.8923910714152915E+35</v>
      </c>
      <c r="TXM27" s="613">
        <f t="shared" ref="TXM27" si="7088">TXK27*$C$27</f>
        <v>1.9113149821294445E+35</v>
      </c>
      <c r="TXO27" s="613">
        <f t="shared" ref="TXO27" si="7089">TXM27*$C$27</f>
        <v>1.930428131950739E+35</v>
      </c>
      <c r="TXQ27" s="613">
        <f t="shared" ref="TXQ27" si="7090">TXO27*$C$27</f>
        <v>1.9497324132702463E+35</v>
      </c>
      <c r="TXS27" s="613">
        <f t="shared" ref="TXS27" si="7091">TXQ27*$C$27</f>
        <v>1.9692297374029487E+35</v>
      </c>
      <c r="TXU27" s="613">
        <f t="shared" ref="TXU27" si="7092">TXS27*$C$27</f>
        <v>1.988922034776978E+35</v>
      </c>
      <c r="TXW27" s="613">
        <f t="shared" ref="TXW27" si="7093">TXU27*$C$27</f>
        <v>2.0088112551247477E+35</v>
      </c>
      <c r="TXY27" s="613">
        <f t="shared" ref="TXY27" si="7094">TXW27*$C$27</f>
        <v>2.0288993676759954E+35</v>
      </c>
      <c r="TYA27" s="613">
        <f t="shared" ref="TYA27" si="7095">TXY27*$C$27</f>
        <v>2.0491883613527555E+35</v>
      </c>
      <c r="TYC27" s="613">
        <f t="shared" ref="TYC27" si="7096">TYA27*$C$27</f>
        <v>2.0696802449662832E+35</v>
      </c>
      <c r="TYE27" s="613">
        <f t="shared" ref="TYE27" si="7097">TYC27*$C$27</f>
        <v>2.0903770474159458E+35</v>
      </c>
      <c r="TYG27" s="613">
        <f t="shared" ref="TYG27" si="7098">TYE27*$C$27</f>
        <v>2.1112808178901053E+35</v>
      </c>
      <c r="TYI27" s="613">
        <f t="shared" ref="TYI27" si="7099">TYG27*$C$27</f>
        <v>2.1323936260690065E+35</v>
      </c>
      <c r="TYK27" s="613">
        <f t="shared" ref="TYK27" si="7100">TYI27*$C$27</f>
        <v>2.1537175623296967E+35</v>
      </c>
      <c r="TYM27" s="613">
        <f t="shared" ref="TYM27" si="7101">TYK27*$C$27</f>
        <v>2.1752547379529937E+35</v>
      </c>
      <c r="TYO27" s="613">
        <f t="shared" ref="TYO27" si="7102">TYM27*$C$27</f>
        <v>2.1970072853325238E+35</v>
      </c>
      <c r="TYQ27" s="613">
        <f t="shared" ref="TYQ27" si="7103">TYO27*$C$27</f>
        <v>2.218977358185849E+35</v>
      </c>
      <c r="TYS27" s="613">
        <f t="shared" ref="TYS27" si="7104">TYQ27*$C$27</f>
        <v>2.2411671317677075E+35</v>
      </c>
      <c r="TYU27" s="613">
        <f t="shared" ref="TYU27" si="7105">TYS27*$C$27</f>
        <v>2.2635788030853844E+35</v>
      </c>
      <c r="TYW27" s="613">
        <f t="shared" ref="TYW27" si="7106">TYU27*$C$27</f>
        <v>2.2862145911162383E+35</v>
      </c>
      <c r="TYY27" s="613">
        <f t="shared" ref="TYY27" si="7107">TYW27*$C$27</f>
        <v>2.3090767370274006E+35</v>
      </c>
      <c r="TZA27" s="613">
        <f t="shared" ref="TZA27" si="7108">TYY27*$C$27</f>
        <v>2.3321675043976746E+35</v>
      </c>
      <c r="TZC27" s="613">
        <f t="shared" ref="TZC27" si="7109">TZA27*$C$27</f>
        <v>2.3554891794416512E+35</v>
      </c>
      <c r="TZE27" s="613">
        <f t="shared" ref="TZE27" si="7110">TZC27*$C$27</f>
        <v>2.3790440712360675E+35</v>
      </c>
      <c r="TZG27" s="613">
        <f t="shared" ref="TZG27" si="7111">TZE27*$C$27</f>
        <v>2.4028345119484284E+35</v>
      </c>
      <c r="TZI27" s="613">
        <f t="shared" ref="TZI27" si="7112">TZG27*$C$27</f>
        <v>2.4268628570679127E+35</v>
      </c>
      <c r="TZK27" s="613">
        <f t="shared" ref="TZK27" si="7113">TZI27*$C$27</f>
        <v>2.4511314856385918E+35</v>
      </c>
      <c r="TZM27" s="613">
        <f t="shared" ref="TZM27" si="7114">TZK27*$C$27</f>
        <v>2.4756428004949778E+35</v>
      </c>
      <c r="TZO27" s="613">
        <f t="shared" ref="TZO27" si="7115">TZM27*$C$27</f>
        <v>2.5003992284999277E+35</v>
      </c>
      <c r="TZQ27" s="613">
        <f t="shared" ref="TZQ27" si="7116">TZO27*$C$27</f>
        <v>2.5254032207849271E+35</v>
      </c>
      <c r="TZS27" s="613">
        <f t="shared" ref="TZS27" si="7117">TZQ27*$C$27</f>
        <v>2.5506572529927765E+35</v>
      </c>
      <c r="TZU27" s="613">
        <f t="shared" ref="TZU27" si="7118">TZS27*$C$27</f>
        <v>2.5761638255227043E+35</v>
      </c>
      <c r="TZW27" s="613">
        <f t="shared" ref="TZW27" si="7119">TZU27*$C$27</f>
        <v>2.6019254637779313E+35</v>
      </c>
      <c r="TZY27" s="613">
        <f t="shared" ref="TZY27" si="7120">TZW27*$C$27</f>
        <v>2.6279447184157107E+35</v>
      </c>
      <c r="UAA27" s="613">
        <f t="shared" ref="UAA27" si="7121">TZY27*$C$27</f>
        <v>2.6542241655998678E+35</v>
      </c>
      <c r="UAC27" s="613">
        <f t="shared" ref="UAC27" si="7122">UAA27*$C$27</f>
        <v>2.6807664072558667E+35</v>
      </c>
      <c r="UAE27" s="613">
        <f t="shared" ref="UAE27" si="7123">UAC27*$C$27</f>
        <v>2.7075740713284253E+35</v>
      </c>
      <c r="UAG27" s="613">
        <f t="shared" ref="UAG27" si="7124">UAE27*$C$27</f>
        <v>2.7346498120417097E+35</v>
      </c>
      <c r="UAI27" s="613">
        <f t="shared" ref="UAI27" si="7125">UAG27*$C$27</f>
        <v>2.761996310162127E+35</v>
      </c>
      <c r="UAK27" s="613">
        <f t="shared" ref="UAK27" si="7126">UAI27*$C$27</f>
        <v>2.7896162732637482E+35</v>
      </c>
      <c r="UAM27" s="613">
        <f t="shared" ref="UAM27" si="7127">UAK27*$C$27</f>
        <v>2.8175124359963858E+35</v>
      </c>
      <c r="UAO27" s="613">
        <f t="shared" ref="UAO27" si="7128">UAM27*$C$27</f>
        <v>2.8456875603563495E+35</v>
      </c>
      <c r="UAQ27" s="613">
        <f t="shared" ref="UAQ27" si="7129">UAO27*$C$27</f>
        <v>2.874144435959913E+35</v>
      </c>
      <c r="UAS27" s="613">
        <f t="shared" ref="UAS27" si="7130">UAQ27*$C$27</f>
        <v>2.9028858803195122E+35</v>
      </c>
      <c r="UAU27" s="613">
        <f t="shared" ref="UAU27" si="7131">UAS27*$C$27</f>
        <v>2.9319147391227075E+35</v>
      </c>
      <c r="UAW27" s="613">
        <f t="shared" ref="UAW27" si="7132">UAU27*$C$27</f>
        <v>2.9612338865139346E+35</v>
      </c>
      <c r="UAY27" s="613">
        <f t="shared" ref="UAY27" si="7133">UAW27*$C$27</f>
        <v>2.9908462253790741E+35</v>
      </c>
      <c r="UBA27" s="613">
        <f t="shared" ref="UBA27" si="7134">UAY27*$C$27</f>
        <v>3.020754687632865E+35</v>
      </c>
      <c r="UBC27" s="613">
        <f t="shared" ref="UBC27" si="7135">UBA27*$C$27</f>
        <v>3.0509622345091936E+35</v>
      </c>
      <c r="UBE27" s="613">
        <f t="shared" ref="UBE27" si="7136">UBC27*$C$27</f>
        <v>3.0814718568542854E+35</v>
      </c>
      <c r="UBG27" s="613">
        <f t="shared" ref="UBG27" si="7137">UBE27*$C$27</f>
        <v>3.1122865754228283E+35</v>
      </c>
      <c r="UBI27" s="613">
        <f t="shared" ref="UBI27" si="7138">UBG27*$C$27</f>
        <v>3.1434094411770568E+35</v>
      </c>
      <c r="UBK27" s="613">
        <f t="shared" ref="UBK27" si="7139">UBI27*$C$27</f>
        <v>3.1748435355888272E+35</v>
      </c>
      <c r="UBM27" s="613">
        <f t="shared" ref="UBM27" si="7140">UBK27*$C$27</f>
        <v>3.2065919709447154E+35</v>
      </c>
      <c r="UBO27" s="613">
        <f t="shared" ref="UBO27" si="7141">UBM27*$C$27</f>
        <v>3.2386578906541626E+35</v>
      </c>
      <c r="UBQ27" s="613">
        <f t="shared" ref="UBQ27" si="7142">UBO27*$C$27</f>
        <v>3.2710444695607042E+35</v>
      </c>
      <c r="UBS27" s="613">
        <f t="shared" ref="UBS27" si="7143">UBQ27*$C$27</f>
        <v>3.3037549142563112E+35</v>
      </c>
      <c r="UBU27" s="613">
        <f t="shared" ref="UBU27" si="7144">UBS27*$C$27</f>
        <v>3.3367924633988743E+35</v>
      </c>
      <c r="UBW27" s="613">
        <f t="shared" ref="UBW27" si="7145">UBU27*$C$27</f>
        <v>3.3701603880328631E+35</v>
      </c>
      <c r="UBY27" s="613">
        <f t="shared" ref="UBY27" si="7146">UBW27*$C$27</f>
        <v>3.4038619919131919E+35</v>
      </c>
      <c r="UCA27" s="613">
        <f t="shared" ref="UCA27" si="7147">UBY27*$C$27</f>
        <v>3.4379006118323238E+35</v>
      </c>
      <c r="UCC27" s="613">
        <f t="shared" ref="UCC27" si="7148">UCA27*$C$27</f>
        <v>3.472279617950647E+35</v>
      </c>
      <c r="UCE27" s="613">
        <f t="shared" ref="UCE27" si="7149">UCC27*$C$27</f>
        <v>3.5070024141301532E+35</v>
      </c>
      <c r="UCG27" s="613">
        <f t="shared" ref="UCG27" si="7150">UCE27*$C$27</f>
        <v>3.5420724382714549E+35</v>
      </c>
      <c r="UCI27" s="613">
        <f t="shared" ref="UCI27" si="7151">UCG27*$C$27</f>
        <v>3.5774931626541696E+35</v>
      </c>
      <c r="UCK27" s="613">
        <f t="shared" ref="UCK27" si="7152">UCI27*$C$27</f>
        <v>3.6132680942807113E+35</v>
      </c>
      <c r="UCM27" s="613">
        <f t="shared" ref="UCM27" si="7153">UCK27*$C$27</f>
        <v>3.6494007752235181E+35</v>
      </c>
      <c r="UCO27" s="613">
        <f t="shared" ref="UCO27" si="7154">UCM27*$C$27</f>
        <v>3.6858947829757531E+35</v>
      </c>
      <c r="UCQ27" s="613">
        <f t="shared" ref="UCQ27" si="7155">UCO27*$C$27</f>
        <v>3.7227537308055105E+35</v>
      </c>
      <c r="UCS27" s="613">
        <f t="shared" ref="UCS27" si="7156">UCQ27*$C$27</f>
        <v>3.7599812681135655E+35</v>
      </c>
      <c r="UCU27" s="613">
        <f t="shared" ref="UCU27" si="7157">UCS27*$C$27</f>
        <v>3.797581080794701E+35</v>
      </c>
      <c r="UCW27" s="613">
        <f t="shared" ref="UCW27" si="7158">UCU27*$C$27</f>
        <v>3.8355568916026478E+35</v>
      </c>
      <c r="UCY27" s="613">
        <f t="shared" ref="UCY27" si="7159">UCW27*$C$27</f>
        <v>3.8739124605186745E+35</v>
      </c>
      <c r="UDA27" s="613">
        <f t="shared" ref="UDA27" si="7160">UCY27*$C$27</f>
        <v>3.9126515851238615E+35</v>
      </c>
      <c r="UDC27" s="613">
        <f t="shared" ref="UDC27" si="7161">UDA27*$C$27</f>
        <v>3.9517781009751003E+35</v>
      </c>
      <c r="UDE27" s="613">
        <f t="shared" ref="UDE27" si="7162">UDC27*$C$27</f>
        <v>3.9912958819848512E+35</v>
      </c>
      <c r="UDG27" s="613">
        <f t="shared" ref="UDG27" si="7163">UDE27*$C$27</f>
        <v>4.0312088408046995E+35</v>
      </c>
      <c r="UDI27" s="613">
        <f t="shared" ref="UDI27" si="7164">UDG27*$C$27</f>
        <v>4.0715209292127463E+35</v>
      </c>
      <c r="UDK27" s="613">
        <f t="shared" ref="UDK27" si="7165">UDI27*$C$27</f>
        <v>4.1122361385048735E+35</v>
      </c>
      <c r="UDM27" s="613">
        <f t="shared" ref="UDM27" si="7166">UDK27*$C$27</f>
        <v>4.1533584998899224E+35</v>
      </c>
      <c r="UDO27" s="613">
        <f t="shared" ref="UDO27" si="7167">UDM27*$C$27</f>
        <v>4.1948920848888214E+35</v>
      </c>
      <c r="UDQ27" s="613">
        <f t="shared" ref="UDQ27" si="7168">UDO27*$C$27</f>
        <v>4.2368410057377097E+35</v>
      </c>
      <c r="UDS27" s="613">
        <f t="shared" ref="UDS27" si="7169">UDQ27*$C$27</f>
        <v>4.2792094157950867E+35</v>
      </c>
      <c r="UDU27" s="613">
        <f t="shared" ref="UDU27" si="7170">UDS27*$C$27</f>
        <v>4.3220015099530373E+35</v>
      </c>
      <c r="UDW27" s="613">
        <f t="shared" ref="UDW27" si="7171">UDU27*$C$27</f>
        <v>4.3652215250525678E+35</v>
      </c>
      <c r="UDY27" s="613">
        <f t="shared" ref="UDY27" si="7172">UDW27*$C$27</f>
        <v>4.4088737403030934E+35</v>
      </c>
      <c r="UEA27" s="613">
        <f t="shared" ref="UEA27" si="7173">UDY27*$C$27</f>
        <v>4.4529624777061241E+35</v>
      </c>
      <c r="UEC27" s="613">
        <f t="shared" ref="UEC27" si="7174">UEA27*$C$27</f>
        <v>4.4974921024831856E+35</v>
      </c>
      <c r="UEE27" s="613">
        <f t="shared" ref="UEE27" si="7175">UEC27*$C$27</f>
        <v>4.5424670235080172E+35</v>
      </c>
      <c r="UEG27" s="613">
        <f t="shared" ref="UEG27" si="7176">UEE27*$C$27</f>
        <v>4.5878916937430971E+35</v>
      </c>
      <c r="UEI27" s="613">
        <f t="shared" ref="UEI27" si="7177">UEG27*$C$27</f>
        <v>4.6337706106805282E+35</v>
      </c>
      <c r="UEK27" s="613">
        <f t="shared" ref="UEK27" si="7178">UEI27*$C$27</f>
        <v>4.6801083167873331E+35</v>
      </c>
      <c r="UEM27" s="613">
        <f t="shared" ref="UEM27" si="7179">UEK27*$C$27</f>
        <v>4.7269093999552066E+35</v>
      </c>
      <c r="UEO27" s="613">
        <f t="shared" ref="UEO27" si="7180">UEM27*$C$27</f>
        <v>4.7741784939547588E+35</v>
      </c>
      <c r="UEQ27" s="613">
        <f t="shared" ref="UEQ27" si="7181">UEO27*$C$27</f>
        <v>4.8219202788943067E+35</v>
      </c>
      <c r="UES27" s="613">
        <f t="shared" ref="UES27" si="7182">UEQ27*$C$27</f>
        <v>4.8701394816832498E+35</v>
      </c>
      <c r="UEU27" s="613">
        <f t="shared" ref="UEU27" si="7183">UES27*$C$27</f>
        <v>4.9188408765000823E+35</v>
      </c>
      <c r="UEW27" s="613">
        <f t="shared" ref="UEW27" si="7184">UEU27*$C$27</f>
        <v>4.9680292852650833E+35</v>
      </c>
      <c r="UEY27" s="613">
        <f t="shared" ref="UEY27" si="7185">UEW27*$C$27</f>
        <v>5.0177095781177341E+35</v>
      </c>
      <c r="UFA27" s="613">
        <f t="shared" ref="UFA27" si="7186">UEY27*$C$27</f>
        <v>5.0678866738989113E+35</v>
      </c>
      <c r="UFC27" s="613">
        <f t="shared" ref="UFC27" si="7187">UFA27*$C$27</f>
        <v>5.1185655406379003E+35</v>
      </c>
      <c r="UFE27" s="613">
        <f t="shared" ref="UFE27" si="7188">UFC27*$C$27</f>
        <v>5.1697511960442792E+35</v>
      </c>
      <c r="UFG27" s="613">
        <f t="shared" ref="UFG27" si="7189">UFE27*$C$27</f>
        <v>5.2214487080047217E+35</v>
      </c>
      <c r="UFI27" s="613">
        <f t="shared" ref="UFI27" si="7190">UFG27*$C$27</f>
        <v>5.2736631950847687E+35</v>
      </c>
      <c r="UFK27" s="613">
        <f t="shared" ref="UFK27" si="7191">UFI27*$C$27</f>
        <v>5.3263998270356164E+35</v>
      </c>
      <c r="UFM27" s="613">
        <f t="shared" ref="UFM27" si="7192">UFK27*$C$27</f>
        <v>5.3796638253059723E+35</v>
      </c>
      <c r="UFO27" s="613">
        <f t="shared" ref="UFO27" si="7193">UFM27*$C$27</f>
        <v>5.4334604635590319E+35</v>
      </c>
      <c r="UFQ27" s="613">
        <f t="shared" ref="UFQ27" si="7194">UFO27*$C$27</f>
        <v>5.4877950681946222E+35</v>
      </c>
      <c r="UFS27" s="613">
        <f t="shared" ref="UFS27" si="7195">UFQ27*$C$27</f>
        <v>5.5426730188765684E+35</v>
      </c>
      <c r="UFU27" s="613">
        <f t="shared" ref="UFU27" si="7196">UFS27*$C$27</f>
        <v>5.5980997490653344E+35</v>
      </c>
      <c r="UFW27" s="613">
        <f t="shared" ref="UFW27" si="7197">UFU27*$C$27</f>
        <v>5.6540807465559878E+35</v>
      </c>
      <c r="UFY27" s="613">
        <f t="shared" ref="UFY27" si="7198">UFW27*$C$27</f>
        <v>5.7106215540215479E+35</v>
      </c>
      <c r="UGA27" s="613">
        <f t="shared" ref="UGA27" si="7199">UFY27*$C$27</f>
        <v>5.7677277695617634E+35</v>
      </c>
      <c r="UGC27" s="613">
        <f t="shared" ref="UGC27" si="7200">UGA27*$C$27</f>
        <v>5.8254050472573811E+35</v>
      </c>
      <c r="UGE27" s="613">
        <f t="shared" ref="UGE27" si="7201">UGC27*$C$27</f>
        <v>5.8836590977299549E+35</v>
      </c>
      <c r="UGG27" s="613">
        <f t="shared" ref="UGG27" si="7202">UGE27*$C$27</f>
        <v>5.9424956887072549E+35</v>
      </c>
      <c r="UGI27" s="613">
        <f t="shared" ref="UGI27" si="7203">UGG27*$C$27</f>
        <v>6.0019206455943275E+35</v>
      </c>
      <c r="UGK27" s="613">
        <f t="shared" ref="UGK27" si="7204">UGI27*$C$27</f>
        <v>6.0619398520502707E+35</v>
      </c>
      <c r="UGM27" s="613">
        <f t="shared" ref="UGM27" si="7205">UGK27*$C$27</f>
        <v>6.1225592505707734E+35</v>
      </c>
      <c r="UGO27" s="613">
        <f t="shared" ref="UGO27" si="7206">UGM27*$C$27</f>
        <v>6.1837848430764813E+35</v>
      </c>
      <c r="UGQ27" s="613">
        <f t="shared" ref="UGQ27" si="7207">UGO27*$C$27</f>
        <v>6.2456226915072464E+35</v>
      </c>
      <c r="UGS27" s="613">
        <f t="shared" ref="UGS27" si="7208">UGQ27*$C$27</f>
        <v>6.3080789184223192E+35</v>
      </c>
      <c r="UGU27" s="613">
        <f t="shared" ref="UGU27" si="7209">UGS27*$C$27</f>
        <v>6.3711597076065427E+35</v>
      </c>
      <c r="UGW27" s="613">
        <f t="shared" ref="UGW27" si="7210">UGU27*$C$27</f>
        <v>6.4348713046826081E+35</v>
      </c>
      <c r="UGY27" s="613">
        <f t="shared" ref="UGY27" si="7211">UGW27*$C$27</f>
        <v>6.4992200177294342E+35</v>
      </c>
      <c r="UHA27" s="613">
        <f t="shared" ref="UHA27" si="7212">UGY27*$C$27</f>
        <v>6.5642122179067284E+35</v>
      </c>
      <c r="UHC27" s="613">
        <f t="shared" ref="UHC27" si="7213">UHA27*$C$27</f>
        <v>6.629854340085796E+35</v>
      </c>
      <c r="UHE27" s="613">
        <f t="shared" ref="UHE27" si="7214">UHC27*$C$27</f>
        <v>6.6961528834866544E+35</v>
      </c>
      <c r="UHG27" s="613">
        <f t="shared" ref="UHG27" si="7215">UHE27*$C$27</f>
        <v>6.7631144123215215E+35</v>
      </c>
      <c r="UHI27" s="613">
        <f t="shared" ref="UHI27" si="7216">UHG27*$C$27</f>
        <v>6.8307455564447369E+35</v>
      </c>
      <c r="UHK27" s="613">
        <f t="shared" ref="UHK27" si="7217">UHI27*$C$27</f>
        <v>6.8990530120091845E+35</v>
      </c>
      <c r="UHM27" s="613">
        <f t="shared" ref="UHM27" si="7218">UHK27*$C$27</f>
        <v>6.9680435421292758E+35</v>
      </c>
      <c r="UHO27" s="613">
        <f t="shared" ref="UHO27" si="7219">UHM27*$C$27</f>
        <v>7.0377239775505679E+35</v>
      </c>
      <c r="UHQ27" s="613">
        <f t="shared" ref="UHQ27" si="7220">UHO27*$C$27</f>
        <v>7.1081012173260732E+35</v>
      </c>
      <c r="UHS27" s="613">
        <f t="shared" ref="UHS27" si="7221">UHQ27*$C$27</f>
        <v>7.1791822294993344E+35</v>
      </c>
      <c r="UHU27" s="613">
        <f t="shared" ref="UHU27" si="7222">UHS27*$C$27</f>
        <v>7.2509740517943275E+35</v>
      </c>
      <c r="UHW27" s="613">
        <f t="shared" ref="UHW27" si="7223">UHU27*$C$27</f>
        <v>7.3234837923122701E+35</v>
      </c>
      <c r="UHY27" s="613">
        <f t="shared" ref="UHY27" si="7224">UHW27*$C$27</f>
        <v>7.396718630235393E+35</v>
      </c>
      <c r="UIA27" s="613">
        <f t="shared" ref="UIA27" si="7225">UHY27*$C$27</f>
        <v>7.4706858165377475E+35</v>
      </c>
      <c r="UIC27" s="613">
        <f t="shared" ref="UIC27" si="7226">UIA27*$C$27</f>
        <v>7.545392674703125E+35</v>
      </c>
      <c r="UIE27" s="613">
        <f t="shared" ref="UIE27" si="7227">UIC27*$C$27</f>
        <v>7.6208466014501557E+35</v>
      </c>
      <c r="UIG27" s="613">
        <f t="shared" ref="UIG27" si="7228">UIE27*$C$27</f>
        <v>7.6970550674646574E+35</v>
      </c>
      <c r="UII27" s="613">
        <f t="shared" ref="UII27" si="7229">UIG27*$C$27</f>
        <v>7.7740256181393041E+35</v>
      </c>
      <c r="UIK27" s="613">
        <f t="shared" ref="UIK27" si="7230">UII27*$C$27</f>
        <v>7.8517658743206975E+35</v>
      </c>
      <c r="UIM27" s="613">
        <f t="shared" ref="UIM27" si="7231">UIK27*$C$27</f>
        <v>7.9302835330639048E+35</v>
      </c>
      <c r="UIO27" s="613">
        <f t="shared" ref="UIO27" si="7232">UIM27*$C$27</f>
        <v>8.009586368394544E+35</v>
      </c>
      <c r="UIQ27" s="613">
        <f t="shared" ref="UIQ27" si="7233">UIO27*$C$27</f>
        <v>8.0896822320784897E+35</v>
      </c>
      <c r="UIS27" s="613">
        <f t="shared" ref="UIS27" si="7234">UIQ27*$C$27</f>
        <v>8.1705790543992753E+35</v>
      </c>
      <c r="UIU27" s="613">
        <f t="shared" ref="UIU27" si="7235">UIS27*$C$27</f>
        <v>8.2522848449432687E+35</v>
      </c>
      <c r="UIW27" s="613">
        <f t="shared" ref="UIW27" si="7236">UIU27*$C$27</f>
        <v>8.3348076933927008E+35</v>
      </c>
      <c r="UIY27" s="613">
        <f t="shared" ref="UIY27" si="7237">UIW27*$C$27</f>
        <v>8.418155770326628E+35</v>
      </c>
      <c r="UJA27" s="613">
        <f t="shared" ref="UJA27" si="7238">UIY27*$C$27</f>
        <v>8.5023373280298951E+35</v>
      </c>
      <c r="UJC27" s="613">
        <f t="shared" ref="UJC27" si="7239">UJA27*$C$27</f>
        <v>8.5873607013101936E+35</v>
      </c>
      <c r="UJE27" s="613">
        <f t="shared" ref="UJE27" si="7240">UJC27*$C$27</f>
        <v>8.6732343083232952E+35</v>
      </c>
      <c r="UJG27" s="613">
        <f t="shared" ref="UJG27" si="7241">UJE27*$C$27</f>
        <v>8.7599666514065288E+35</v>
      </c>
      <c r="UJI27" s="613">
        <f t="shared" ref="UJI27" si="7242">UJG27*$C$27</f>
        <v>8.847566317920594E+35</v>
      </c>
      <c r="UJK27" s="613">
        <f t="shared" ref="UJK27" si="7243">UJI27*$C$27</f>
        <v>8.9360419810997995E+35</v>
      </c>
      <c r="UJM27" s="613">
        <f t="shared" ref="UJM27" si="7244">UJK27*$C$27</f>
        <v>9.0254024009107976E+35</v>
      </c>
      <c r="UJO27" s="613">
        <f t="shared" ref="UJO27" si="7245">UJM27*$C$27</f>
        <v>9.1156564249199054E+35</v>
      </c>
      <c r="UJQ27" s="613">
        <f t="shared" ref="UJQ27" si="7246">UJO27*$C$27</f>
        <v>9.2068129891691044E+35</v>
      </c>
      <c r="UJS27" s="613">
        <f t="shared" ref="UJS27" si="7247">UJQ27*$C$27</f>
        <v>9.298881119060796E+35</v>
      </c>
      <c r="UJU27" s="613">
        <f t="shared" ref="UJU27" si="7248">UJS27*$C$27</f>
        <v>9.3918699302514047E+35</v>
      </c>
      <c r="UJW27" s="613">
        <f t="shared" ref="UJW27" si="7249">UJU27*$C$27</f>
        <v>9.4857886295539186E+35</v>
      </c>
      <c r="UJY27" s="613">
        <f t="shared" ref="UJY27" si="7250">UJW27*$C$27</f>
        <v>9.5806465158494577E+35</v>
      </c>
      <c r="UKA27" s="613">
        <f t="shared" ref="UKA27" si="7251">UJY27*$C$27</f>
        <v>9.6764529810079524E+35</v>
      </c>
      <c r="UKC27" s="613">
        <f t="shared" ref="UKC27" si="7252">UKA27*$C$27</f>
        <v>9.7732175108180325E+35</v>
      </c>
      <c r="UKE27" s="613">
        <f t="shared" ref="UKE27" si="7253">UKC27*$C$27</f>
        <v>9.8709496859262124E+35</v>
      </c>
      <c r="UKG27" s="613">
        <f t="shared" ref="UKG27" si="7254">UKE27*$C$27</f>
        <v>9.9696591827854747E+35</v>
      </c>
      <c r="UKI27" s="613">
        <f t="shared" ref="UKI27" si="7255">UKG27*$C$27</f>
        <v>1.006935577461333E+36</v>
      </c>
      <c r="UKK27" s="613">
        <f t="shared" ref="UKK27" si="7256">UKI27*$C$27</f>
        <v>1.0170049332359464E+36</v>
      </c>
      <c r="UKM27" s="613">
        <f t="shared" ref="UKM27" si="7257">UKK27*$C$27</f>
        <v>1.0271749825683059E+36</v>
      </c>
      <c r="UKO27" s="613">
        <f t="shared" ref="UKO27" si="7258">UKM27*$C$27</f>
        <v>1.0374467323939889E+36</v>
      </c>
      <c r="UKQ27" s="613">
        <f t="shared" ref="UKQ27" si="7259">UKO27*$C$27</f>
        <v>1.0478211997179288E+36</v>
      </c>
      <c r="UKS27" s="613">
        <f t="shared" ref="UKS27" si="7260">UKQ27*$C$27</f>
        <v>1.0582994117151081E+36</v>
      </c>
      <c r="UKU27" s="613">
        <f t="shared" ref="UKU27" si="7261">UKS27*$C$27</f>
        <v>1.0688824058322592E+36</v>
      </c>
      <c r="UKW27" s="613">
        <f t="shared" ref="UKW27" si="7262">UKU27*$C$27</f>
        <v>1.0795712298905817E+36</v>
      </c>
      <c r="UKY27" s="613">
        <f t="shared" ref="UKY27" si="7263">UKW27*$C$27</f>
        <v>1.0903669421894876E+36</v>
      </c>
      <c r="ULA27" s="613">
        <f t="shared" ref="ULA27" si="7264">UKY27*$C$27</f>
        <v>1.1012706116113825E+36</v>
      </c>
      <c r="ULC27" s="613">
        <f t="shared" ref="ULC27" si="7265">ULA27*$C$27</f>
        <v>1.1122833177274964E+36</v>
      </c>
      <c r="ULE27" s="613">
        <f t="shared" ref="ULE27" si="7266">ULC27*$C$27</f>
        <v>1.1234061509047713E+36</v>
      </c>
      <c r="ULG27" s="613">
        <f t="shared" ref="ULG27" si="7267">ULE27*$C$27</f>
        <v>1.134640212413819E+36</v>
      </c>
      <c r="ULI27" s="613">
        <f t="shared" ref="ULI27" si="7268">ULG27*$C$27</f>
        <v>1.1459866145379572E+36</v>
      </c>
      <c r="ULK27" s="613">
        <f t="shared" ref="ULK27" si="7269">ULI27*$C$27</f>
        <v>1.1574464806833368E+36</v>
      </c>
      <c r="ULM27" s="613">
        <f t="shared" ref="ULM27" si="7270">ULK27*$C$27</f>
        <v>1.1690209454901702E+36</v>
      </c>
      <c r="ULO27" s="613">
        <f t="shared" ref="ULO27" si="7271">ULM27*$C$27</f>
        <v>1.1807111549450719E+36</v>
      </c>
      <c r="ULQ27" s="613">
        <f t="shared" ref="ULQ27" si="7272">ULO27*$C$27</f>
        <v>1.1925182664945226E+36</v>
      </c>
      <c r="ULS27" s="613">
        <f t="shared" ref="ULS27" si="7273">ULQ27*$C$27</f>
        <v>1.2044434491594679E+36</v>
      </c>
      <c r="ULU27" s="613">
        <f t="shared" ref="ULU27" si="7274">ULS27*$C$27</f>
        <v>1.2164878836510625E+36</v>
      </c>
      <c r="ULW27" s="613">
        <f t="shared" ref="ULW27" si="7275">ULU27*$C$27</f>
        <v>1.2286527624875732E+36</v>
      </c>
      <c r="ULY27" s="613">
        <f t="shared" ref="ULY27" si="7276">ULW27*$C$27</f>
        <v>1.2409392901124489E+36</v>
      </c>
      <c r="UMA27" s="613">
        <f t="shared" ref="UMA27" si="7277">ULY27*$C$27</f>
        <v>1.2533486830135735E+36</v>
      </c>
      <c r="UMC27" s="613">
        <f t="shared" ref="UMC27" si="7278">UMA27*$C$27</f>
        <v>1.2658821698437093E+36</v>
      </c>
      <c r="UME27" s="613">
        <f t="shared" ref="UME27" si="7279">UMC27*$C$27</f>
        <v>1.2785409915421464E+36</v>
      </c>
      <c r="UMG27" s="613">
        <f t="shared" ref="UMG27" si="7280">UME27*$C$27</f>
        <v>1.2913264014575678E+36</v>
      </c>
      <c r="UMI27" s="613">
        <f t="shared" ref="UMI27" si="7281">UMG27*$C$27</f>
        <v>1.3042396654721436E+36</v>
      </c>
      <c r="UMK27" s="613">
        <f t="shared" ref="UMK27" si="7282">UMI27*$C$27</f>
        <v>1.3172820621268651E+36</v>
      </c>
      <c r="UMM27" s="613">
        <f t="shared" ref="UMM27" si="7283">UMK27*$C$27</f>
        <v>1.3304548827481337E+36</v>
      </c>
      <c r="UMO27" s="613">
        <f t="shared" ref="UMO27" si="7284">UMM27*$C$27</f>
        <v>1.343759431575615E+36</v>
      </c>
      <c r="UMQ27" s="613">
        <f t="shared" ref="UMQ27" si="7285">UMO27*$C$27</f>
        <v>1.3571970258913711E+36</v>
      </c>
      <c r="UMS27" s="613">
        <f t="shared" ref="UMS27" si="7286">UMQ27*$C$27</f>
        <v>1.3707689961502849E+36</v>
      </c>
      <c r="UMU27" s="613">
        <f t="shared" ref="UMU27" si="7287">UMS27*$C$27</f>
        <v>1.3844766861117878E+36</v>
      </c>
      <c r="UMW27" s="613">
        <f t="shared" ref="UMW27" si="7288">UMU27*$C$27</f>
        <v>1.3983214529729056E+36</v>
      </c>
      <c r="UMY27" s="613">
        <f t="shared" ref="UMY27" si="7289">UMW27*$C$27</f>
        <v>1.4123046675026346E+36</v>
      </c>
      <c r="UNA27" s="613">
        <f t="shared" ref="UNA27" si="7290">UMY27*$C$27</f>
        <v>1.4264277141776608E+36</v>
      </c>
      <c r="UNC27" s="613">
        <f t="shared" ref="UNC27" si="7291">UNA27*$C$27</f>
        <v>1.4406919913194375E+36</v>
      </c>
      <c r="UNE27" s="613">
        <f t="shared" ref="UNE27" si="7292">UNC27*$C$27</f>
        <v>1.4550989112326319E+36</v>
      </c>
      <c r="UNG27" s="613">
        <f t="shared" ref="UNG27" si="7293">UNE27*$C$27</f>
        <v>1.4696499003449582E+36</v>
      </c>
      <c r="UNI27" s="613">
        <f t="shared" ref="UNI27" si="7294">UNG27*$C$27</f>
        <v>1.4843463993484078E+36</v>
      </c>
      <c r="UNK27" s="613">
        <f t="shared" ref="UNK27" si="7295">UNI27*$C$27</f>
        <v>1.499189863341892E+36</v>
      </c>
      <c r="UNM27" s="613">
        <f t="shared" ref="UNM27" si="7296">UNK27*$C$27</f>
        <v>1.5141817619753108E+36</v>
      </c>
      <c r="UNO27" s="613">
        <f t="shared" ref="UNO27" si="7297">UNM27*$C$27</f>
        <v>1.5293235795950638E+36</v>
      </c>
      <c r="UNQ27" s="613">
        <f t="shared" ref="UNQ27" si="7298">UNO27*$C$27</f>
        <v>1.5446168153910144E+36</v>
      </c>
      <c r="UNS27" s="613">
        <f t="shared" ref="UNS27" si="7299">UNQ27*$C$27</f>
        <v>1.5600629835449246E+36</v>
      </c>
      <c r="UNU27" s="613">
        <f t="shared" ref="UNU27" si="7300">UNS27*$C$27</f>
        <v>1.5756636133803739E+36</v>
      </c>
      <c r="UNW27" s="613">
        <f t="shared" ref="UNW27" si="7301">UNU27*$C$27</f>
        <v>1.5914202495141777E+36</v>
      </c>
      <c r="UNY27" s="613">
        <f t="shared" ref="UNY27" si="7302">UNW27*$C$27</f>
        <v>1.6073344520093196E+36</v>
      </c>
      <c r="UOA27" s="613">
        <f t="shared" ref="UOA27" si="7303">UNY27*$C$27</f>
        <v>1.6234077965294127E+36</v>
      </c>
      <c r="UOC27" s="613">
        <f t="shared" ref="UOC27" si="7304">UOA27*$C$27</f>
        <v>1.639641874494707E+36</v>
      </c>
      <c r="UOE27" s="613">
        <f t="shared" ref="UOE27" si="7305">UOC27*$C$27</f>
        <v>1.6560382932396541E+36</v>
      </c>
      <c r="UOG27" s="613">
        <f t="shared" ref="UOG27" si="7306">UOE27*$C$27</f>
        <v>1.6725986761720508E+36</v>
      </c>
      <c r="UOI27" s="613">
        <f t="shared" ref="UOI27" si="7307">UOG27*$C$27</f>
        <v>1.6893246629337712E+36</v>
      </c>
      <c r="UOK27" s="613">
        <f t="shared" ref="UOK27" si="7308">UOI27*$C$27</f>
        <v>1.706217909563109E+36</v>
      </c>
      <c r="UOM27" s="613">
        <f t="shared" ref="UOM27" si="7309">UOK27*$C$27</f>
        <v>1.7232800886587403E+36</v>
      </c>
      <c r="UOO27" s="613">
        <f t="shared" ref="UOO27" si="7310">UOM27*$C$27</f>
        <v>1.7405128895453278E+36</v>
      </c>
      <c r="UOQ27" s="613">
        <f t="shared" ref="UOQ27" si="7311">UOO27*$C$27</f>
        <v>1.757918018440781E+36</v>
      </c>
      <c r="UOS27" s="613">
        <f t="shared" ref="UOS27" si="7312">UOQ27*$C$27</f>
        <v>1.7754971986251887E+36</v>
      </c>
      <c r="UOU27" s="613">
        <f t="shared" ref="UOU27" si="7313">UOS27*$C$27</f>
        <v>1.7932521706114406E+36</v>
      </c>
      <c r="UOW27" s="613">
        <f t="shared" ref="UOW27" si="7314">UOU27*$C$27</f>
        <v>1.811184692317555E+36</v>
      </c>
      <c r="UOY27" s="613">
        <f t="shared" ref="UOY27" si="7315">UOW27*$C$27</f>
        <v>1.8292965392407307E+36</v>
      </c>
      <c r="UPA27" s="613">
        <f t="shared" ref="UPA27" si="7316">UOY27*$C$27</f>
        <v>1.8475895046331381E+36</v>
      </c>
      <c r="UPC27" s="613">
        <f t="shared" ref="UPC27" si="7317">UPA27*$C$27</f>
        <v>1.8660653996794695E+36</v>
      </c>
      <c r="UPE27" s="613">
        <f t="shared" ref="UPE27" si="7318">UPC27*$C$27</f>
        <v>1.8847260536762642E+36</v>
      </c>
      <c r="UPG27" s="613">
        <f t="shared" ref="UPG27" si="7319">UPE27*$C$27</f>
        <v>1.9035733142130269E+36</v>
      </c>
      <c r="UPI27" s="613">
        <f t="shared" ref="UPI27" si="7320">UPG27*$C$27</f>
        <v>1.9226090473551572E+36</v>
      </c>
      <c r="UPK27" s="613">
        <f t="shared" ref="UPK27" si="7321">UPI27*$C$27</f>
        <v>1.9418351378287088E+36</v>
      </c>
      <c r="UPM27" s="613">
        <f t="shared" ref="UPM27" si="7322">UPK27*$C$27</f>
        <v>1.9612534892069961E+36</v>
      </c>
      <c r="UPO27" s="613">
        <f t="shared" ref="UPO27" si="7323">UPM27*$C$27</f>
        <v>1.9808660240990659E+36</v>
      </c>
      <c r="UPQ27" s="613">
        <f t="shared" ref="UPQ27" si="7324">UPO27*$C$27</f>
        <v>2.0006746843400567E+36</v>
      </c>
      <c r="UPS27" s="613">
        <f t="shared" ref="UPS27" si="7325">UPQ27*$C$27</f>
        <v>2.0206814311834573E+36</v>
      </c>
      <c r="UPU27" s="613">
        <f t="shared" ref="UPU27" si="7326">UPS27*$C$27</f>
        <v>2.040888245495292E+36</v>
      </c>
      <c r="UPW27" s="613">
        <f t="shared" ref="UPW27" si="7327">UPU27*$C$27</f>
        <v>2.0612971279502448E+36</v>
      </c>
      <c r="UPY27" s="613">
        <f t="shared" ref="UPY27" si="7328">UPW27*$C$27</f>
        <v>2.0819100992297473E+36</v>
      </c>
      <c r="UQA27" s="613">
        <f t="shared" ref="UQA27" si="7329">UPY27*$C$27</f>
        <v>2.1027292002220449E+36</v>
      </c>
      <c r="UQC27" s="613">
        <f t="shared" ref="UQC27" si="7330">UQA27*$C$27</f>
        <v>2.1237564922242653E+36</v>
      </c>
      <c r="UQE27" s="613">
        <f t="shared" ref="UQE27" si="7331">UQC27*$C$27</f>
        <v>2.1449940571465079E+36</v>
      </c>
      <c r="UQG27" s="613">
        <f t="shared" ref="UQG27" si="7332">UQE27*$C$27</f>
        <v>2.1664439977179731E+36</v>
      </c>
      <c r="UQI27" s="613">
        <f t="shared" ref="UQI27" si="7333">UQG27*$C$27</f>
        <v>2.1881084376951529E+36</v>
      </c>
      <c r="UQK27" s="613">
        <f t="shared" ref="UQK27" si="7334">UQI27*$C$27</f>
        <v>2.2099895220721044E+36</v>
      </c>
      <c r="UQM27" s="613">
        <f t="shared" ref="UQM27" si="7335">UQK27*$C$27</f>
        <v>2.2320894172928254E+36</v>
      </c>
      <c r="UQO27" s="613">
        <f t="shared" ref="UQO27" si="7336">UQM27*$C$27</f>
        <v>2.2544103114657536E+36</v>
      </c>
      <c r="UQQ27" s="613">
        <f t="shared" ref="UQQ27" si="7337">UQO27*$C$27</f>
        <v>2.2769544145804112E+36</v>
      </c>
      <c r="UQS27" s="613">
        <f t="shared" ref="UQS27" si="7338">UQQ27*$C$27</f>
        <v>2.2997239587262152E+36</v>
      </c>
      <c r="UQU27" s="613">
        <f t="shared" ref="UQU27" si="7339">UQS27*$C$27</f>
        <v>2.3227211983134774E+36</v>
      </c>
      <c r="UQW27" s="613">
        <f t="shared" ref="UQW27" si="7340">UQU27*$C$27</f>
        <v>2.3459484102966121E+36</v>
      </c>
      <c r="UQY27" s="613">
        <f t="shared" ref="UQY27" si="7341">UQW27*$C$27</f>
        <v>2.3694078943995782E+36</v>
      </c>
      <c r="URA27" s="613">
        <f t="shared" ref="URA27" si="7342">UQY27*$C$27</f>
        <v>2.3931019733435739E+36</v>
      </c>
      <c r="URC27" s="613">
        <f t="shared" ref="URC27" si="7343">URA27*$C$27</f>
        <v>2.4170329930770098E+36</v>
      </c>
      <c r="URE27" s="613">
        <f t="shared" ref="URE27" si="7344">URC27*$C$27</f>
        <v>2.4412033230077798E+36</v>
      </c>
      <c r="URG27" s="613">
        <f t="shared" ref="URG27" si="7345">URE27*$C$27</f>
        <v>2.4656153562378577E+36</v>
      </c>
      <c r="URI27" s="613">
        <f t="shared" ref="URI27" si="7346">URG27*$C$27</f>
        <v>2.4902715098002364E+36</v>
      </c>
      <c r="URK27" s="613">
        <f t="shared" ref="URK27" si="7347">URI27*$C$27</f>
        <v>2.5151742248982386E+36</v>
      </c>
      <c r="URM27" s="613">
        <f t="shared" ref="URM27" si="7348">URK27*$C$27</f>
        <v>2.540325967147221E+36</v>
      </c>
      <c r="URO27" s="613">
        <f t="shared" ref="URO27" si="7349">URM27*$C$27</f>
        <v>2.5657292268186933E+36</v>
      </c>
      <c r="URQ27" s="613">
        <f t="shared" ref="URQ27" si="7350">URO27*$C$27</f>
        <v>2.5913865190868801E+36</v>
      </c>
      <c r="URS27" s="613">
        <f t="shared" ref="URS27" si="7351">URQ27*$C$27</f>
        <v>2.6173003842777489E+36</v>
      </c>
      <c r="URU27" s="613">
        <f t="shared" ref="URU27" si="7352">URS27*$C$27</f>
        <v>2.6434733881205265E+36</v>
      </c>
      <c r="URW27" s="613">
        <f t="shared" ref="URW27" si="7353">URU27*$C$27</f>
        <v>2.6699081220017318E+36</v>
      </c>
      <c r="URY27" s="613">
        <f t="shared" ref="URY27" si="7354">URW27*$C$27</f>
        <v>2.6966072032217489E+36</v>
      </c>
      <c r="USA27" s="613">
        <f t="shared" ref="USA27" si="7355">URY27*$C$27</f>
        <v>2.7235732752539665E+36</v>
      </c>
      <c r="USC27" s="613">
        <f t="shared" ref="USC27" si="7356">USA27*$C$27</f>
        <v>2.750809008006506E+36</v>
      </c>
      <c r="USE27" s="613">
        <f t="shared" ref="USE27" si="7357">USC27*$C$27</f>
        <v>2.7783170980865713E+36</v>
      </c>
      <c r="USG27" s="613">
        <f t="shared" ref="USG27" si="7358">USE27*$C$27</f>
        <v>2.8061002690674372E+36</v>
      </c>
      <c r="USI27" s="613">
        <f t="shared" ref="USI27" si="7359">USG27*$C$27</f>
        <v>2.8341612717581118E+36</v>
      </c>
      <c r="USK27" s="613">
        <f t="shared" ref="USK27" si="7360">USI27*$C$27</f>
        <v>2.8625028844756927E+36</v>
      </c>
      <c r="USM27" s="613">
        <f t="shared" ref="USM27" si="7361">USK27*$C$27</f>
        <v>2.8911279133204498E+36</v>
      </c>
      <c r="USO27" s="613">
        <f t="shared" ref="USO27" si="7362">USM27*$C$27</f>
        <v>2.9200391924536544E+36</v>
      </c>
      <c r="USQ27" s="613">
        <f t="shared" ref="USQ27" si="7363">USO27*$C$27</f>
        <v>2.9492395843781911E+36</v>
      </c>
      <c r="USS27" s="613">
        <f t="shared" ref="USS27" si="7364">USQ27*$C$27</f>
        <v>2.9787319802219729E+36</v>
      </c>
      <c r="USU27" s="613">
        <f t="shared" ref="USU27" si="7365">USS27*$C$27</f>
        <v>3.0085193000241926E+36</v>
      </c>
      <c r="USW27" s="613">
        <f t="shared" ref="USW27" si="7366">USU27*$C$27</f>
        <v>3.0386044930244347E+36</v>
      </c>
      <c r="USY27" s="613">
        <f t="shared" ref="USY27" si="7367">USW27*$C$27</f>
        <v>3.0689905379546791E+36</v>
      </c>
      <c r="UTA27" s="613">
        <f t="shared" ref="UTA27" si="7368">USY27*$C$27</f>
        <v>3.0996804433342257E+36</v>
      </c>
      <c r="UTC27" s="613">
        <f t="shared" ref="UTC27" si="7369">UTA27*$C$27</f>
        <v>3.1306772477675679E+36</v>
      </c>
      <c r="UTE27" s="613">
        <f t="shared" ref="UTE27" si="7370">UTC27*$C$27</f>
        <v>3.1619840202452436E+36</v>
      </c>
      <c r="UTG27" s="613">
        <f t="shared" ref="UTG27" si="7371">UTE27*$C$27</f>
        <v>3.1936038604476963E+36</v>
      </c>
      <c r="UTI27" s="613">
        <f t="shared" ref="UTI27" si="7372">UTG27*$C$27</f>
        <v>3.2255398990521736E+36</v>
      </c>
      <c r="UTK27" s="613">
        <f t="shared" ref="UTK27" si="7373">UTI27*$C$27</f>
        <v>3.2577952980426953E+36</v>
      </c>
      <c r="UTM27" s="613">
        <f t="shared" ref="UTM27" si="7374">UTK27*$C$27</f>
        <v>3.2903732510231222E+36</v>
      </c>
      <c r="UTO27" s="613">
        <f t="shared" ref="UTO27" si="7375">UTM27*$C$27</f>
        <v>3.3232769835333537E+36</v>
      </c>
      <c r="UTQ27" s="613">
        <f t="shared" ref="UTQ27" si="7376">UTO27*$C$27</f>
        <v>3.3565097533686874E+36</v>
      </c>
      <c r="UTS27" s="613">
        <f t="shared" ref="UTS27" si="7377">UTQ27*$C$27</f>
        <v>3.3900748509023744E+36</v>
      </c>
      <c r="UTU27" s="613">
        <f t="shared" ref="UTU27" si="7378">UTS27*$C$27</f>
        <v>3.4239755994113979E+36</v>
      </c>
      <c r="UTW27" s="613">
        <f t="shared" ref="UTW27" si="7379">UTU27*$C$27</f>
        <v>3.4582153554055119E+36</v>
      </c>
      <c r="UTY27" s="613">
        <f t="shared" ref="UTY27" si="7380">UTW27*$C$27</f>
        <v>3.492797508959567E+36</v>
      </c>
      <c r="UUA27" s="613">
        <f t="shared" ref="UUA27" si="7381">UTY27*$C$27</f>
        <v>3.5277254840491626E+36</v>
      </c>
      <c r="UUC27" s="613">
        <f t="shared" ref="UUC27" si="7382">UUA27*$C$27</f>
        <v>3.5630027388896541E+36</v>
      </c>
      <c r="UUE27" s="613">
        <f t="shared" ref="UUE27" si="7383">UUC27*$C$27</f>
        <v>3.5986327662785506E+36</v>
      </c>
      <c r="UUG27" s="613">
        <f t="shared" ref="UUG27" si="7384">UUE27*$C$27</f>
        <v>3.6346190939413359E+36</v>
      </c>
      <c r="UUI27" s="613">
        <f t="shared" ref="UUI27" si="7385">UUG27*$C$27</f>
        <v>3.6709652848807495E+36</v>
      </c>
      <c r="UUK27" s="613">
        <f t="shared" ref="UUK27" si="7386">UUI27*$C$27</f>
        <v>3.7076749377295568E+36</v>
      </c>
      <c r="UUM27" s="613">
        <f t="shared" ref="UUM27" si="7387">UUK27*$C$27</f>
        <v>3.7447516871068521E+36</v>
      </c>
      <c r="UUO27" s="613">
        <f t="shared" ref="UUO27" si="7388">UUM27*$C$27</f>
        <v>3.7821992039779209E+36</v>
      </c>
      <c r="UUQ27" s="613">
        <f t="shared" ref="UUQ27" si="7389">UUO27*$C$27</f>
        <v>3.8200211960177003E+36</v>
      </c>
      <c r="UUS27" s="613">
        <f t="shared" ref="UUS27" si="7390">UUQ27*$C$27</f>
        <v>3.858221407977877E+36</v>
      </c>
      <c r="UUU27" s="613">
        <f t="shared" ref="UUU27" si="7391">UUS27*$C$27</f>
        <v>3.8968036220576559E+36</v>
      </c>
      <c r="UUW27" s="613">
        <f t="shared" ref="UUW27" si="7392">UUU27*$C$27</f>
        <v>3.9357716582782328E+36</v>
      </c>
      <c r="UUY27" s="613">
        <f t="shared" ref="UUY27" si="7393">UUW27*$C$27</f>
        <v>3.975129374861015E+36</v>
      </c>
      <c r="UVA27" s="613">
        <f t="shared" ref="UVA27" si="7394">UUY27*$C$27</f>
        <v>4.0148806686096249E+36</v>
      </c>
      <c r="UVC27" s="613">
        <f t="shared" ref="UVC27" si="7395">UVA27*$C$27</f>
        <v>4.0550294752957214E+36</v>
      </c>
      <c r="UVE27" s="613">
        <f t="shared" ref="UVE27" si="7396">UVC27*$C$27</f>
        <v>4.0955797700486787E+36</v>
      </c>
      <c r="UVG27" s="613">
        <f t="shared" ref="UVG27" si="7397">UVE27*$C$27</f>
        <v>4.1365355677491658E+36</v>
      </c>
      <c r="UVI27" s="613">
        <f t="shared" ref="UVI27" si="7398">UVG27*$C$27</f>
        <v>4.1779009234266573E+36</v>
      </c>
      <c r="UVK27" s="613">
        <f t="shared" ref="UVK27" si="7399">UVI27*$C$27</f>
        <v>4.2196799326609239E+36</v>
      </c>
      <c r="UVM27" s="613">
        <f t="shared" ref="UVM27" si="7400">UVK27*$C$27</f>
        <v>4.2618767319875331E+36</v>
      </c>
      <c r="UVO27" s="613">
        <f t="shared" ref="UVO27" si="7401">UVM27*$C$27</f>
        <v>4.3044954993074087E+36</v>
      </c>
      <c r="UVQ27" s="613">
        <f t="shared" ref="UVQ27" si="7402">UVO27*$C$27</f>
        <v>4.3475404543004831E+36</v>
      </c>
      <c r="UVS27" s="613">
        <f t="shared" ref="UVS27" si="7403">UVQ27*$C$27</f>
        <v>4.391015858843488E+36</v>
      </c>
      <c r="UVU27" s="613">
        <f t="shared" ref="UVU27" si="7404">UVS27*$C$27</f>
        <v>4.4349260174319232E+36</v>
      </c>
      <c r="UVW27" s="613">
        <f t="shared" ref="UVW27" si="7405">UVU27*$C$27</f>
        <v>4.4792752776062426E+36</v>
      </c>
      <c r="UVY27" s="613">
        <f t="shared" ref="UVY27" si="7406">UVW27*$C$27</f>
        <v>4.5240680303823051E+36</v>
      </c>
      <c r="UWA27" s="613">
        <f t="shared" ref="UWA27" si="7407">UVY27*$C$27</f>
        <v>4.5693087106861284E+36</v>
      </c>
      <c r="UWC27" s="613">
        <f t="shared" ref="UWC27" si="7408">UWA27*$C$27</f>
        <v>4.6150017977929895E+36</v>
      </c>
      <c r="UWE27" s="613">
        <f t="shared" ref="UWE27" si="7409">UWC27*$C$27</f>
        <v>4.6611518157709195E+36</v>
      </c>
      <c r="UWG27" s="613">
        <f t="shared" ref="UWG27" si="7410">UWE27*$C$27</f>
        <v>4.707763333928629E+36</v>
      </c>
      <c r="UWI27" s="613">
        <f t="shared" ref="UWI27" si="7411">UWG27*$C$27</f>
        <v>4.7548409672679153E+36</v>
      </c>
      <c r="UWK27" s="613">
        <f t="shared" ref="UWK27" si="7412">UWI27*$C$27</f>
        <v>4.8023893769405947E+36</v>
      </c>
      <c r="UWM27" s="613">
        <f t="shared" ref="UWM27" si="7413">UWK27*$C$27</f>
        <v>4.8504132707100008E+36</v>
      </c>
      <c r="UWO27" s="613">
        <f t="shared" ref="UWO27" si="7414">UWM27*$C$27</f>
        <v>4.8989174034171007E+36</v>
      </c>
      <c r="UWQ27" s="613">
        <f t="shared" ref="UWQ27" si="7415">UWO27*$C$27</f>
        <v>4.9479065774512714E+36</v>
      </c>
      <c r="UWS27" s="613">
        <f t="shared" ref="UWS27" si="7416">UWQ27*$C$27</f>
        <v>4.9973856432257843E+36</v>
      </c>
      <c r="UWU27" s="613">
        <f t="shared" ref="UWU27" si="7417">UWS27*$C$27</f>
        <v>5.047359499658042E+36</v>
      </c>
      <c r="UWW27" s="613">
        <f t="shared" ref="UWW27" si="7418">UWU27*$C$27</f>
        <v>5.0978330946546225E+36</v>
      </c>
      <c r="UWY27" s="613">
        <f t="shared" ref="UWY27" si="7419">UWW27*$C$27</f>
        <v>5.1488114256011685E+36</v>
      </c>
      <c r="UXA27" s="613">
        <f t="shared" ref="UXA27" si="7420">UWY27*$C$27</f>
        <v>5.2002995398571805E+36</v>
      </c>
      <c r="UXC27" s="613">
        <f t="shared" ref="UXC27" si="7421">UXA27*$C$27</f>
        <v>5.2523025352557522E+36</v>
      </c>
      <c r="UXE27" s="613">
        <f t="shared" ref="UXE27" si="7422">UXC27*$C$27</f>
        <v>5.3048255606083096E+36</v>
      </c>
      <c r="UXG27" s="613">
        <f t="shared" ref="UXG27" si="7423">UXE27*$C$27</f>
        <v>5.3578738162143932E+36</v>
      </c>
      <c r="UXI27" s="613">
        <f t="shared" ref="UXI27" si="7424">UXG27*$C$27</f>
        <v>5.4114525543765369E+36</v>
      </c>
      <c r="UXK27" s="613">
        <f t="shared" ref="UXK27" si="7425">UXI27*$C$27</f>
        <v>5.4655670799203026E+36</v>
      </c>
      <c r="UXM27" s="613">
        <f t="shared" ref="UXM27" si="7426">UXK27*$C$27</f>
        <v>5.5202227507195059E+36</v>
      </c>
      <c r="UXO27" s="613">
        <f t="shared" ref="UXO27" si="7427">UXM27*$C$27</f>
        <v>5.5754249782267012E+36</v>
      </c>
      <c r="UXQ27" s="613">
        <f t="shared" ref="UXQ27" si="7428">UXO27*$C$27</f>
        <v>5.6311792280089681E+36</v>
      </c>
      <c r="UXS27" s="613">
        <f t="shared" ref="UXS27" si="7429">UXQ27*$C$27</f>
        <v>5.6874910202890574E+36</v>
      </c>
      <c r="UXU27" s="613">
        <f t="shared" ref="UXU27" si="7430">UXS27*$C$27</f>
        <v>5.7443659304919479E+36</v>
      </c>
      <c r="UXW27" s="613">
        <f t="shared" ref="UXW27" si="7431">UXU27*$C$27</f>
        <v>5.8018095897968676E+36</v>
      </c>
      <c r="UXY27" s="613">
        <f t="shared" ref="UXY27" si="7432">UXW27*$C$27</f>
        <v>5.8598276856948362E+36</v>
      </c>
      <c r="UYA27" s="613">
        <f t="shared" ref="UYA27" si="7433">UXY27*$C$27</f>
        <v>5.918425962551784E+36</v>
      </c>
      <c r="UYC27" s="613">
        <f t="shared" ref="UYC27" si="7434">UYA27*$C$27</f>
        <v>5.9776102221773018E+36</v>
      </c>
      <c r="UYE27" s="613">
        <f t="shared" ref="UYE27" si="7435">UYC27*$C$27</f>
        <v>6.0373863243990751E+36</v>
      </c>
      <c r="UYG27" s="613">
        <f t="shared" ref="UYG27" si="7436">UYE27*$C$27</f>
        <v>6.0977601876430664E+36</v>
      </c>
      <c r="UYI27" s="613">
        <f t="shared" ref="UYI27" si="7437">UYG27*$C$27</f>
        <v>6.1587377895194966E+36</v>
      </c>
      <c r="UYK27" s="613">
        <f t="shared" ref="UYK27" si="7438">UYI27*$C$27</f>
        <v>6.2203251674146911E+36</v>
      </c>
      <c r="UYM27" s="613">
        <f t="shared" ref="UYM27" si="7439">UYK27*$C$27</f>
        <v>6.2825284190888385E+36</v>
      </c>
      <c r="UYO27" s="613">
        <f t="shared" ref="UYO27" si="7440">UYM27*$C$27</f>
        <v>6.3453537032797266E+36</v>
      </c>
      <c r="UYQ27" s="613">
        <f t="shared" ref="UYQ27" si="7441">UYO27*$C$27</f>
        <v>6.4088072403125237E+36</v>
      </c>
      <c r="UYS27" s="613">
        <f t="shared" ref="UYS27" si="7442">UYQ27*$C$27</f>
        <v>6.4728953127156487E+36</v>
      </c>
      <c r="UYU27" s="613">
        <f t="shared" ref="UYU27" si="7443">UYS27*$C$27</f>
        <v>6.5376242658428054E+36</v>
      </c>
      <c r="UYW27" s="613">
        <f t="shared" ref="UYW27" si="7444">UYU27*$C$27</f>
        <v>6.6030005085012339E+36</v>
      </c>
      <c r="UYY27" s="613">
        <f t="shared" ref="UYY27" si="7445">UYW27*$C$27</f>
        <v>6.6690305135862458E+36</v>
      </c>
      <c r="UZA27" s="613">
        <f t="shared" ref="UZA27" si="7446">UYY27*$C$27</f>
        <v>6.735720818722108E+36</v>
      </c>
      <c r="UZC27" s="613">
        <f t="shared" ref="UZC27" si="7447">UZA27*$C$27</f>
        <v>6.8030780269093287E+36</v>
      </c>
      <c r="UZE27" s="613">
        <f t="shared" ref="UZE27" si="7448">UZC27*$C$27</f>
        <v>6.8711088071784222E+36</v>
      </c>
      <c r="UZG27" s="613">
        <f t="shared" ref="UZG27" si="7449">UZE27*$C$27</f>
        <v>6.9398198952502062E+36</v>
      </c>
      <c r="UZI27" s="613">
        <f t="shared" ref="UZI27" si="7450">UZG27*$C$27</f>
        <v>7.0092180942027081E+36</v>
      </c>
      <c r="UZK27" s="613">
        <f t="shared" ref="UZK27" si="7451">UZI27*$C$27</f>
        <v>7.0793102751447353E+36</v>
      </c>
      <c r="UZM27" s="613">
        <f t="shared" ref="UZM27" si="7452">UZK27*$C$27</f>
        <v>7.1501033778961827E+36</v>
      </c>
      <c r="UZO27" s="613">
        <f t="shared" ref="UZO27" si="7453">UZM27*$C$27</f>
        <v>7.2216044116751441E+36</v>
      </c>
      <c r="UZQ27" s="613">
        <f t="shared" ref="UZQ27" si="7454">UZO27*$C$27</f>
        <v>7.2938204557918961E+36</v>
      </c>
      <c r="UZS27" s="613">
        <f t="shared" ref="UZS27" si="7455">UZQ27*$C$27</f>
        <v>7.3667586603498149E+36</v>
      </c>
      <c r="UZU27" s="613">
        <f t="shared" ref="UZU27" si="7456">UZS27*$C$27</f>
        <v>7.4404262469533137E+36</v>
      </c>
      <c r="UZW27" s="613">
        <f t="shared" ref="UZW27" si="7457">UZU27*$C$27</f>
        <v>7.5148305094228466E+36</v>
      </c>
      <c r="UZY27" s="613">
        <f t="shared" ref="UZY27" si="7458">UZW27*$C$27</f>
        <v>7.5899788145170755E+36</v>
      </c>
      <c r="VAA27" s="613">
        <f t="shared" ref="VAA27" si="7459">UZY27*$C$27</f>
        <v>7.6658786026622462E+36</v>
      </c>
      <c r="VAC27" s="613">
        <f t="shared" ref="VAC27" si="7460">VAA27*$C$27</f>
        <v>7.7425373886888689E+36</v>
      </c>
      <c r="VAE27" s="613">
        <f t="shared" ref="VAE27" si="7461">VAC27*$C$27</f>
        <v>7.8199627625757582E+36</v>
      </c>
      <c r="VAG27" s="613">
        <f t="shared" ref="VAG27" si="7462">VAE27*$C$27</f>
        <v>7.8981623902015155E+36</v>
      </c>
      <c r="VAI27" s="613">
        <f t="shared" ref="VAI27" si="7463">VAG27*$C$27</f>
        <v>7.9771440141035312E+36</v>
      </c>
      <c r="VAK27" s="613">
        <f t="shared" ref="VAK27" si="7464">VAI27*$C$27</f>
        <v>8.0569154542445663E+36</v>
      </c>
      <c r="VAM27" s="613">
        <f t="shared" ref="VAM27" si="7465">VAK27*$C$27</f>
        <v>8.137484608787012E+36</v>
      </c>
      <c r="VAO27" s="613">
        <f t="shared" ref="VAO27" si="7466">VAM27*$C$27</f>
        <v>8.2188594548748825E+36</v>
      </c>
      <c r="VAQ27" s="613">
        <f t="shared" ref="VAQ27" si="7467">VAO27*$C$27</f>
        <v>8.301048049423632E+36</v>
      </c>
      <c r="VAS27" s="613">
        <f t="shared" ref="VAS27" si="7468">VAQ27*$C$27</f>
        <v>8.3840585299178688E+36</v>
      </c>
      <c r="VAU27" s="613">
        <f t="shared" ref="VAU27" si="7469">VAS27*$C$27</f>
        <v>8.4678991152170476E+36</v>
      </c>
      <c r="VAW27" s="613">
        <f t="shared" ref="VAW27" si="7470">VAU27*$C$27</f>
        <v>8.5525781063692183E+36</v>
      </c>
      <c r="VAY27" s="613">
        <f t="shared" ref="VAY27" si="7471">VAW27*$C$27</f>
        <v>8.6381038874329103E+36</v>
      </c>
      <c r="VBA27" s="613">
        <f t="shared" ref="VBA27" si="7472">VAY27*$C$27</f>
        <v>8.7244849263072391E+36</v>
      </c>
      <c r="VBC27" s="613">
        <f t="shared" ref="VBC27" si="7473">VBA27*$C$27</f>
        <v>8.811729775570311E+36</v>
      </c>
      <c r="VBE27" s="613">
        <f t="shared" ref="VBE27" si="7474">VBC27*$C$27</f>
        <v>8.8998470733260142E+36</v>
      </c>
      <c r="VBG27" s="613">
        <f t="shared" ref="VBG27" si="7475">VBE27*$C$27</f>
        <v>8.9888455440592744E+36</v>
      </c>
      <c r="VBI27" s="613">
        <f t="shared" ref="VBI27" si="7476">VBG27*$C$27</f>
        <v>9.078733999499867E+36</v>
      </c>
      <c r="VBK27" s="613">
        <f t="shared" ref="VBK27" si="7477">VBI27*$C$27</f>
        <v>9.1695213394948657E+36</v>
      </c>
      <c r="VBM27" s="613">
        <f t="shared" ref="VBM27" si="7478">VBK27*$C$27</f>
        <v>9.261216552889814E+36</v>
      </c>
      <c r="VBO27" s="613">
        <f t="shared" ref="VBO27" si="7479">VBM27*$C$27</f>
        <v>9.3538287184187124E+36</v>
      </c>
      <c r="VBQ27" s="613">
        <f t="shared" ref="VBQ27" si="7480">VBO27*$C$27</f>
        <v>9.4473670056028994E+36</v>
      </c>
      <c r="VBS27" s="613">
        <f t="shared" ref="VBS27" si="7481">VBQ27*$C$27</f>
        <v>9.5418406756589289E+36</v>
      </c>
      <c r="VBU27" s="613">
        <f t="shared" ref="VBU27" si="7482">VBS27*$C$27</f>
        <v>9.6372590824155188E+36</v>
      </c>
      <c r="VBW27" s="613">
        <f t="shared" ref="VBW27" si="7483">VBU27*$C$27</f>
        <v>9.7336316732396741E+36</v>
      </c>
      <c r="VBY27" s="613">
        <f t="shared" ref="VBY27" si="7484">VBW27*$C$27</f>
        <v>9.8309679899720707E+36</v>
      </c>
      <c r="VCA27" s="613">
        <f t="shared" ref="VCA27" si="7485">VBY27*$C$27</f>
        <v>9.9292776698717911E+36</v>
      </c>
      <c r="VCC27" s="613">
        <f t="shared" ref="VCC27" si="7486">VCA27*$C$27</f>
        <v>1.0028570446570509E+37</v>
      </c>
      <c r="VCE27" s="613">
        <f t="shared" ref="VCE27" si="7487">VCC27*$C$27</f>
        <v>1.0128856151036214E+37</v>
      </c>
      <c r="VCG27" s="613">
        <f t="shared" ref="VCG27" si="7488">VCE27*$C$27</f>
        <v>1.0230144712546577E+37</v>
      </c>
      <c r="VCI27" s="613">
        <f t="shared" ref="VCI27" si="7489">VCG27*$C$27</f>
        <v>1.0332446159672042E+37</v>
      </c>
      <c r="VCK27" s="613">
        <f t="shared" ref="VCK27" si="7490">VCI27*$C$27</f>
        <v>1.0435770621268763E+37</v>
      </c>
      <c r="VCM27" s="613">
        <f t="shared" ref="VCM27" si="7491">VCK27*$C$27</f>
        <v>1.054012832748145E+37</v>
      </c>
      <c r="VCO27" s="613">
        <f t="shared" ref="VCO27" si="7492">VCM27*$C$27</f>
        <v>1.0645529610756265E+37</v>
      </c>
      <c r="VCQ27" s="613">
        <f t="shared" ref="VCQ27" si="7493">VCO27*$C$27</f>
        <v>1.0751984906863828E+37</v>
      </c>
      <c r="VCS27" s="613">
        <f t="shared" ref="VCS27" si="7494">VCQ27*$C$27</f>
        <v>1.0859504755932466E+37</v>
      </c>
      <c r="VCU27" s="613">
        <f t="shared" ref="VCU27" si="7495">VCS27*$C$27</f>
        <v>1.0968099803491791E+37</v>
      </c>
      <c r="VCW27" s="613">
        <f t="shared" ref="VCW27" si="7496">VCU27*$C$27</f>
        <v>1.1077780801526709E+37</v>
      </c>
      <c r="VCY27" s="613">
        <f t="shared" ref="VCY27" si="7497">VCW27*$C$27</f>
        <v>1.1188558609541975E+37</v>
      </c>
      <c r="VDA27" s="613">
        <f t="shared" ref="VDA27" si="7498">VCY27*$C$27</f>
        <v>1.1300444195637395E+37</v>
      </c>
      <c r="VDC27" s="613">
        <f t="shared" ref="VDC27" si="7499">VDA27*$C$27</f>
        <v>1.141344863759377E+37</v>
      </c>
      <c r="VDE27" s="613">
        <f t="shared" ref="VDE27" si="7500">VDC27*$C$27</f>
        <v>1.1527583123969708E+37</v>
      </c>
      <c r="VDG27" s="613">
        <f t="shared" ref="VDG27" si="7501">VDE27*$C$27</f>
        <v>1.1642858955209405E+37</v>
      </c>
      <c r="VDI27" s="613">
        <f t="shared" ref="VDI27" si="7502">VDG27*$C$27</f>
        <v>1.1759287544761499E+37</v>
      </c>
      <c r="VDK27" s="613">
        <f t="shared" ref="VDK27" si="7503">VDI27*$C$27</f>
        <v>1.1876880420209115E+37</v>
      </c>
      <c r="VDM27" s="613">
        <f t="shared" ref="VDM27" si="7504">VDK27*$C$27</f>
        <v>1.1995649224411206E+37</v>
      </c>
      <c r="VDO27" s="613">
        <f t="shared" ref="VDO27" si="7505">VDM27*$C$27</f>
        <v>1.2115605716655318E+37</v>
      </c>
      <c r="VDQ27" s="613">
        <f t="shared" ref="VDQ27" si="7506">VDO27*$C$27</f>
        <v>1.2236761773821872E+37</v>
      </c>
      <c r="VDS27" s="613">
        <f t="shared" ref="VDS27" si="7507">VDQ27*$C$27</f>
        <v>1.2359129391560091E+37</v>
      </c>
      <c r="VDU27" s="613">
        <f t="shared" ref="VDU27" si="7508">VDS27*$C$27</f>
        <v>1.2482720685475692E+37</v>
      </c>
      <c r="VDW27" s="613">
        <f t="shared" ref="VDW27" si="7509">VDU27*$C$27</f>
        <v>1.2607547892330451E+37</v>
      </c>
      <c r="VDY27" s="613">
        <f t="shared" ref="VDY27" si="7510">VDW27*$C$27</f>
        <v>1.2733623371253755E+37</v>
      </c>
      <c r="VEA27" s="613">
        <f t="shared" ref="VEA27" si="7511">VDY27*$C$27</f>
        <v>1.2860959604966294E+37</v>
      </c>
      <c r="VEC27" s="613">
        <f t="shared" ref="VEC27" si="7512">VEA27*$C$27</f>
        <v>1.2989569201015958E+37</v>
      </c>
      <c r="VEE27" s="613">
        <f t="shared" ref="VEE27" si="7513">VEC27*$C$27</f>
        <v>1.3119464893026117E+37</v>
      </c>
      <c r="VEG27" s="613">
        <f t="shared" ref="VEG27" si="7514">VEE27*$C$27</f>
        <v>1.3250659541956378E+37</v>
      </c>
      <c r="VEI27" s="613">
        <f t="shared" ref="VEI27" si="7515">VEG27*$C$27</f>
        <v>1.3383166137375941E+37</v>
      </c>
      <c r="VEK27" s="613">
        <f t="shared" ref="VEK27" si="7516">VEI27*$C$27</f>
        <v>1.3516997798749702E+37</v>
      </c>
      <c r="VEM27" s="613">
        <f t="shared" ref="VEM27" si="7517">VEK27*$C$27</f>
        <v>1.3652167776737198E+37</v>
      </c>
      <c r="VEO27" s="613">
        <f t="shared" ref="VEO27" si="7518">VEM27*$C$27</f>
        <v>1.3788689454504571E+37</v>
      </c>
      <c r="VEQ27" s="613">
        <f t="shared" ref="VEQ27" si="7519">VEO27*$C$27</f>
        <v>1.3926576349049618E+37</v>
      </c>
      <c r="VES27" s="613">
        <f t="shared" ref="VES27" si="7520">VEQ27*$C$27</f>
        <v>1.4065842112540115E+37</v>
      </c>
      <c r="VEU27" s="613">
        <f t="shared" ref="VEU27" si="7521">VES27*$C$27</f>
        <v>1.4206500533665518E+37</v>
      </c>
      <c r="VEW27" s="613">
        <f t="shared" ref="VEW27" si="7522">VEU27*$C$27</f>
        <v>1.4348565539002174E+37</v>
      </c>
      <c r="VEY27" s="613">
        <f t="shared" ref="VEY27" si="7523">VEW27*$C$27</f>
        <v>1.4492051194392197E+37</v>
      </c>
      <c r="VFA27" s="613">
        <f t="shared" ref="VFA27" si="7524">VEY27*$C$27</f>
        <v>1.4636971706336119E+37</v>
      </c>
      <c r="VFC27" s="613">
        <f t="shared" ref="VFC27" si="7525">VFA27*$C$27</f>
        <v>1.4783341423399479E+37</v>
      </c>
      <c r="VFE27" s="613">
        <f t="shared" ref="VFE27" si="7526">VFC27*$C$27</f>
        <v>1.4931174837633473E+37</v>
      </c>
      <c r="VFG27" s="613">
        <f t="shared" ref="VFG27" si="7527">VFE27*$C$27</f>
        <v>1.5080486586009809E+37</v>
      </c>
      <c r="VFI27" s="613">
        <f t="shared" ref="VFI27" si="7528">VFG27*$C$27</f>
        <v>1.5231291451869906E+37</v>
      </c>
      <c r="VFK27" s="613">
        <f t="shared" ref="VFK27" si="7529">VFI27*$C$27</f>
        <v>1.5383604366388605E+37</v>
      </c>
      <c r="VFM27" s="613">
        <f t="shared" ref="VFM27" si="7530">VFK27*$C$27</f>
        <v>1.5537440410052491E+37</v>
      </c>
      <c r="VFO27" s="613">
        <f t="shared" ref="VFO27" si="7531">VFM27*$C$27</f>
        <v>1.5692814814153015E+37</v>
      </c>
      <c r="VFQ27" s="613">
        <f t="shared" ref="VFQ27" si="7532">VFO27*$C$27</f>
        <v>1.5849742962294546E+37</v>
      </c>
      <c r="VFS27" s="613">
        <f t="shared" ref="VFS27" si="7533">VFQ27*$C$27</f>
        <v>1.6008240391917491E+37</v>
      </c>
      <c r="VFU27" s="613">
        <f t="shared" ref="VFU27" si="7534">VFS27*$C$27</f>
        <v>1.6168322795836665E+37</v>
      </c>
      <c r="VFW27" s="613">
        <f t="shared" ref="VFW27" si="7535">VFU27*$C$27</f>
        <v>1.6330006023795032E+37</v>
      </c>
      <c r="VFY27" s="613">
        <f t="shared" ref="VFY27" si="7536">VFW27*$C$27</f>
        <v>1.6493306084032982E+37</v>
      </c>
      <c r="VGA27" s="613">
        <f t="shared" ref="VGA27" si="7537">VFY27*$C$27</f>
        <v>1.6658239144873313E+37</v>
      </c>
      <c r="VGC27" s="613">
        <f t="shared" ref="VGC27" si="7538">VGA27*$C$27</f>
        <v>1.6824821536322046E+37</v>
      </c>
      <c r="VGE27" s="613">
        <f t="shared" ref="VGE27" si="7539">VGC27*$C$27</f>
        <v>1.6993069751685268E+37</v>
      </c>
      <c r="VGG27" s="613">
        <f t="shared" ref="VGG27" si="7540">VGE27*$C$27</f>
        <v>1.716300044920212E+37</v>
      </c>
      <c r="VGI27" s="613">
        <f t="shared" ref="VGI27" si="7541">VGG27*$C$27</f>
        <v>1.7334630453694141E+37</v>
      </c>
      <c r="VGK27" s="613">
        <f t="shared" ref="VGK27" si="7542">VGI27*$C$27</f>
        <v>1.7507976758231084E+37</v>
      </c>
      <c r="VGM27" s="613">
        <f t="shared" ref="VGM27" si="7543">VGK27*$C$27</f>
        <v>1.7683056525813394E+37</v>
      </c>
      <c r="VGO27" s="613">
        <f t="shared" ref="VGO27" si="7544">VGM27*$C$27</f>
        <v>1.7859887091071529E+37</v>
      </c>
      <c r="VGQ27" s="613">
        <f t="shared" ref="VGQ27" si="7545">VGO27*$C$27</f>
        <v>1.8038485961982245E+37</v>
      </c>
      <c r="VGS27" s="613">
        <f t="shared" ref="VGS27" si="7546">VGQ27*$C$27</f>
        <v>1.8218870821602068E+37</v>
      </c>
      <c r="VGU27" s="613">
        <f t="shared" ref="VGU27" si="7547">VGS27*$C$27</f>
        <v>1.8401059529818089E+37</v>
      </c>
      <c r="VGW27" s="613">
        <f t="shared" ref="VGW27" si="7548">VGU27*$C$27</f>
        <v>1.8585070125116269E+37</v>
      </c>
      <c r="VGY27" s="613">
        <f t="shared" ref="VGY27" si="7549">VGW27*$C$27</f>
        <v>1.8770920826367431E+37</v>
      </c>
      <c r="VHA27" s="613">
        <f t="shared" ref="VHA27" si="7550">VGY27*$C$27</f>
        <v>1.8958630034631106E+37</v>
      </c>
      <c r="VHC27" s="613">
        <f t="shared" ref="VHC27" si="7551">VHA27*$C$27</f>
        <v>1.9148216334977416E+37</v>
      </c>
      <c r="VHE27" s="613">
        <f t="shared" ref="VHE27" si="7552">VHC27*$C$27</f>
        <v>1.933969849832719E+37</v>
      </c>
      <c r="VHG27" s="613">
        <f t="shared" ref="VHG27" si="7553">VHE27*$C$27</f>
        <v>1.9533095483310461E+37</v>
      </c>
      <c r="VHI27" s="613">
        <f t="shared" ref="VHI27" si="7554">VHG27*$C$27</f>
        <v>1.9728426438143567E+37</v>
      </c>
      <c r="VHK27" s="613">
        <f t="shared" ref="VHK27" si="7555">VHI27*$C$27</f>
        <v>1.9925710702525002E+37</v>
      </c>
      <c r="VHM27" s="613">
        <f t="shared" ref="VHM27" si="7556">VHK27*$C$27</f>
        <v>2.0124967809550253E+37</v>
      </c>
      <c r="VHO27" s="613">
        <f t="shared" ref="VHO27" si="7557">VHM27*$C$27</f>
        <v>2.0326217487645755E+37</v>
      </c>
      <c r="VHQ27" s="613">
        <f t="shared" ref="VHQ27" si="7558">VHO27*$C$27</f>
        <v>2.0529479662522212E+37</v>
      </c>
      <c r="VHS27" s="613">
        <f t="shared" ref="VHS27" si="7559">VHQ27*$C$27</f>
        <v>2.0734774459147434E+37</v>
      </c>
      <c r="VHU27" s="613">
        <f t="shared" ref="VHU27" si="7560">VHS27*$C$27</f>
        <v>2.0942122203738907E+37</v>
      </c>
      <c r="VHW27" s="613">
        <f t="shared" ref="VHW27" si="7561">VHU27*$C$27</f>
        <v>2.1151543425776298E+37</v>
      </c>
      <c r="VHY27" s="613">
        <f t="shared" ref="VHY27" si="7562">VHW27*$C$27</f>
        <v>2.1363058860034061E+37</v>
      </c>
      <c r="VIA27" s="613">
        <f t="shared" ref="VIA27" si="7563">VHY27*$C$27</f>
        <v>2.15766894486344E+37</v>
      </c>
      <c r="VIC27" s="613">
        <f t="shared" ref="VIC27" si="7564">VIA27*$C$27</f>
        <v>2.1792456343120744E+37</v>
      </c>
      <c r="VIE27" s="613">
        <f t="shared" ref="VIE27" si="7565">VIC27*$C$27</f>
        <v>2.2010380906551953E+37</v>
      </c>
      <c r="VIG27" s="613">
        <f t="shared" ref="VIG27" si="7566">VIE27*$C$27</f>
        <v>2.2230484715617472E+37</v>
      </c>
      <c r="VII27" s="613">
        <f t="shared" ref="VII27" si="7567">VIG27*$C$27</f>
        <v>2.2452789562773647E+37</v>
      </c>
      <c r="VIK27" s="613">
        <f t="shared" ref="VIK27" si="7568">VII27*$C$27</f>
        <v>2.2677317458401384E+37</v>
      </c>
      <c r="VIM27" s="613">
        <f t="shared" ref="VIM27" si="7569">VIK27*$C$27</f>
        <v>2.2904090632985399E+37</v>
      </c>
      <c r="VIO27" s="613">
        <f t="shared" ref="VIO27" si="7570">VIM27*$C$27</f>
        <v>2.3133131539315253E+37</v>
      </c>
      <c r="VIQ27" s="613">
        <f t="shared" ref="VIQ27" si="7571">VIO27*$C$27</f>
        <v>2.3364462854708405E+37</v>
      </c>
      <c r="VIS27" s="613">
        <f t="shared" ref="VIS27" si="7572">VIQ27*$C$27</f>
        <v>2.3598107483255488E+37</v>
      </c>
      <c r="VIU27" s="613">
        <f t="shared" ref="VIU27" si="7573">VIS27*$C$27</f>
        <v>2.3834088558088042E+37</v>
      </c>
      <c r="VIW27" s="613">
        <f t="shared" ref="VIW27" si="7574">VIU27*$C$27</f>
        <v>2.4072429443668921E+37</v>
      </c>
      <c r="VIY27" s="613">
        <f t="shared" ref="VIY27" si="7575">VIW27*$C$27</f>
        <v>2.431315373810561E+37</v>
      </c>
      <c r="VJA27" s="613">
        <f t="shared" ref="VJA27" si="7576">VIY27*$C$27</f>
        <v>2.4556285275486665E+37</v>
      </c>
      <c r="VJC27" s="613">
        <f t="shared" ref="VJC27" si="7577">VJA27*$C$27</f>
        <v>2.4801848128241531E+37</v>
      </c>
      <c r="VJE27" s="613">
        <f t="shared" ref="VJE27" si="7578">VJC27*$C$27</f>
        <v>2.5049866609523946E+37</v>
      </c>
      <c r="VJG27" s="613">
        <f t="shared" ref="VJG27" si="7579">VJE27*$C$27</f>
        <v>2.5300365275619184E+37</v>
      </c>
      <c r="VJI27" s="613">
        <f t="shared" ref="VJI27" si="7580">VJG27*$C$27</f>
        <v>2.5553368928375375E+37</v>
      </c>
      <c r="VJK27" s="613">
        <f t="shared" ref="VJK27" si="7581">VJI27*$C$27</f>
        <v>2.580890261765913E+37</v>
      </c>
      <c r="VJM27" s="613">
        <f t="shared" ref="VJM27" si="7582">VJK27*$C$27</f>
        <v>2.6066991643835723E+37</v>
      </c>
      <c r="VJO27" s="613">
        <f t="shared" ref="VJO27" si="7583">VJM27*$C$27</f>
        <v>2.6327661560274083E+37</v>
      </c>
      <c r="VJQ27" s="613">
        <f t="shared" ref="VJQ27" si="7584">VJO27*$C$27</f>
        <v>2.6590938175876825E+37</v>
      </c>
      <c r="VJS27" s="613">
        <f t="shared" ref="VJS27" si="7585">VJQ27*$C$27</f>
        <v>2.6856847557635595E+37</v>
      </c>
      <c r="VJU27" s="613">
        <f t="shared" ref="VJU27" si="7586">VJS27*$C$27</f>
        <v>2.7125416033211952E+37</v>
      </c>
      <c r="VJW27" s="613">
        <f t="shared" ref="VJW27" si="7587">VJU27*$C$27</f>
        <v>2.7396670193544069E+37</v>
      </c>
      <c r="VJY27" s="613">
        <f t="shared" ref="VJY27" si="7588">VJW27*$C$27</f>
        <v>2.7670636895479509E+37</v>
      </c>
      <c r="VKA27" s="613">
        <f t="shared" ref="VKA27" si="7589">VJY27*$C$27</f>
        <v>2.7947343264434304E+37</v>
      </c>
      <c r="VKC27" s="613">
        <f t="shared" ref="VKC27" si="7590">VKA27*$C$27</f>
        <v>2.822681669707865E+37</v>
      </c>
      <c r="VKE27" s="613">
        <f t="shared" ref="VKE27" si="7591">VKC27*$C$27</f>
        <v>2.8509084864049438E+37</v>
      </c>
      <c r="VKG27" s="613">
        <f t="shared" ref="VKG27" si="7592">VKE27*$C$27</f>
        <v>2.8794175712689933E+37</v>
      </c>
      <c r="VKI27" s="613">
        <f t="shared" ref="VKI27" si="7593">VKG27*$C$27</f>
        <v>2.9082117469816833E+37</v>
      </c>
      <c r="VKK27" s="613">
        <f t="shared" ref="VKK27" si="7594">VKI27*$C$27</f>
        <v>2.9372938644515002E+37</v>
      </c>
      <c r="VKM27" s="613">
        <f t="shared" ref="VKM27" si="7595">VKK27*$C$27</f>
        <v>2.9666668030960151E+37</v>
      </c>
      <c r="VKO27" s="613">
        <f t="shared" ref="VKO27" si="7596">VKM27*$C$27</f>
        <v>2.9963334711269754E+37</v>
      </c>
      <c r="VKQ27" s="613">
        <f t="shared" ref="VKQ27" si="7597">VKO27*$C$27</f>
        <v>3.0262968058382453E+37</v>
      </c>
      <c r="VKS27" s="613">
        <f t="shared" ref="VKS27" si="7598">VKQ27*$C$27</f>
        <v>3.0565597738966277E+37</v>
      </c>
      <c r="VKU27" s="613">
        <f t="shared" ref="VKU27" si="7599">VKS27*$C$27</f>
        <v>3.087125371635594E+37</v>
      </c>
      <c r="VKW27" s="613">
        <f t="shared" ref="VKW27" si="7600">VKU27*$C$27</f>
        <v>3.1179966253519501E+37</v>
      </c>
      <c r="VKY27" s="613">
        <f t="shared" ref="VKY27" si="7601">VKW27*$C$27</f>
        <v>3.1491765916054698E+37</v>
      </c>
      <c r="VLA27" s="613">
        <f t="shared" ref="VLA27" si="7602">VKY27*$C$27</f>
        <v>3.1806683575215246E+37</v>
      </c>
      <c r="VLC27" s="613">
        <f t="shared" ref="VLC27" si="7603">VLA27*$C$27</f>
        <v>3.2124750410967399E+37</v>
      </c>
      <c r="VLE27" s="613">
        <f t="shared" ref="VLE27" si="7604">VLC27*$C$27</f>
        <v>3.2445997915077072E+37</v>
      </c>
      <c r="VLG27" s="613">
        <f t="shared" ref="VLG27" si="7605">VLE27*$C$27</f>
        <v>3.2770457894227845E+37</v>
      </c>
      <c r="VLI27" s="613">
        <f t="shared" ref="VLI27" si="7606">VLG27*$C$27</f>
        <v>3.3098162473170123E+37</v>
      </c>
      <c r="VLK27" s="613">
        <f t="shared" ref="VLK27" si="7607">VLI27*$C$27</f>
        <v>3.3429144097901823E+37</v>
      </c>
      <c r="VLM27" s="613">
        <f t="shared" ref="VLM27" si="7608">VLK27*$C$27</f>
        <v>3.376343553888084E+37</v>
      </c>
      <c r="VLO27" s="613">
        <f t="shared" ref="VLO27" si="7609">VLM27*$C$27</f>
        <v>3.4101069894269648E+37</v>
      </c>
      <c r="VLQ27" s="613">
        <f t="shared" ref="VLQ27" si="7610">VLO27*$C$27</f>
        <v>3.4442080593212343E+37</v>
      </c>
      <c r="VLS27" s="613">
        <f t="shared" ref="VLS27" si="7611">VLQ27*$C$27</f>
        <v>3.4786501399144467E+37</v>
      </c>
      <c r="VLU27" s="613">
        <f t="shared" ref="VLU27" si="7612">VLS27*$C$27</f>
        <v>3.5134366413135912E+37</v>
      </c>
      <c r="VLW27" s="613">
        <f t="shared" ref="VLW27" si="7613">VLU27*$C$27</f>
        <v>3.5485710077267273E+37</v>
      </c>
      <c r="VLY27" s="613">
        <f t="shared" ref="VLY27" si="7614">VLW27*$C$27</f>
        <v>3.5840567178039944E+37</v>
      </c>
      <c r="VMA27" s="613">
        <f t="shared" ref="VMA27" si="7615">VLY27*$C$27</f>
        <v>3.6198972849820342E+37</v>
      </c>
      <c r="VMC27" s="613">
        <f t="shared" ref="VMC27" si="7616">VMA27*$C$27</f>
        <v>3.6560962578318544E+37</v>
      </c>
      <c r="VME27" s="613">
        <f t="shared" ref="VME27" si="7617">VMC27*$C$27</f>
        <v>3.6926572204101728E+37</v>
      </c>
      <c r="VMG27" s="613">
        <f t="shared" ref="VMG27" si="7618">VME27*$C$27</f>
        <v>3.7295837926142748E+37</v>
      </c>
      <c r="VMI27" s="613">
        <f t="shared" ref="VMI27" si="7619">VMG27*$C$27</f>
        <v>3.7668796305404177E+37</v>
      </c>
      <c r="VMK27" s="613">
        <f t="shared" ref="VMK27" si="7620">VMI27*$C$27</f>
        <v>3.8045484268458219E+37</v>
      </c>
      <c r="VMM27" s="613">
        <f t="shared" ref="VMM27" si="7621">VMK27*$C$27</f>
        <v>3.84259391111428E+37</v>
      </c>
      <c r="VMO27" s="613">
        <f t="shared" ref="VMO27" si="7622">VMM27*$C$27</f>
        <v>3.8810198502254229E+37</v>
      </c>
      <c r="VMQ27" s="613">
        <f t="shared" ref="VMQ27" si="7623">VMO27*$C$27</f>
        <v>3.919830048727677E+37</v>
      </c>
      <c r="VMS27" s="613">
        <f t="shared" ref="VMS27" si="7624">VMQ27*$C$27</f>
        <v>3.9590283492149537E+37</v>
      </c>
      <c r="VMU27" s="613">
        <f t="shared" ref="VMU27" si="7625">VMS27*$C$27</f>
        <v>3.9986186327071033E+37</v>
      </c>
      <c r="VMW27" s="613">
        <f t="shared" ref="VMW27" si="7626">VMU27*$C$27</f>
        <v>4.0386048190341746E+37</v>
      </c>
      <c r="VMY27" s="613">
        <f t="shared" ref="VMY27" si="7627">VMW27*$C$27</f>
        <v>4.0789908672245166E+37</v>
      </c>
      <c r="VNA27" s="613">
        <f t="shared" ref="VNA27" si="7628">VMY27*$C$27</f>
        <v>4.1197807758967618E+37</v>
      </c>
      <c r="VNC27" s="613">
        <f t="shared" ref="VNC27" si="7629">VNA27*$C$27</f>
        <v>4.1609785836557294E+37</v>
      </c>
      <c r="VNE27" s="613">
        <f t="shared" ref="VNE27" si="7630">VNC27*$C$27</f>
        <v>4.2025883694922865E+37</v>
      </c>
      <c r="VNG27" s="613">
        <f t="shared" ref="VNG27" si="7631">VNE27*$C$27</f>
        <v>4.2446142531872092E+37</v>
      </c>
      <c r="VNI27" s="613">
        <f t="shared" ref="VNI27" si="7632">VNG27*$C$27</f>
        <v>4.2870603957190816E+37</v>
      </c>
      <c r="VNK27" s="613">
        <f t="shared" ref="VNK27" si="7633">VNI27*$C$27</f>
        <v>4.3299309996762724E+37</v>
      </c>
      <c r="VNM27" s="613">
        <f t="shared" ref="VNM27" si="7634">VNK27*$C$27</f>
        <v>4.3732303096730348E+37</v>
      </c>
      <c r="VNO27" s="613">
        <f t="shared" ref="VNO27" si="7635">VNM27*$C$27</f>
        <v>4.4169626127697648E+37</v>
      </c>
      <c r="VNQ27" s="613">
        <f t="shared" ref="VNQ27" si="7636">VNO27*$C$27</f>
        <v>4.4611322388974621E+37</v>
      </c>
      <c r="VNS27" s="613">
        <f t="shared" ref="VNS27" si="7637">VNQ27*$C$27</f>
        <v>4.5057435612864366E+37</v>
      </c>
      <c r="VNU27" s="613">
        <f t="shared" ref="VNU27" si="7638">VNS27*$C$27</f>
        <v>4.5508009968993012E+37</v>
      </c>
      <c r="VNW27" s="613">
        <f t="shared" ref="VNW27" si="7639">VNU27*$C$27</f>
        <v>4.5963090068682944E+37</v>
      </c>
      <c r="VNY27" s="613">
        <f t="shared" ref="VNY27" si="7640">VNW27*$C$27</f>
        <v>4.6422720969369772E+37</v>
      </c>
      <c r="VOA27" s="613">
        <f t="shared" ref="VOA27" si="7641">VNY27*$C$27</f>
        <v>4.6886948179063473E+37</v>
      </c>
      <c r="VOC27" s="613">
        <f t="shared" ref="VOC27" si="7642">VOA27*$C$27</f>
        <v>4.735581766085411E+37</v>
      </c>
      <c r="VOE27" s="613">
        <f t="shared" ref="VOE27" si="7643">VOC27*$C$27</f>
        <v>4.782937583746265E+37</v>
      </c>
      <c r="VOG27" s="613">
        <f t="shared" ref="VOG27" si="7644">VOE27*$C$27</f>
        <v>4.8307669595837281E+37</v>
      </c>
      <c r="VOI27" s="613">
        <f t="shared" ref="VOI27" si="7645">VOG27*$C$27</f>
        <v>4.8790746291795652E+37</v>
      </c>
      <c r="VOK27" s="613">
        <f t="shared" ref="VOK27" si="7646">VOI27*$C$27</f>
        <v>4.9278653754713612E+37</v>
      </c>
      <c r="VOM27" s="613">
        <f t="shared" ref="VOM27" si="7647">VOK27*$C$27</f>
        <v>4.9771440292260747E+37</v>
      </c>
      <c r="VOO27" s="613">
        <f t="shared" ref="VOO27" si="7648">VOM27*$C$27</f>
        <v>5.0269154695183351E+37</v>
      </c>
      <c r="VOQ27" s="613">
        <f t="shared" ref="VOQ27" si="7649">VOO27*$C$27</f>
        <v>5.0771846242135181E+37</v>
      </c>
      <c r="VOS27" s="613">
        <f t="shared" ref="VOS27" si="7650">VOQ27*$C$27</f>
        <v>5.1279564704556529E+37</v>
      </c>
      <c r="VOU27" s="613">
        <f t="shared" ref="VOU27" si="7651">VOS27*$C$27</f>
        <v>5.1792360351602098E+37</v>
      </c>
      <c r="VOW27" s="613">
        <f t="shared" ref="VOW27" si="7652">VOU27*$C$27</f>
        <v>5.231028395511812E+37</v>
      </c>
      <c r="VOY27" s="613">
        <f t="shared" ref="VOY27" si="7653">VOW27*$C$27</f>
        <v>5.2833386794669299E+37</v>
      </c>
      <c r="VPA27" s="613">
        <f t="shared" ref="VPA27" si="7654">VOY27*$C$27</f>
        <v>5.3361720662615992E+37</v>
      </c>
      <c r="VPC27" s="613">
        <f t="shared" ref="VPC27" si="7655">VPA27*$C$27</f>
        <v>5.3895337869242148E+37</v>
      </c>
      <c r="VPE27" s="613">
        <f t="shared" ref="VPE27" si="7656">VPC27*$C$27</f>
        <v>5.4434291247934569E+37</v>
      </c>
      <c r="VPG27" s="613">
        <f t="shared" ref="VPG27" si="7657">VPE27*$C$27</f>
        <v>5.4978634160413912E+37</v>
      </c>
      <c r="VPI27" s="613">
        <f t="shared" ref="VPI27" si="7658">VPG27*$C$27</f>
        <v>5.5528420502018049E+37</v>
      </c>
      <c r="VPK27" s="613">
        <f t="shared" ref="VPK27" si="7659">VPI27*$C$27</f>
        <v>5.6083704707038234E+37</v>
      </c>
      <c r="VPM27" s="613">
        <f t="shared" ref="VPM27" si="7660">VPK27*$C$27</f>
        <v>5.6644541754108615E+37</v>
      </c>
      <c r="VPO27" s="613">
        <f t="shared" ref="VPO27" si="7661">VPM27*$C$27</f>
        <v>5.7210987171649703E+37</v>
      </c>
      <c r="VPQ27" s="613">
        <f t="shared" ref="VPQ27" si="7662">VPO27*$C$27</f>
        <v>5.77830970433662E+37</v>
      </c>
      <c r="VPS27" s="613">
        <f t="shared" ref="VPS27" si="7663">VPQ27*$C$27</f>
        <v>5.8360928013799865E+37</v>
      </c>
      <c r="VPU27" s="613">
        <f t="shared" ref="VPU27" si="7664">VPS27*$C$27</f>
        <v>5.8944537293937862E+37</v>
      </c>
      <c r="VPW27" s="613">
        <f t="shared" ref="VPW27" si="7665">VPU27*$C$27</f>
        <v>5.9533982666877245E+37</v>
      </c>
      <c r="VPY27" s="613">
        <f t="shared" ref="VPY27" si="7666">VPW27*$C$27</f>
        <v>6.0129322493546014E+37</v>
      </c>
      <c r="VQA27" s="613">
        <f t="shared" ref="VQA27" si="7667">VPY27*$C$27</f>
        <v>6.0730615718481477E+37</v>
      </c>
      <c r="VQC27" s="613">
        <f t="shared" ref="VQC27" si="7668">VQA27*$C$27</f>
        <v>6.1337921875666291E+37</v>
      </c>
      <c r="VQE27" s="613">
        <f t="shared" ref="VQE27" si="7669">VQC27*$C$27</f>
        <v>6.1951301094422958E+37</v>
      </c>
      <c r="VQG27" s="613">
        <f t="shared" ref="VQG27" si="7670">VQE27*$C$27</f>
        <v>6.2570814105367192E+37</v>
      </c>
      <c r="VQI27" s="613">
        <f t="shared" ref="VQI27" si="7671">VQG27*$C$27</f>
        <v>6.3196522246420867E+37</v>
      </c>
      <c r="VQK27" s="613">
        <f t="shared" ref="VQK27" si="7672">VQI27*$C$27</f>
        <v>6.3828487468885077E+37</v>
      </c>
      <c r="VQM27" s="613">
        <f t="shared" ref="VQM27" si="7673">VQK27*$C$27</f>
        <v>6.4466772343573925E+37</v>
      </c>
      <c r="VQO27" s="613">
        <f t="shared" ref="VQO27" si="7674">VQM27*$C$27</f>
        <v>6.5111440067009666E+37</v>
      </c>
      <c r="VQQ27" s="613">
        <f t="shared" ref="VQQ27" si="7675">VQO27*$C$27</f>
        <v>6.5762554467679766E+37</v>
      </c>
      <c r="VQS27" s="613">
        <f t="shared" ref="VQS27" si="7676">VQQ27*$C$27</f>
        <v>6.6420180012356565E+37</v>
      </c>
      <c r="VQU27" s="613">
        <f t="shared" ref="VQU27" si="7677">VQS27*$C$27</f>
        <v>6.7084381812480136E+37</v>
      </c>
      <c r="VQW27" s="613">
        <f t="shared" ref="VQW27" si="7678">VQU27*$C$27</f>
        <v>6.7755225630604935E+37</v>
      </c>
      <c r="VQY27" s="613">
        <f t="shared" ref="VQY27" si="7679">VQW27*$C$27</f>
        <v>6.8432777886910981E+37</v>
      </c>
      <c r="VRA27" s="613">
        <f t="shared" ref="VRA27" si="7680">VQY27*$C$27</f>
        <v>6.9117105665780088E+37</v>
      </c>
      <c r="VRC27" s="613">
        <f t="shared" ref="VRC27" si="7681">VRA27*$C$27</f>
        <v>6.9808276722437891E+37</v>
      </c>
      <c r="VRE27" s="613">
        <f t="shared" ref="VRE27" si="7682">VRC27*$C$27</f>
        <v>7.050635948966227E+37</v>
      </c>
      <c r="VRG27" s="613">
        <f t="shared" ref="VRG27" si="7683">VRE27*$C$27</f>
        <v>7.1211423084558895E+37</v>
      </c>
      <c r="VRI27" s="613">
        <f t="shared" ref="VRI27" si="7684">VRG27*$C$27</f>
        <v>7.1923537315404488E+37</v>
      </c>
      <c r="VRK27" s="613">
        <f t="shared" ref="VRK27" si="7685">VRI27*$C$27</f>
        <v>7.2642772688558532E+37</v>
      </c>
      <c r="VRM27" s="613">
        <f t="shared" ref="VRM27" si="7686">VRK27*$C$27</f>
        <v>7.3369200415444113E+37</v>
      </c>
      <c r="VRO27" s="613">
        <f t="shared" ref="VRO27" si="7687">VRM27*$C$27</f>
        <v>7.4102892419598551E+37</v>
      </c>
      <c r="VRQ27" s="613">
        <f t="shared" ref="VRQ27" si="7688">VRO27*$C$27</f>
        <v>7.4843921343794535E+37</v>
      </c>
      <c r="VRS27" s="613">
        <f t="shared" ref="VRS27" si="7689">VRQ27*$C$27</f>
        <v>7.5592360557232479E+37</v>
      </c>
      <c r="VRU27" s="613">
        <f t="shared" ref="VRU27" si="7690">VRS27*$C$27</f>
        <v>7.6348284162804805E+37</v>
      </c>
      <c r="VRW27" s="613">
        <f t="shared" ref="VRW27" si="7691">VRU27*$C$27</f>
        <v>7.7111767004432855E+37</v>
      </c>
      <c r="VRY27" s="613">
        <f t="shared" ref="VRY27" si="7692">VRW27*$C$27</f>
        <v>7.7882884674477188E+37</v>
      </c>
      <c r="VSA27" s="613">
        <f t="shared" ref="VSA27" si="7693">VRY27*$C$27</f>
        <v>7.8661713521221964E+37</v>
      </c>
      <c r="VSC27" s="613">
        <f t="shared" ref="VSC27" si="7694">VSA27*$C$27</f>
        <v>7.9448330656434188E+37</v>
      </c>
      <c r="VSE27" s="613">
        <f t="shared" ref="VSE27" si="7695">VSC27*$C$27</f>
        <v>8.0242813962998529E+37</v>
      </c>
      <c r="VSG27" s="613">
        <f t="shared" ref="VSG27" si="7696">VSE27*$C$27</f>
        <v>8.104524210262852E+37</v>
      </c>
      <c r="VSI27" s="613">
        <f t="shared" ref="VSI27" si="7697">VSG27*$C$27</f>
        <v>8.1855694523654808E+37</v>
      </c>
      <c r="VSK27" s="613">
        <f t="shared" ref="VSK27" si="7698">VSI27*$C$27</f>
        <v>8.2674251468891358E+37</v>
      </c>
      <c r="VSM27" s="613">
        <f t="shared" ref="VSM27" si="7699">VSK27*$C$27</f>
        <v>8.3500993983580274E+37</v>
      </c>
      <c r="VSO27" s="613">
        <f t="shared" ref="VSO27" si="7700">VSM27*$C$27</f>
        <v>8.4336003923416081E+37</v>
      </c>
      <c r="VSQ27" s="613">
        <f t="shared" ref="VSQ27" si="7701">VSO27*$C$27</f>
        <v>8.5179363962650235E+37</v>
      </c>
      <c r="VSS27" s="613">
        <f t="shared" ref="VSS27" si="7702">VSQ27*$C$27</f>
        <v>8.6031157602276748E+37</v>
      </c>
      <c r="VSU27" s="613">
        <f t="shared" ref="VSU27" si="7703">VSS27*$C$27</f>
        <v>8.6891469178299509E+37</v>
      </c>
      <c r="VSW27" s="613">
        <f t="shared" ref="VSW27" si="7704">VSU27*$C$27</f>
        <v>8.7760383870082514E+37</v>
      </c>
      <c r="VSY27" s="613">
        <f t="shared" ref="VSY27" si="7705">VSW27*$C$27</f>
        <v>8.8637987708783339E+37</v>
      </c>
      <c r="VTA27" s="613">
        <f t="shared" ref="VTA27" si="7706">VSY27*$C$27</f>
        <v>8.9524367585871168E+37</v>
      </c>
      <c r="VTC27" s="613">
        <f t="shared" ref="VTC27" si="7707">VTA27*$C$27</f>
        <v>9.0419611261729877E+37</v>
      </c>
      <c r="VTE27" s="613">
        <f t="shared" ref="VTE27" si="7708">VTC27*$C$27</f>
        <v>9.1323807374347176E+37</v>
      </c>
      <c r="VTG27" s="613">
        <f t="shared" ref="VTG27" si="7709">VTE27*$C$27</f>
        <v>9.2237045448090652E+37</v>
      </c>
      <c r="VTI27" s="613">
        <f t="shared" ref="VTI27" si="7710">VTG27*$C$27</f>
        <v>9.3159415902571555E+37</v>
      </c>
      <c r="VTK27" s="613">
        <f t="shared" ref="VTK27" si="7711">VTI27*$C$27</f>
        <v>9.4091010061597276E+37</v>
      </c>
      <c r="VTM27" s="613">
        <f t="shared" ref="VTM27" si="7712">VTK27*$C$27</f>
        <v>9.5031920162213259E+37</v>
      </c>
      <c r="VTO27" s="613">
        <f t="shared" ref="VTO27" si="7713">VTM27*$C$27</f>
        <v>9.5982239363835395E+37</v>
      </c>
      <c r="VTQ27" s="613">
        <f t="shared" ref="VTQ27" si="7714">VTO27*$C$27</f>
        <v>9.6942061757473754E+37</v>
      </c>
      <c r="VTS27" s="613">
        <f t="shared" ref="VTS27" si="7715">VTQ27*$C$27</f>
        <v>9.7911482375048484E+37</v>
      </c>
      <c r="VTU27" s="613">
        <f t="shared" ref="VTU27" si="7716">VTS27*$C$27</f>
        <v>9.8890597198798964E+37</v>
      </c>
      <c r="VTW27" s="613">
        <f t="shared" ref="VTW27" si="7717">VTU27*$C$27</f>
        <v>9.9879503170786957E+37</v>
      </c>
      <c r="VTY27" s="613">
        <f t="shared" ref="VTY27" si="7718">VTW27*$C$27</f>
        <v>1.0087829820249482E+38</v>
      </c>
      <c r="VUA27" s="613">
        <f t="shared" ref="VUA27" si="7719">VTY27*$C$27</f>
        <v>1.0188708118451977E+38</v>
      </c>
      <c r="VUC27" s="613">
        <f t="shared" ref="VUC27" si="7720">VUA27*$C$27</f>
        <v>1.0290595199636497E+38</v>
      </c>
      <c r="VUE27" s="613">
        <f t="shared" ref="VUE27" si="7721">VUC27*$C$27</f>
        <v>1.0393501151632863E+38</v>
      </c>
      <c r="VUG27" s="613">
        <f t="shared" ref="VUG27" si="7722">VUE27*$C$27</f>
        <v>1.0497436163149192E+38</v>
      </c>
      <c r="VUI27" s="613">
        <f t="shared" ref="VUI27" si="7723">VUG27*$C$27</f>
        <v>1.0602410524780683E+38</v>
      </c>
      <c r="VUK27" s="613">
        <f t="shared" ref="VUK27" si="7724">VUI27*$C$27</f>
        <v>1.070843463002849E+38</v>
      </c>
      <c r="VUM27" s="613">
        <f t="shared" ref="VUM27" si="7725">VUK27*$C$27</f>
        <v>1.0815518976328775E+38</v>
      </c>
      <c r="VUO27" s="613">
        <f t="shared" ref="VUO27" si="7726">VUM27*$C$27</f>
        <v>1.0923674166092064E+38</v>
      </c>
      <c r="VUQ27" s="613">
        <f t="shared" ref="VUQ27" si="7727">VUO27*$C$27</f>
        <v>1.1032910907752984E+38</v>
      </c>
      <c r="VUS27" s="613">
        <f t="shared" ref="VUS27" si="7728">VUQ27*$C$27</f>
        <v>1.1143240016830514E+38</v>
      </c>
      <c r="VUU27" s="613">
        <f t="shared" ref="VUU27" si="7729">VUS27*$C$27</f>
        <v>1.125467241699882E+38</v>
      </c>
      <c r="VUW27" s="613">
        <f t="shared" ref="VUW27" si="7730">VUU27*$C$27</f>
        <v>1.1367219141168808E+38</v>
      </c>
      <c r="VUY27" s="613">
        <f t="shared" ref="VUY27" si="7731">VUW27*$C$27</f>
        <v>1.1480891332580496E+38</v>
      </c>
      <c r="VVA27" s="613">
        <f t="shared" ref="VVA27" si="7732">VUY27*$C$27</f>
        <v>1.1595700245906302E+38</v>
      </c>
      <c r="VVC27" s="613">
        <f t="shared" ref="VVC27" si="7733">VVA27*$C$27</f>
        <v>1.1711657248365364E+38</v>
      </c>
      <c r="VVE27" s="613">
        <f t="shared" ref="VVE27" si="7734">VVC27*$C$27</f>
        <v>1.1828773820849017E+38</v>
      </c>
      <c r="VVG27" s="613">
        <f t="shared" ref="VVG27" si="7735">VVE27*$C$27</f>
        <v>1.1947061559057507E+38</v>
      </c>
      <c r="VVI27" s="613">
        <f t="shared" ref="VVI27" si="7736">VVG27*$C$27</f>
        <v>1.2066532174648083E+38</v>
      </c>
      <c r="VVK27" s="613">
        <f t="shared" ref="VVK27" si="7737">VVI27*$C$27</f>
        <v>1.2187197496394565E+38</v>
      </c>
      <c r="VVM27" s="613">
        <f t="shared" ref="VVM27" si="7738">VVK27*$C$27</f>
        <v>1.230906947135851E+38</v>
      </c>
      <c r="VVO27" s="613">
        <f t="shared" ref="VVO27" si="7739">VVM27*$C$27</f>
        <v>1.2432160166072095E+38</v>
      </c>
      <c r="VVQ27" s="613">
        <f t="shared" ref="VVQ27" si="7740">VVO27*$C$27</f>
        <v>1.2556481767732816E+38</v>
      </c>
      <c r="VVS27" s="613">
        <f t="shared" ref="VVS27" si="7741">VVQ27*$C$27</f>
        <v>1.2682046585410145E+38</v>
      </c>
      <c r="VVU27" s="613">
        <f t="shared" ref="VVU27" si="7742">VVS27*$C$27</f>
        <v>1.2808867051264247E+38</v>
      </c>
      <c r="VVW27" s="613">
        <f t="shared" ref="VVW27" si="7743">VVU27*$C$27</f>
        <v>1.2936955721776889E+38</v>
      </c>
      <c r="VVY27" s="613">
        <f t="shared" ref="VVY27" si="7744">VVW27*$C$27</f>
        <v>1.3066325278994657E+38</v>
      </c>
      <c r="VWA27" s="613">
        <f t="shared" ref="VWA27" si="7745">VVY27*$C$27</f>
        <v>1.3196988531784604E+38</v>
      </c>
      <c r="VWC27" s="613">
        <f t="shared" ref="VWC27" si="7746">VWA27*$C$27</f>
        <v>1.332895841710245E+38</v>
      </c>
      <c r="VWE27" s="613">
        <f t="shared" ref="VWE27" si="7747">VWC27*$C$27</f>
        <v>1.3462248001273475E+38</v>
      </c>
      <c r="VWG27" s="613">
        <f t="shared" ref="VWG27" si="7748">VWE27*$C$27</f>
        <v>1.359687048128621E+38</v>
      </c>
      <c r="VWI27" s="613">
        <f t="shared" ref="VWI27" si="7749">VWG27*$C$27</f>
        <v>1.3732839186099073E+38</v>
      </c>
      <c r="VWK27" s="613">
        <f t="shared" ref="VWK27" si="7750">VWI27*$C$27</f>
        <v>1.3870167577960064E+38</v>
      </c>
      <c r="VWM27" s="613">
        <f t="shared" ref="VWM27" si="7751">VWK27*$C$27</f>
        <v>1.4008869253739665E+38</v>
      </c>
      <c r="VWO27" s="613">
        <f t="shared" ref="VWO27" si="7752">VWM27*$C$27</f>
        <v>1.4148957946277061E+38</v>
      </c>
      <c r="VWQ27" s="613">
        <f t="shared" ref="VWQ27" si="7753">VWO27*$C$27</f>
        <v>1.4290447525739831E+38</v>
      </c>
      <c r="VWS27" s="613">
        <f t="shared" ref="VWS27" si="7754">VWQ27*$C$27</f>
        <v>1.443335200099723E+38</v>
      </c>
      <c r="VWU27" s="613">
        <f t="shared" ref="VWU27" si="7755">VWS27*$C$27</f>
        <v>1.4577685521007203E+38</v>
      </c>
      <c r="VWW27" s="613">
        <f t="shared" ref="VWW27" si="7756">VWU27*$C$27</f>
        <v>1.4723462376217276E+38</v>
      </c>
      <c r="VWY27" s="613">
        <f t="shared" ref="VWY27" si="7757">VWW27*$C$27</f>
        <v>1.4870696999979449E+38</v>
      </c>
      <c r="VXA27" s="613">
        <f t="shared" ref="VXA27" si="7758">VWY27*$C$27</f>
        <v>1.5019403969979243E+38</v>
      </c>
      <c r="VXC27" s="613">
        <f t="shared" ref="VXC27" si="7759">VXA27*$C$27</f>
        <v>1.5169598009679035E+38</v>
      </c>
      <c r="VXE27" s="613">
        <f t="shared" ref="VXE27" si="7760">VXC27*$C$27</f>
        <v>1.5321293989775826E+38</v>
      </c>
      <c r="VXG27" s="613">
        <f t="shared" ref="VXG27" si="7761">VXE27*$C$27</f>
        <v>1.5474506929673585E+38</v>
      </c>
      <c r="VXI27" s="613">
        <f t="shared" ref="VXI27" si="7762">VXG27*$C$27</f>
        <v>1.562925199897032E+38</v>
      </c>
      <c r="VXK27" s="613">
        <f t="shared" ref="VXK27" si="7763">VXI27*$C$27</f>
        <v>1.5785544518960023E+38</v>
      </c>
      <c r="VXM27" s="613">
        <f t="shared" ref="VXM27" si="7764">VXK27*$C$27</f>
        <v>1.5943399964149623E+38</v>
      </c>
      <c r="VXO27" s="613">
        <f t="shared" ref="VXO27" si="7765">VXM27*$C$27</f>
        <v>1.610283396379112E+38</v>
      </c>
      <c r="VXQ27" s="613">
        <f t="shared" ref="VXQ27" si="7766">VXO27*$C$27</f>
        <v>1.6263862303429031E+38</v>
      </c>
      <c r="VXS27" s="613">
        <f t="shared" ref="VXS27" si="7767">VXQ27*$C$27</f>
        <v>1.6426500926463323E+38</v>
      </c>
      <c r="VXU27" s="613">
        <f t="shared" ref="VXU27" si="7768">VXS27*$C$27</f>
        <v>1.6590765935727956E+38</v>
      </c>
      <c r="VXW27" s="613">
        <f t="shared" ref="VXW27" si="7769">VXU27*$C$27</f>
        <v>1.6756673595085236E+38</v>
      </c>
      <c r="VXY27" s="613">
        <f t="shared" ref="VXY27" si="7770">VXW27*$C$27</f>
        <v>1.6924240331036088E+38</v>
      </c>
      <c r="VYA27" s="613">
        <f t="shared" ref="VYA27" si="7771">VXY27*$C$27</f>
        <v>1.7093482734346451E+38</v>
      </c>
      <c r="VYC27" s="613">
        <f t="shared" ref="VYC27" si="7772">VYA27*$C$27</f>
        <v>1.7264417561689915E+38</v>
      </c>
      <c r="VYE27" s="613">
        <f t="shared" ref="VYE27" si="7773">VYC27*$C$27</f>
        <v>1.7437061737306815E+38</v>
      </c>
      <c r="VYG27" s="613">
        <f t="shared" ref="VYG27" si="7774">VYE27*$C$27</f>
        <v>1.7611432354679882E+38</v>
      </c>
      <c r="VYI27" s="613">
        <f t="shared" ref="VYI27" si="7775">VYG27*$C$27</f>
        <v>1.7787546678226681E+38</v>
      </c>
      <c r="VYK27" s="613">
        <f t="shared" ref="VYK27" si="7776">VYI27*$C$27</f>
        <v>1.796542214500895E+38</v>
      </c>
      <c r="VYM27" s="613">
        <f t="shared" ref="VYM27" si="7777">VYK27*$C$27</f>
        <v>1.8145076366459038E+38</v>
      </c>
      <c r="VYO27" s="613">
        <f t="shared" ref="VYO27" si="7778">VYM27*$C$27</f>
        <v>1.8326527130123629E+38</v>
      </c>
      <c r="VYQ27" s="613">
        <f t="shared" ref="VYQ27" si="7779">VYO27*$C$27</f>
        <v>1.8509792401424865E+38</v>
      </c>
      <c r="VYS27" s="613">
        <f t="shared" ref="VYS27" si="7780">VYQ27*$C$27</f>
        <v>1.8694890325439114E+38</v>
      </c>
      <c r="VYU27" s="613">
        <f t="shared" ref="VYU27" si="7781">VYS27*$C$27</f>
        <v>1.8881839228693505E+38</v>
      </c>
      <c r="VYW27" s="613">
        <f t="shared" ref="VYW27" si="7782">VYU27*$C$27</f>
        <v>1.907065762098044E+38</v>
      </c>
      <c r="VYY27" s="613">
        <f t="shared" ref="VYY27" si="7783">VYW27*$C$27</f>
        <v>1.9261364197190243E+38</v>
      </c>
      <c r="VZA27" s="613">
        <f t="shared" ref="VZA27" si="7784">VYY27*$C$27</f>
        <v>1.9453977839162145E+38</v>
      </c>
      <c r="VZC27" s="613">
        <f t="shared" ref="VZC27" si="7785">VZA27*$C$27</f>
        <v>1.9648517617553767E+38</v>
      </c>
      <c r="VZE27" s="613">
        <f t="shared" ref="VZE27" si="7786">VZC27*$C$27</f>
        <v>1.9845002793729306E+38</v>
      </c>
      <c r="VZG27" s="613">
        <f t="shared" ref="VZG27" si="7787">VZE27*$C$27</f>
        <v>2.0043452821666598E+38</v>
      </c>
      <c r="VZI27" s="613">
        <f t="shared" ref="VZI27" si="7788">VZG27*$C$27</f>
        <v>2.0243887349883262E+38</v>
      </c>
      <c r="VZK27" s="613">
        <f t="shared" ref="VZK27" si="7789">VZI27*$C$27</f>
        <v>2.0446326223382095E+38</v>
      </c>
      <c r="VZM27" s="613">
        <f t="shared" ref="VZM27" si="7790">VZK27*$C$27</f>
        <v>2.0650789485615916E+38</v>
      </c>
      <c r="VZO27" s="613">
        <f t="shared" ref="VZO27" si="7791">VZM27*$C$27</f>
        <v>2.0857297380472074E+38</v>
      </c>
      <c r="VZQ27" s="613">
        <f t="shared" ref="VZQ27" si="7792">VZO27*$C$27</f>
        <v>2.1065870354276797E+38</v>
      </c>
      <c r="VZS27" s="613">
        <f t="shared" ref="VZS27" si="7793">VZQ27*$C$27</f>
        <v>2.1276529057819566E+38</v>
      </c>
      <c r="VZU27" s="613">
        <f t="shared" ref="VZU27" si="7794">VZS27*$C$27</f>
        <v>2.148929434839776E+38</v>
      </c>
      <c r="VZW27" s="613">
        <f t="shared" ref="VZW27" si="7795">VZU27*$C$27</f>
        <v>2.1704187291881738E+38</v>
      </c>
      <c r="VZY27" s="613">
        <f t="shared" ref="VZY27" si="7796">VZW27*$C$27</f>
        <v>2.1921229164800555E+38</v>
      </c>
      <c r="WAA27" s="613">
        <f t="shared" ref="WAA27" si="7797">VZY27*$C$27</f>
        <v>2.2140441456448561E+38</v>
      </c>
      <c r="WAC27" s="613">
        <f t="shared" ref="WAC27" si="7798">WAA27*$C$27</f>
        <v>2.2361845871013048E+38</v>
      </c>
      <c r="WAE27" s="613">
        <f t="shared" ref="WAE27" si="7799">WAC27*$C$27</f>
        <v>2.2585464329723178E+38</v>
      </c>
      <c r="WAG27" s="613">
        <f t="shared" ref="WAG27" si="7800">WAE27*$C$27</f>
        <v>2.281131897302041E+38</v>
      </c>
      <c r="WAI27" s="613">
        <f t="shared" ref="WAI27" si="7801">WAG27*$C$27</f>
        <v>2.3039432162750615E+38</v>
      </c>
      <c r="WAK27" s="613">
        <f t="shared" ref="WAK27" si="7802">WAI27*$C$27</f>
        <v>2.3269826484378123E+38</v>
      </c>
      <c r="WAM27" s="613">
        <f t="shared" ref="WAM27" si="7803">WAK27*$C$27</f>
        <v>2.3502524749221905E+38</v>
      </c>
      <c r="WAO27" s="613">
        <f t="shared" ref="WAO27" si="7804">WAM27*$C$27</f>
        <v>2.3737549996714124E+38</v>
      </c>
      <c r="WAQ27" s="613">
        <f t="shared" ref="WAQ27" si="7805">WAO27*$C$27</f>
        <v>2.3974925496681264E+38</v>
      </c>
      <c r="WAS27" s="613">
        <f t="shared" ref="WAS27" si="7806">WAQ27*$C$27</f>
        <v>2.4214674751648078E+38</v>
      </c>
      <c r="WAU27" s="613">
        <f t="shared" ref="WAU27" si="7807">WAS27*$C$27</f>
        <v>2.4456821499164559E+38</v>
      </c>
      <c r="WAW27" s="613">
        <f t="shared" ref="WAW27" si="7808">WAU27*$C$27</f>
        <v>2.4701389714156206E+38</v>
      </c>
      <c r="WAY27" s="613">
        <f t="shared" ref="WAY27" si="7809">WAW27*$C$27</f>
        <v>2.4948403611297769E+38</v>
      </c>
      <c r="WBA27" s="613">
        <f t="shared" ref="WBA27" si="7810">WAY27*$C$27</f>
        <v>2.5197887647410746E+38</v>
      </c>
      <c r="WBC27" s="613">
        <f t="shared" ref="WBC27" si="7811">WBA27*$C$27</f>
        <v>2.5449866523884853E+38</v>
      </c>
      <c r="WBE27" s="613">
        <f t="shared" ref="WBE27" si="7812">WBC27*$C$27</f>
        <v>2.5704365189123703E+38</v>
      </c>
      <c r="WBG27" s="613">
        <f t="shared" ref="WBG27" si="7813">WBE27*$C$27</f>
        <v>2.5961408841014938E+38</v>
      </c>
      <c r="WBI27" s="613">
        <f t="shared" ref="WBI27" si="7814">WBG27*$C$27</f>
        <v>2.6221022929425088E+38</v>
      </c>
      <c r="WBK27" s="613">
        <f t="shared" ref="WBK27" si="7815">WBI27*$C$27</f>
        <v>2.6483233158719338E+38</v>
      </c>
      <c r="WBM27" s="613">
        <f t="shared" ref="WBM27" si="7816">WBK27*$C$27</f>
        <v>2.674806549030653E+38</v>
      </c>
      <c r="WBO27" s="613">
        <f t="shared" ref="WBO27" si="7817">WBM27*$C$27</f>
        <v>2.7015546145209596E+38</v>
      </c>
      <c r="WBQ27" s="613">
        <f t="shared" ref="WBQ27" si="7818">WBO27*$C$27</f>
        <v>2.7285701606661692E+38</v>
      </c>
      <c r="WBS27" s="613">
        <f t="shared" ref="WBS27" si="7819">WBQ27*$C$27</f>
        <v>2.7558558622728309E+38</v>
      </c>
      <c r="WBU27" s="613">
        <f t="shared" ref="WBU27" si="7820">WBS27*$C$27</f>
        <v>2.7834144208955591E+38</v>
      </c>
      <c r="WBW27" s="613">
        <f t="shared" ref="WBW27" si="7821">WBU27*$C$27</f>
        <v>2.8112485651045146E+38</v>
      </c>
      <c r="WBY27" s="613">
        <f t="shared" ref="WBY27" si="7822">WBW27*$C$27</f>
        <v>2.8393610507555597E+38</v>
      </c>
      <c r="WCA27" s="613">
        <f t="shared" ref="WCA27" si="7823">WBY27*$C$27</f>
        <v>2.8677546612631153E+38</v>
      </c>
      <c r="WCC27" s="613">
        <f t="shared" ref="WCC27" si="7824">WCA27*$C$27</f>
        <v>2.8964322078757466E+38</v>
      </c>
      <c r="WCE27" s="613">
        <f t="shared" ref="WCE27" si="7825">WCC27*$C$27</f>
        <v>2.9253965299545039E+38</v>
      </c>
      <c r="WCG27" s="613">
        <f t="shared" ref="WCG27" si="7826">WCE27*$C$27</f>
        <v>2.9546504952540491E+38</v>
      </c>
      <c r="WCI27" s="613">
        <f t="shared" ref="WCI27" si="7827">WCG27*$C$27</f>
        <v>2.9841970002065895E+38</v>
      </c>
      <c r="WCK27" s="613">
        <f t="shared" ref="WCK27" si="7828">WCI27*$C$27</f>
        <v>3.0140389702086553E+38</v>
      </c>
      <c r="WCM27" s="613">
        <f t="shared" ref="WCM27" si="7829">WCK27*$C$27</f>
        <v>3.044179359910742E+38</v>
      </c>
      <c r="WCO27" s="613">
        <f t="shared" ref="WCO27" si="7830">WCM27*$C$27</f>
        <v>3.0746211535098494E+38</v>
      </c>
      <c r="WCQ27" s="613">
        <f t="shared" ref="WCQ27" si="7831">WCO27*$C$27</f>
        <v>3.105367365044948E+38</v>
      </c>
      <c r="WCS27" s="613">
        <f t="shared" ref="WCS27" si="7832">WCQ27*$C$27</f>
        <v>3.1364210386953975E+38</v>
      </c>
      <c r="WCU27" s="613">
        <f t="shared" ref="WCU27" si="7833">WCS27*$C$27</f>
        <v>3.1677852490823513E+38</v>
      </c>
      <c r="WCW27" s="613">
        <f t="shared" ref="WCW27" si="7834">WCU27*$C$27</f>
        <v>3.1994631015731747E+38</v>
      </c>
      <c r="WCY27" s="613">
        <f t="shared" ref="WCY27" si="7835">WCW27*$C$27</f>
        <v>3.2314577325889066E+38</v>
      </c>
      <c r="WDA27" s="613">
        <f t="shared" ref="WDA27" si="7836">WCY27*$C$27</f>
        <v>3.2637723099147959E+38</v>
      </c>
      <c r="WDC27" s="613">
        <f t="shared" ref="WDC27" si="7837">WDA27*$C$27</f>
        <v>3.2964100330139439E+38</v>
      </c>
      <c r="WDE27" s="613">
        <f t="shared" ref="WDE27" si="7838">WDC27*$C$27</f>
        <v>3.3293741333440836E+38</v>
      </c>
      <c r="WDG27" s="613">
        <f t="shared" ref="WDG27" si="7839">WDE27*$C$27</f>
        <v>3.3626678746775246E+38</v>
      </c>
      <c r="WDI27" s="613">
        <f t="shared" ref="WDI27" si="7840">WDG27*$C$27</f>
        <v>3.3962945534243E+38</v>
      </c>
      <c r="WDK27" s="613">
        <f t="shared" ref="WDK27" si="7841">WDI27*$C$27</f>
        <v>3.4302574989585431E+38</v>
      </c>
      <c r="WDM27" s="613">
        <f t="shared" ref="WDM27" si="7842">WDK27*$C$27</f>
        <v>3.4645600739481283E+38</v>
      </c>
      <c r="WDO27" s="613">
        <f t="shared" ref="WDO27" si="7843">WDM27*$C$27</f>
        <v>3.4992056746876097E+38</v>
      </c>
      <c r="WDQ27" s="613">
        <f t="shared" ref="WDQ27" si="7844">WDO27*$C$27</f>
        <v>3.5341977314344858E+38</v>
      </c>
      <c r="WDS27" s="613">
        <f t="shared" ref="WDS27" si="7845">WDQ27*$C$27</f>
        <v>3.5695397087488307E+38</v>
      </c>
      <c r="WDU27" s="613">
        <f t="shared" ref="WDU27" si="7846">WDS27*$C$27</f>
        <v>3.6052351058363187E+38</v>
      </c>
      <c r="WDW27" s="613">
        <f t="shared" ref="WDW27" si="7847">WDU27*$C$27</f>
        <v>3.641287456894682E+38</v>
      </c>
      <c r="WDY27" s="613">
        <f t="shared" ref="WDY27" si="7848">WDW27*$C$27</f>
        <v>3.6777003314636289E+38</v>
      </c>
      <c r="WEA27" s="613">
        <f t="shared" ref="WEA27" si="7849">WDY27*$C$27</f>
        <v>3.7144773347782653E+38</v>
      </c>
      <c r="WEC27" s="613">
        <f t="shared" ref="WEC27" si="7850">WEA27*$C$27</f>
        <v>3.7516221081260483E+38</v>
      </c>
      <c r="WEE27" s="613">
        <f t="shared" ref="WEE27" si="7851">WEC27*$C$27</f>
        <v>3.7891383292073088E+38</v>
      </c>
      <c r="WEG27" s="613">
        <f t="shared" ref="WEG27" si="7852">WEE27*$C$27</f>
        <v>3.8270297124993821E+38</v>
      </c>
      <c r="WEI27" s="613">
        <f t="shared" ref="WEI27" si="7853">WEG27*$C$27</f>
        <v>3.8653000096243759E+38</v>
      </c>
      <c r="WEK27" s="613">
        <f t="shared" ref="WEK27" si="7854">WEI27*$C$27</f>
        <v>3.9039530097206196E+38</v>
      </c>
      <c r="WEM27" s="613">
        <f t="shared" ref="WEM27" si="7855">WEK27*$C$27</f>
        <v>3.9429925398178258E+38</v>
      </c>
      <c r="WEO27" s="613">
        <f t="shared" ref="WEO27" si="7856">WEM27*$C$27</f>
        <v>3.9824224652160037E+38</v>
      </c>
      <c r="WEQ27" s="613">
        <f t="shared" ref="WEQ27" si="7857">WEO27*$C$27</f>
        <v>4.0222466898681638E+38</v>
      </c>
      <c r="WES27" s="613">
        <f t="shared" ref="WES27" si="7858">WEQ27*$C$27</f>
        <v>4.0624691567668457E+38</v>
      </c>
      <c r="WEU27" s="613">
        <f t="shared" ref="WEU27" si="7859">WES27*$C$27</f>
        <v>4.1030938483345142E+38</v>
      </c>
      <c r="WEW27" s="613">
        <f t="shared" ref="WEW27" si="7860">WEU27*$C$27</f>
        <v>4.144124786817859E+38</v>
      </c>
      <c r="WEY27" s="613">
        <f t="shared" ref="WEY27" si="7861">WEW27*$C$27</f>
        <v>4.1855660346860377E+38</v>
      </c>
      <c r="WFA27" s="613">
        <f t="shared" ref="WFA27" si="7862">WEY27*$C$27</f>
        <v>4.2274216950328982E+38</v>
      </c>
      <c r="WFC27" s="613">
        <f t="shared" ref="WFC27" si="7863">WFA27*$C$27</f>
        <v>4.2696959119832269E+38</v>
      </c>
      <c r="WFE27" s="613">
        <f t="shared" ref="WFE27" si="7864">WFC27*$C$27</f>
        <v>4.3123928711030591E+38</v>
      </c>
      <c r="WFG27" s="613">
        <f t="shared" ref="WFG27" si="7865">WFE27*$C$27</f>
        <v>4.3555167998140894E+38</v>
      </c>
      <c r="WFI27" s="613">
        <f t="shared" ref="WFI27" si="7866">WFG27*$C$27</f>
        <v>4.3990719678122306E+38</v>
      </c>
      <c r="WFK27" s="613">
        <f t="shared" ref="WFK27" si="7867">WFI27*$C$27</f>
        <v>4.4430626874903526E+38</v>
      </c>
      <c r="WFM27" s="613">
        <f t="shared" ref="WFM27" si="7868">WFK27*$C$27</f>
        <v>4.4874933143652559E+38</v>
      </c>
      <c r="WFO27" s="613">
        <f t="shared" ref="WFO27" si="7869">WFM27*$C$27</f>
        <v>4.5323682475089082E+38</v>
      </c>
      <c r="WFQ27" s="613">
        <f t="shared" ref="WFQ27" si="7870">WFO27*$C$27</f>
        <v>4.5776919299839973E+38</v>
      </c>
      <c r="WFS27" s="613">
        <f t="shared" ref="WFS27" si="7871">WFQ27*$C$27</f>
        <v>4.623468849283837E+38</v>
      </c>
      <c r="WFU27" s="613">
        <f t="shared" ref="WFU27" si="7872">WFS27*$C$27</f>
        <v>4.6697035377766752E+38</v>
      </c>
      <c r="WFW27" s="613">
        <f t="shared" ref="WFW27" si="7873">WFU27*$C$27</f>
        <v>4.7164005731544417E+38</v>
      </c>
      <c r="WFY27" s="613">
        <f t="shared" ref="WFY27" si="7874">WFW27*$C$27</f>
        <v>4.7635645788859865E+38</v>
      </c>
      <c r="WGA27" s="613">
        <f t="shared" ref="WGA27" si="7875">WFY27*$C$27</f>
        <v>4.8112002246748463E+38</v>
      </c>
      <c r="WGC27" s="613">
        <f t="shared" ref="WGC27" si="7876">WGA27*$C$27</f>
        <v>4.8593122269215949E+38</v>
      </c>
      <c r="WGE27" s="613">
        <f t="shared" ref="WGE27" si="7877">WGC27*$C$27</f>
        <v>4.907905349190811E+38</v>
      </c>
      <c r="WGG27" s="613">
        <f t="shared" ref="WGG27" si="7878">WGE27*$C$27</f>
        <v>4.9569844026827191E+38</v>
      </c>
      <c r="WGI27" s="613">
        <f t="shared" ref="WGI27" si="7879">WGG27*$C$27</f>
        <v>5.0065542467095461E+38</v>
      </c>
      <c r="WGK27" s="613">
        <f t="shared" ref="WGK27" si="7880">WGI27*$C$27</f>
        <v>5.0566197891766418E+38</v>
      </c>
      <c r="WGM27" s="613">
        <f t="shared" ref="WGM27" si="7881">WGK27*$C$27</f>
        <v>5.107185987068408E+38</v>
      </c>
      <c r="WGO27" s="613">
        <f t="shared" ref="WGO27" si="7882">WGM27*$C$27</f>
        <v>5.1582578469390923E+38</v>
      </c>
      <c r="WGQ27" s="613">
        <f t="shared" ref="WGQ27" si="7883">WGO27*$C$27</f>
        <v>5.2098404254084834E+38</v>
      </c>
      <c r="WGS27" s="613">
        <f t="shared" ref="WGS27" si="7884">WGQ27*$C$27</f>
        <v>5.2619388296625685E+38</v>
      </c>
      <c r="WGU27" s="613">
        <f t="shared" ref="WGU27" si="7885">WGS27*$C$27</f>
        <v>5.3145582179591946E+38</v>
      </c>
      <c r="WGW27" s="613">
        <f t="shared" ref="WGW27" si="7886">WGU27*$C$27</f>
        <v>5.3677038001387862E+38</v>
      </c>
      <c r="WGY27" s="613">
        <f t="shared" ref="WGY27" si="7887">WGW27*$C$27</f>
        <v>5.4213808381401739E+38</v>
      </c>
      <c r="WHA27" s="613">
        <f t="shared" ref="WHA27" si="7888">WGY27*$C$27</f>
        <v>5.475594646521576E+38</v>
      </c>
      <c r="WHC27" s="613">
        <f t="shared" ref="WHC27" si="7889">WHA27*$C$27</f>
        <v>5.5303505929867919E+38</v>
      </c>
      <c r="WHE27" s="613">
        <f t="shared" ref="WHE27" si="7890">WHC27*$C$27</f>
        <v>5.5856540989166598E+38</v>
      </c>
      <c r="WHG27" s="613">
        <f t="shared" ref="WHG27" si="7891">WHE27*$C$27</f>
        <v>5.6415106399058261E+38</v>
      </c>
      <c r="WHI27" s="613">
        <f t="shared" ref="WHI27" si="7892">WHG27*$C$27</f>
        <v>5.6979257463048847E+38</v>
      </c>
      <c r="WHK27" s="613">
        <f t="shared" ref="WHK27" si="7893">WHI27*$C$27</f>
        <v>5.7549050037679333E+38</v>
      </c>
      <c r="WHM27" s="613">
        <f t="shared" ref="WHM27" si="7894">WHK27*$C$27</f>
        <v>5.8124540538056127E+38</v>
      </c>
      <c r="WHO27" s="613">
        <f t="shared" ref="WHO27" si="7895">WHM27*$C$27</f>
        <v>5.8705785943436688E+38</v>
      </c>
      <c r="WHQ27" s="613">
        <f t="shared" ref="WHQ27" si="7896">WHO27*$C$27</f>
        <v>5.9292843802871053E+38</v>
      </c>
      <c r="WHS27" s="613">
        <f t="shared" ref="WHS27" si="7897">WHQ27*$C$27</f>
        <v>5.9885772240899765E+38</v>
      </c>
      <c r="WHU27" s="613">
        <f t="shared" ref="WHU27" si="7898">WHS27*$C$27</f>
        <v>6.0484629963308765E+38</v>
      </c>
      <c r="WHW27" s="613">
        <f t="shared" ref="WHW27" si="7899">WHU27*$C$27</f>
        <v>6.1089476262941855E+38</v>
      </c>
      <c r="WHY27" s="613">
        <f t="shared" ref="WHY27" si="7900">WHW27*$C$27</f>
        <v>6.1700371025571272E+38</v>
      </c>
      <c r="WIA27" s="613">
        <f t="shared" ref="WIA27" si="7901">WHY27*$C$27</f>
        <v>6.2317374735826986E+38</v>
      </c>
      <c r="WIC27" s="613">
        <f t="shared" ref="WIC27" si="7902">WIA27*$C$27</f>
        <v>6.2940548483185258E+38</v>
      </c>
      <c r="WIE27" s="613">
        <f t="shared" ref="WIE27" si="7903">WIC27*$C$27</f>
        <v>6.3569953968017114E+38</v>
      </c>
      <c r="WIG27" s="613">
        <f t="shared" ref="WIG27" si="7904">WIE27*$C$27</f>
        <v>6.4205653507697289E+38</v>
      </c>
      <c r="WII27" s="613">
        <f t="shared" ref="WII27" si="7905">WIG27*$C$27</f>
        <v>6.4847710042774261E+38</v>
      </c>
      <c r="WIK27" s="613">
        <f t="shared" ref="WIK27" si="7906">WII27*$C$27</f>
        <v>6.5496187143202003E+38</v>
      </c>
      <c r="WIM27" s="613">
        <f t="shared" ref="WIM27" si="7907">WIK27*$C$27</f>
        <v>6.6151149014634027E+38</v>
      </c>
      <c r="WIO27" s="613">
        <f t="shared" ref="WIO27" si="7908">WIM27*$C$27</f>
        <v>6.6812660504780371E+38</v>
      </c>
      <c r="WIQ27" s="613">
        <f t="shared" ref="WIQ27" si="7909">WIO27*$C$27</f>
        <v>6.7480787109828176E+38</v>
      </c>
      <c r="WIS27" s="613">
        <f t="shared" ref="WIS27" si="7910">WIQ27*$C$27</f>
        <v>6.8155594980926466E+38</v>
      </c>
      <c r="WIU27" s="613">
        <f t="shared" ref="WIU27" si="7911">WIS27*$C$27</f>
        <v>6.883715093073573E+38</v>
      </c>
      <c r="WIW27" s="613">
        <f t="shared" ref="WIW27" si="7912">WIU27*$C$27</f>
        <v>6.9525522440043088E+38</v>
      </c>
      <c r="WIY27" s="613">
        <f t="shared" ref="WIY27" si="7913">WIW27*$C$27</f>
        <v>7.0220777664443514E+38</v>
      </c>
      <c r="WJA27" s="613">
        <f t="shared" ref="WJA27" si="7914">WIY27*$C$27</f>
        <v>7.0922985441087957E+38</v>
      </c>
      <c r="WJC27" s="613">
        <f t="shared" ref="WJC27" si="7915">WJA27*$C$27</f>
        <v>7.1632215295498838E+38</v>
      </c>
      <c r="WJE27" s="613">
        <f t="shared" ref="WJE27" si="7916">WJC27*$C$27</f>
        <v>7.2348537448453829E+38</v>
      </c>
      <c r="WJG27" s="613">
        <f t="shared" ref="WJG27" si="7917">WJE27*$C$27</f>
        <v>7.3072022822938365E+38</v>
      </c>
      <c r="WJI27" s="613">
        <f t="shared" ref="WJI27" si="7918">WJG27*$C$27</f>
        <v>7.3802743051167755E+38</v>
      </c>
      <c r="WJK27" s="613">
        <f t="shared" ref="WJK27" si="7919">WJI27*$C$27</f>
        <v>7.4540770481679433E+38</v>
      </c>
      <c r="WJM27" s="613">
        <f t="shared" ref="WJM27" si="7920">WJK27*$C$27</f>
        <v>7.5286178186496225E+38</v>
      </c>
      <c r="WJO27" s="613">
        <f t="shared" ref="WJO27" si="7921">WJM27*$C$27</f>
        <v>7.6039039968361189E+38</v>
      </c>
      <c r="WJQ27" s="613">
        <f t="shared" ref="WJQ27" si="7922">WJO27*$C$27</f>
        <v>7.6799430368044808E+38</v>
      </c>
      <c r="WJS27" s="613">
        <f t="shared" ref="WJS27" si="7923">WJQ27*$C$27</f>
        <v>7.7567424671725251E+38</v>
      </c>
      <c r="WJU27" s="613">
        <f t="shared" ref="WJU27" si="7924">WJS27*$C$27</f>
        <v>7.8343098918442507E+38</v>
      </c>
      <c r="WJW27" s="613">
        <f t="shared" ref="WJW27" si="7925">WJU27*$C$27</f>
        <v>7.9126529907626935E+38</v>
      </c>
      <c r="WJY27" s="613">
        <f t="shared" ref="WJY27" si="7926">WJW27*$C$27</f>
        <v>7.9917795206703204E+38</v>
      </c>
      <c r="WKA27" s="613">
        <f t="shared" ref="WKA27" si="7927">WJY27*$C$27</f>
        <v>8.0716973158770243E+38</v>
      </c>
      <c r="WKC27" s="613">
        <f t="shared" ref="WKC27" si="7928">WKA27*$C$27</f>
        <v>8.1524142890357941E+38</v>
      </c>
      <c r="WKE27" s="613">
        <f t="shared" ref="WKE27" si="7929">WKC27*$C$27</f>
        <v>8.2339384319261528E+38</v>
      </c>
      <c r="WKG27" s="613">
        <f t="shared" ref="WKG27" si="7930">WKE27*$C$27</f>
        <v>8.3162778162454148E+38</v>
      </c>
      <c r="WKI27" s="613">
        <f t="shared" ref="WKI27" si="7931">WKG27*$C$27</f>
        <v>8.3994405944078684E+38</v>
      </c>
      <c r="WKK27" s="613">
        <f t="shared" ref="WKK27" si="7932">WKI27*$C$27</f>
        <v>8.4834350003519478E+38</v>
      </c>
      <c r="WKM27" s="613">
        <f t="shared" ref="WKM27" si="7933">WKK27*$C$27</f>
        <v>8.5682693503554668E+38</v>
      </c>
      <c r="WKO27" s="613">
        <f t="shared" ref="WKO27" si="7934">WKM27*$C$27</f>
        <v>8.6539520438590215E+38</v>
      </c>
      <c r="WKQ27" s="613">
        <f t="shared" ref="WKQ27" si="7935">WKO27*$C$27</f>
        <v>8.7404915642976123E+38</v>
      </c>
      <c r="WKS27" s="613">
        <f t="shared" ref="WKS27" si="7936">WKQ27*$C$27</f>
        <v>8.8278964799405882E+38</v>
      </c>
      <c r="WKU27" s="613">
        <f t="shared" ref="WKU27" si="7937">WKS27*$C$27</f>
        <v>8.9161754447399944E+38</v>
      </c>
      <c r="WKW27" s="613">
        <f t="shared" ref="WKW27" si="7938">WKU27*$C$27</f>
        <v>9.0053371991873938E+38</v>
      </c>
      <c r="WKY27" s="613">
        <f t="shared" ref="WKY27" si="7939">WKW27*$C$27</f>
        <v>9.0953905711792675E+38</v>
      </c>
      <c r="WLA27" s="613">
        <f t="shared" ref="WLA27" si="7940">WKY27*$C$27</f>
        <v>9.1863444768910605E+38</v>
      </c>
      <c r="WLC27" s="613">
        <f t="shared" ref="WLC27" si="7941">WLA27*$C$27</f>
        <v>9.2782079216599712E+38</v>
      </c>
      <c r="WLE27" s="613">
        <f t="shared" ref="WLE27" si="7942">WLC27*$C$27</f>
        <v>9.3709900008765703E+38</v>
      </c>
      <c r="WLG27" s="613">
        <f t="shared" ref="WLG27" si="7943">WLE27*$C$27</f>
        <v>9.4646999008853359E+38</v>
      </c>
      <c r="WLI27" s="613">
        <f t="shared" ref="WLI27" si="7944">WLG27*$C$27</f>
        <v>9.5593468998941888E+38</v>
      </c>
      <c r="WLK27" s="613">
        <f t="shared" ref="WLK27" si="7945">WLI27*$C$27</f>
        <v>9.6549403688931309E+38</v>
      </c>
      <c r="WLM27" s="613">
        <f t="shared" ref="WLM27" si="7946">WLK27*$C$27</f>
        <v>9.7514897725820625E+38</v>
      </c>
      <c r="WLO27" s="613">
        <f t="shared" ref="WLO27" si="7947">WLM27*$C$27</f>
        <v>9.849004670307883E+38</v>
      </c>
      <c r="WLQ27" s="613">
        <f t="shared" ref="WLQ27" si="7948">WLO27*$C$27</f>
        <v>9.9474947170109614E+38</v>
      </c>
      <c r="WLS27" s="613">
        <f t="shared" ref="WLS27" si="7949">WLQ27*$C$27</f>
        <v>1.0046969664181071E+39</v>
      </c>
      <c r="WLU27" s="613">
        <f t="shared" ref="WLU27" si="7950">WLS27*$C$27</f>
        <v>1.0147439360822882E+39</v>
      </c>
      <c r="WLW27" s="613">
        <f t="shared" ref="WLW27" si="7951">WLU27*$C$27</f>
        <v>1.024891375443111E+39</v>
      </c>
      <c r="WLY27" s="613">
        <f t="shared" ref="WLY27" si="7952">WLW27*$C$27</f>
        <v>1.0351402891975421E+39</v>
      </c>
      <c r="WMA27" s="613">
        <f t="shared" ref="WMA27" si="7953">WLY27*$C$27</f>
        <v>1.0454916920895175E+39</v>
      </c>
      <c r="WMC27" s="613">
        <f t="shared" ref="WMC27" si="7954">WMA27*$C$27</f>
        <v>1.0559466090104127E+39</v>
      </c>
      <c r="WME27" s="613">
        <f t="shared" ref="WME27" si="7955">WMC27*$C$27</f>
        <v>1.0665060751005169E+39</v>
      </c>
      <c r="WMG27" s="613">
        <f t="shared" ref="WMG27" si="7956">WME27*$C$27</f>
        <v>1.0771711358515221E+39</v>
      </c>
      <c r="WMI27" s="613">
        <f t="shared" ref="WMI27" si="7957">WMG27*$C$27</f>
        <v>1.0879428472100373E+39</v>
      </c>
      <c r="WMK27" s="613">
        <f t="shared" ref="WMK27" si="7958">WMI27*$C$27</f>
        <v>1.0988222756821377E+39</v>
      </c>
      <c r="WMM27" s="613">
        <f t="shared" ref="WMM27" si="7959">WMK27*$C$27</f>
        <v>1.1098104984389591E+39</v>
      </c>
      <c r="WMO27" s="613">
        <f t="shared" ref="WMO27" si="7960">WMM27*$C$27</f>
        <v>1.1209086034233487E+39</v>
      </c>
      <c r="WMQ27" s="613">
        <f t="shared" ref="WMQ27" si="7961">WMO27*$C$27</f>
        <v>1.1321176894575823E+39</v>
      </c>
      <c r="WMS27" s="613">
        <f t="shared" ref="WMS27" si="7962">WMQ27*$C$27</f>
        <v>1.143438866352158E+39</v>
      </c>
      <c r="WMU27" s="613">
        <f t="shared" ref="WMU27" si="7963">WMS27*$C$27</f>
        <v>1.1548732550156795E+39</v>
      </c>
      <c r="WMW27" s="613">
        <f t="shared" ref="WMW27" si="7964">WMU27*$C$27</f>
        <v>1.1664219875658363E+39</v>
      </c>
      <c r="WMY27" s="613">
        <f t="shared" ref="WMY27" si="7965">WMW27*$C$27</f>
        <v>1.1780862074414946E+39</v>
      </c>
      <c r="WNA27" s="613">
        <f t="shared" ref="WNA27" si="7966">WMY27*$C$27</f>
        <v>1.1898670695159095E+39</v>
      </c>
      <c r="WNC27" s="613">
        <f t="shared" ref="WNC27" si="7967">WNA27*$C$27</f>
        <v>1.2017657402110687E+39</v>
      </c>
      <c r="WNE27" s="613">
        <f t="shared" ref="WNE27" si="7968">WNC27*$C$27</f>
        <v>1.2137833976131794E+39</v>
      </c>
      <c r="WNG27" s="613">
        <f t="shared" ref="WNG27" si="7969">WNE27*$C$27</f>
        <v>1.2259212315893112E+39</v>
      </c>
      <c r="WNI27" s="613">
        <f t="shared" ref="WNI27" si="7970">WNG27*$C$27</f>
        <v>1.2381804439052043E+39</v>
      </c>
      <c r="WNK27" s="613">
        <f t="shared" ref="WNK27" si="7971">WNI27*$C$27</f>
        <v>1.2505622483442564E+39</v>
      </c>
      <c r="WNM27" s="613">
        <f t="shared" ref="WNM27" si="7972">WNK27*$C$27</f>
        <v>1.263067870827699E+39</v>
      </c>
      <c r="WNO27" s="613">
        <f t="shared" ref="WNO27" si="7973">WNM27*$C$27</f>
        <v>1.2756985495359759E+39</v>
      </c>
      <c r="WNQ27" s="613">
        <f t="shared" ref="WNQ27" si="7974">WNO27*$C$27</f>
        <v>1.2884555350313357E+39</v>
      </c>
      <c r="WNS27" s="613">
        <f t="shared" ref="WNS27" si="7975">WNQ27*$C$27</f>
        <v>1.3013400903816491E+39</v>
      </c>
      <c r="WNU27" s="613">
        <f t="shared" ref="WNU27" si="7976">WNS27*$C$27</f>
        <v>1.3143534912854655E+39</v>
      </c>
      <c r="WNW27" s="613">
        <f t="shared" ref="WNW27" si="7977">WNU27*$C$27</f>
        <v>1.3274970261983202E+39</v>
      </c>
      <c r="WNY27" s="613">
        <f t="shared" ref="WNY27" si="7978">WNW27*$C$27</f>
        <v>1.3407719964603034E+39</v>
      </c>
      <c r="WOA27" s="613">
        <f t="shared" ref="WOA27" si="7979">WNY27*$C$27</f>
        <v>1.3541797164249064E+39</v>
      </c>
      <c r="WOC27" s="613">
        <f t="shared" ref="WOC27" si="7980">WOA27*$C$27</f>
        <v>1.3677215135891554E+39</v>
      </c>
      <c r="WOE27" s="613">
        <f t="shared" ref="WOE27" si="7981">WOC27*$C$27</f>
        <v>1.3813987287250469E+39</v>
      </c>
      <c r="WOG27" s="613">
        <f t="shared" ref="WOG27" si="7982">WOE27*$C$27</f>
        <v>1.3952127160122973E+39</v>
      </c>
      <c r="WOI27" s="613">
        <f t="shared" ref="WOI27" si="7983">WOG27*$C$27</f>
        <v>1.4091648431724202E+39</v>
      </c>
      <c r="WOK27" s="613">
        <f t="shared" ref="WOK27" si="7984">WOI27*$C$27</f>
        <v>1.4232564916041444E+39</v>
      </c>
      <c r="WOM27" s="613">
        <f t="shared" ref="WOM27" si="7985">WOK27*$C$27</f>
        <v>1.437489056520186E+39</v>
      </c>
      <c r="WOO27" s="613">
        <f t="shared" ref="WOO27" si="7986">WOM27*$C$27</f>
        <v>1.4518639470853879E+39</v>
      </c>
      <c r="WOQ27" s="613">
        <f t="shared" ref="WOQ27" si="7987">WOO27*$C$27</f>
        <v>1.4663825865562418E+39</v>
      </c>
      <c r="WOS27" s="613">
        <f t="shared" ref="WOS27" si="7988">WOQ27*$C$27</f>
        <v>1.4810464124218041E+39</v>
      </c>
      <c r="WOU27" s="613">
        <f t="shared" ref="WOU27" si="7989">WOS27*$C$27</f>
        <v>1.4958568765460221E+39</v>
      </c>
      <c r="WOW27" s="613">
        <f t="shared" ref="WOW27" si="7990">WOU27*$C$27</f>
        <v>1.5108154453114823E+39</v>
      </c>
      <c r="WOY27" s="613">
        <f t="shared" ref="WOY27" si="7991">WOW27*$C$27</f>
        <v>1.5259235997645971E+39</v>
      </c>
      <c r="WPA27" s="613">
        <f t="shared" ref="WPA27" si="7992">WOY27*$C$27</f>
        <v>1.5411828357622431E+39</v>
      </c>
      <c r="WPC27" s="613">
        <f t="shared" ref="WPC27" si="7993">WPA27*$C$27</f>
        <v>1.5565946641198655E+39</v>
      </c>
      <c r="WPE27" s="613">
        <f t="shared" ref="WPE27" si="7994">WPC27*$C$27</f>
        <v>1.5721606107610643E+39</v>
      </c>
      <c r="WPG27" s="613">
        <f t="shared" ref="WPG27" si="7995">WPE27*$C$27</f>
        <v>1.5878822168686749E+39</v>
      </c>
      <c r="WPI27" s="613">
        <f t="shared" ref="WPI27" si="7996">WPG27*$C$27</f>
        <v>1.6037610390373617E+39</v>
      </c>
      <c r="WPK27" s="613">
        <f t="shared" ref="WPK27" si="7997">WPI27*$C$27</f>
        <v>1.6197986494277353E+39</v>
      </c>
      <c r="WPM27" s="613">
        <f t="shared" ref="WPM27" si="7998">WPK27*$C$27</f>
        <v>1.6359966359220126E+39</v>
      </c>
      <c r="WPO27" s="613">
        <f t="shared" ref="WPO27" si="7999">WPM27*$C$27</f>
        <v>1.6523566022812329E+39</v>
      </c>
      <c r="WPQ27" s="613">
        <f t="shared" ref="WPQ27" si="8000">WPO27*$C$27</f>
        <v>1.6688801683040452E+39</v>
      </c>
      <c r="WPS27" s="613">
        <f t="shared" ref="WPS27" si="8001">WPQ27*$C$27</f>
        <v>1.6855689699870857E+39</v>
      </c>
      <c r="WPU27" s="613">
        <f t="shared" ref="WPU27" si="8002">WPS27*$C$27</f>
        <v>1.7024246596869567E+39</v>
      </c>
      <c r="WPW27" s="613">
        <f t="shared" ref="WPW27" si="8003">WPU27*$C$27</f>
        <v>1.7194489062838264E+39</v>
      </c>
      <c r="WPY27" s="613">
        <f t="shared" ref="WPY27" si="8004">WPW27*$C$27</f>
        <v>1.7366433953466648E+39</v>
      </c>
      <c r="WQA27" s="613">
        <f t="shared" ref="WQA27" si="8005">WPY27*$C$27</f>
        <v>1.7540098293001315E+39</v>
      </c>
      <c r="WQC27" s="613">
        <f t="shared" ref="WQC27" si="8006">WQA27*$C$27</f>
        <v>1.7715499275931329E+39</v>
      </c>
      <c r="WQE27" s="613">
        <f t="shared" ref="WQE27" si="8007">WQC27*$C$27</f>
        <v>1.7892654268690641E+39</v>
      </c>
      <c r="WQG27" s="613">
        <f t="shared" ref="WQG27" si="8008">WQE27*$C$27</f>
        <v>1.8071580811377547E+39</v>
      </c>
      <c r="WQI27" s="613">
        <f t="shared" ref="WQI27" si="8009">WQG27*$C$27</f>
        <v>1.8252296619491321E+39</v>
      </c>
      <c r="WQK27" s="613">
        <f t="shared" ref="WQK27" si="8010">WQI27*$C$27</f>
        <v>1.8434819585686236E+39</v>
      </c>
      <c r="WQM27" s="613">
        <f t="shared" ref="WQM27" si="8011">WQK27*$C$27</f>
        <v>1.8619167781543098E+39</v>
      </c>
      <c r="WQO27" s="613">
        <f t="shared" ref="WQO27" si="8012">WQM27*$C$27</f>
        <v>1.880535945935853E+39</v>
      </c>
      <c r="WQQ27" s="613">
        <f t="shared" ref="WQQ27" si="8013">WQO27*$C$27</f>
        <v>1.8993413053952115E+39</v>
      </c>
      <c r="WQS27" s="613">
        <f t="shared" ref="WQS27" si="8014">WQQ27*$C$27</f>
        <v>1.9183347184491636E+39</v>
      </c>
      <c r="WQU27" s="613">
        <f t="shared" ref="WQU27" si="8015">WQS27*$C$27</f>
        <v>1.9375180656336553E+39</v>
      </c>
      <c r="WQW27" s="613">
        <f t="shared" ref="WQW27" si="8016">WQU27*$C$27</f>
        <v>1.9568932462899918E+39</v>
      </c>
      <c r="WQY27" s="613">
        <f t="shared" ref="WQY27" si="8017">WQW27*$C$27</f>
        <v>1.9764621787528918E+39</v>
      </c>
      <c r="WRA27" s="613">
        <f t="shared" ref="WRA27" si="8018">WQY27*$C$27</f>
        <v>1.9962268005404206E+39</v>
      </c>
      <c r="WRC27" s="613">
        <f t="shared" ref="WRC27" si="8019">WRA27*$C$27</f>
        <v>2.0161890685458249E+39</v>
      </c>
      <c r="WRE27" s="613">
        <f t="shared" ref="WRE27" si="8020">WRC27*$C$27</f>
        <v>2.0363509592312831E+39</v>
      </c>
      <c r="WRG27" s="613">
        <f t="shared" ref="WRG27" si="8021">WRE27*$C$27</f>
        <v>2.0567144688235959E+39</v>
      </c>
      <c r="WRI27" s="613">
        <f t="shared" ref="WRI27" si="8022">WRG27*$C$27</f>
        <v>2.0772816135118318E+39</v>
      </c>
      <c r="WRK27" s="613">
        <f t="shared" ref="WRK27" si="8023">WRI27*$C$27</f>
        <v>2.0980544296469501E+39</v>
      </c>
      <c r="WRM27" s="613">
        <f t="shared" ref="WRM27" si="8024">WRK27*$C$27</f>
        <v>2.1190349739434195E+39</v>
      </c>
      <c r="WRO27" s="613">
        <f t="shared" ref="WRO27" si="8025">WRM27*$C$27</f>
        <v>2.1402253236828536E+39</v>
      </c>
      <c r="WRQ27" s="613">
        <f t="shared" ref="WRQ27" si="8026">WRO27*$C$27</f>
        <v>2.161627576919682E+39</v>
      </c>
      <c r="WRS27" s="613">
        <f t="shared" ref="WRS27" si="8027">WRQ27*$C$27</f>
        <v>2.1832438526888789E+39</v>
      </c>
      <c r="WRU27" s="613">
        <f t="shared" ref="WRU27" si="8028">WRS27*$C$27</f>
        <v>2.2050762912157678E+39</v>
      </c>
      <c r="WRW27" s="613">
        <f t="shared" ref="WRW27" si="8029">WRU27*$C$27</f>
        <v>2.2271270541279256E+39</v>
      </c>
      <c r="WRY27" s="613">
        <f t="shared" ref="WRY27" si="8030">WRW27*$C$27</f>
        <v>2.2493983246692047E+39</v>
      </c>
      <c r="WSA27" s="613">
        <f t="shared" ref="WSA27" si="8031">WRY27*$C$27</f>
        <v>2.2718923079158968E+39</v>
      </c>
      <c r="WSC27" s="613">
        <f t="shared" ref="WSC27" si="8032">WSA27*$C$27</f>
        <v>2.2946112309950556E+39</v>
      </c>
      <c r="WSE27" s="613">
        <f t="shared" ref="WSE27" si="8033">WSC27*$C$27</f>
        <v>2.3175573433050062E+39</v>
      </c>
      <c r="WSG27" s="613">
        <f t="shared" ref="WSG27" si="8034">WSE27*$C$27</f>
        <v>2.3407329167380563E+39</v>
      </c>
      <c r="WSI27" s="613">
        <f t="shared" ref="WSI27" si="8035">WSG27*$C$27</f>
        <v>2.3641402459054369E+39</v>
      </c>
      <c r="WSK27" s="613">
        <f t="shared" ref="WSK27" si="8036">WSI27*$C$27</f>
        <v>2.3877816483644912E+39</v>
      </c>
      <c r="WSM27" s="613">
        <f t="shared" ref="WSM27" si="8037">WSK27*$C$27</f>
        <v>2.4116594648481362E+39</v>
      </c>
      <c r="WSO27" s="613">
        <f t="shared" ref="WSO27" si="8038">WSM27*$C$27</f>
        <v>2.4357760594966177E+39</v>
      </c>
      <c r="WSQ27" s="613">
        <f t="shared" ref="WSQ27" si="8039">WSO27*$C$27</f>
        <v>2.4601338200915841E+39</v>
      </c>
      <c r="WSS27" s="613">
        <f t="shared" ref="WSS27" si="8040">WSQ27*$C$27</f>
        <v>2.4847351582924999E+39</v>
      </c>
      <c r="WSU27" s="613">
        <f t="shared" ref="WSU27" si="8041">WSS27*$C$27</f>
        <v>2.5095825098754248E+39</v>
      </c>
      <c r="WSW27" s="613">
        <f t="shared" ref="WSW27" si="8042">WSU27*$C$27</f>
        <v>2.5346783349741791E+39</v>
      </c>
      <c r="WSY27" s="613">
        <f t="shared" ref="WSY27" si="8043">WSW27*$C$27</f>
        <v>2.5600251183239208E+39</v>
      </c>
      <c r="WTA27" s="613">
        <f t="shared" ref="WTA27" si="8044">WSY27*$C$27</f>
        <v>2.5856253695071601E+39</v>
      </c>
      <c r="WTC27" s="613">
        <f t="shared" ref="WTC27" si="8045">WTA27*$C$27</f>
        <v>2.6114816232022317E+39</v>
      </c>
      <c r="WTE27" s="613">
        <f t="shared" ref="WTE27" si="8046">WTC27*$C$27</f>
        <v>2.637596439434254E+39</v>
      </c>
      <c r="WTG27" s="613">
        <f t="shared" ref="WTG27" si="8047">WTE27*$C$27</f>
        <v>2.6639724038285967E+39</v>
      </c>
      <c r="WTI27" s="613">
        <f t="shared" ref="WTI27" si="8048">WTG27*$C$27</f>
        <v>2.6906121278668827E+39</v>
      </c>
      <c r="WTK27" s="613">
        <f t="shared" ref="WTK27" si="8049">WTI27*$C$27</f>
        <v>2.7175182491455514E+39</v>
      </c>
      <c r="WTM27" s="613">
        <f t="shared" ref="WTM27" si="8050">WTK27*$C$27</f>
        <v>2.744693431637007E+39</v>
      </c>
      <c r="WTO27" s="613">
        <f t="shared" ref="WTO27" si="8051">WTM27*$C$27</f>
        <v>2.7721403659533768E+39</v>
      </c>
      <c r="WTQ27" s="613">
        <f t="shared" ref="WTQ27" si="8052">WTO27*$C$27</f>
        <v>2.7998617696129107E+39</v>
      </c>
      <c r="WTS27" s="613">
        <f t="shared" ref="WTS27" si="8053">WTQ27*$C$27</f>
        <v>2.8278603873090396E+39</v>
      </c>
      <c r="WTU27" s="613">
        <f t="shared" ref="WTU27" si="8054">WTS27*$C$27</f>
        <v>2.8561389911821302E+39</v>
      </c>
      <c r="WTW27" s="613">
        <f t="shared" ref="WTW27" si="8055">WTU27*$C$27</f>
        <v>2.8847003810939513E+39</v>
      </c>
      <c r="WTY27" s="613">
        <f t="shared" ref="WTY27" si="8056">WTW27*$C$27</f>
        <v>2.9135473849048908E+39</v>
      </c>
      <c r="WUA27" s="613">
        <f t="shared" ref="WUA27" si="8057">WTY27*$C$27</f>
        <v>2.9426828587539398E+39</v>
      </c>
      <c r="WUC27" s="613">
        <f t="shared" ref="WUC27" si="8058">WUA27*$C$27</f>
        <v>2.9721096873414794E+39</v>
      </c>
      <c r="WUE27" s="613">
        <f t="shared" ref="WUE27" si="8059">WUC27*$C$27</f>
        <v>3.0018307842148941E+39</v>
      </c>
      <c r="WUG27" s="613">
        <f t="shared" ref="WUG27" si="8060">WUE27*$C$27</f>
        <v>3.0318490920570429E+39</v>
      </c>
      <c r="WUI27" s="613">
        <f t="shared" ref="WUI27" si="8061">WUG27*$C$27</f>
        <v>3.0621675829776135E+39</v>
      </c>
      <c r="WUK27" s="613">
        <f t="shared" ref="WUK27" si="8062">WUI27*$C$27</f>
        <v>3.0927892588073896E+39</v>
      </c>
      <c r="WUM27" s="613">
        <f t="shared" ref="WUM27" si="8063">WUK27*$C$27</f>
        <v>3.1237171513954633E+39</v>
      </c>
      <c r="WUO27" s="613">
        <f t="shared" ref="WUO27" si="8064">WUM27*$C$27</f>
        <v>3.1549543229094179E+39</v>
      </c>
      <c r="WUQ27" s="613">
        <f t="shared" ref="WUQ27" si="8065">WUO27*$C$27</f>
        <v>3.1865038661385123E+39</v>
      </c>
      <c r="WUS27" s="613">
        <f t="shared" ref="WUS27" si="8066">WUQ27*$C$27</f>
        <v>3.2183689047998975E+39</v>
      </c>
      <c r="WUU27" s="613">
        <f t="shared" ref="WUU27" si="8067">WUS27*$C$27</f>
        <v>3.2505525938478965E+39</v>
      </c>
      <c r="WUW27" s="613">
        <f t="shared" ref="WUW27" si="8068">WUU27*$C$27</f>
        <v>3.2830581197863756E+39</v>
      </c>
      <c r="WUY27" s="613">
        <f t="shared" ref="WUY27" si="8069">WUW27*$C$27</f>
        <v>3.3158887009842396E+39</v>
      </c>
      <c r="WVA27" s="613">
        <f t="shared" ref="WVA27" si="8070">WUY27*$C$27</f>
        <v>3.3490475879940819E+39</v>
      </c>
      <c r="WVC27" s="613">
        <f t="shared" ref="WVC27" si="8071">WVA27*$C$27</f>
        <v>3.3825380638740229E+39</v>
      </c>
      <c r="WVE27" s="613">
        <f t="shared" ref="WVE27" si="8072">WVC27*$C$27</f>
        <v>3.4163634445127632E+39</v>
      </c>
      <c r="WVG27" s="613">
        <f t="shared" ref="WVG27" si="8073">WVE27*$C$27</f>
        <v>3.4505270789578909E+39</v>
      </c>
      <c r="WVI27" s="613">
        <f t="shared" ref="WVI27" si="8074">WVG27*$C$27</f>
        <v>3.4850323497474699E+39</v>
      </c>
      <c r="WVK27" s="613">
        <f t="shared" ref="WVK27" si="8075">WVI27*$C$27</f>
        <v>3.5198826732449448E+39</v>
      </c>
      <c r="WVM27" s="613">
        <f t="shared" ref="WVM27" si="8076">WVK27*$C$27</f>
        <v>3.5550814999773943E+39</v>
      </c>
      <c r="WVO27" s="613">
        <f t="shared" ref="WVO27" si="8077">WVM27*$C$27</f>
        <v>3.5906323149771684E+39</v>
      </c>
      <c r="WVQ27" s="613">
        <f t="shared" ref="WVQ27" si="8078">WVO27*$C$27</f>
        <v>3.62653863812694E+39</v>
      </c>
      <c r="WVS27" s="613">
        <f t="shared" ref="WVS27" si="8079">WVQ27*$C$27</f>
        <v>3.6628040245082092E+39</v>
      </c>
      <c r="WVU27" s="613">
        <f t="shared" ref="WVU27" si="8080">WVS27*$C$27</f>
        <v>3.6994320647532914E+39</v>
      </c>
      <c r="WVW27" s="613">
        <f t="shared" ref="WVW27" si="8081">WVU27*$C$27</f>
        <v>3.7364263854008244E+39</v>
      </c>
      <c r="WVY27" s="613">
        <f t="shared" ref="WVY27" si="8082">WVW27*$C$27</f>
        <v>3.7737906492548327E+39</v>
      </c>
      <c r="WWA27" s="613">
        <f t="shared" ref="WWA27" si="8083">WVY27*$C$27</f>
        <v>3.811528555747381E+39</v>
      </c>
      <c r="WWC27" s="613">
        <f t="shared" ref="WWC27" si="8084">WWA27*$C$27</f>
        <v>3.8496438413048551E+39</v>
      </c>
      <c r="WWE27" s="613">
        <f t="shared" ref="WWE27" si="8085">WWC27*$C$27</f>
        <v>3.8881402797179038E+39</v>
      </c>
      <c r="WWG27" s="613">
        <f t="shared" ref="WWG27" si="8086">WWE27*$C$27</f>
        <v>3.9270216825150827E+39</v>
      </c>
      <c r="WWI27" s="613">
        <f t="shared" ref="WWI27" si="8087">WWG27*$C$27</f>
        <v>3.9662918993402336E+39</v>
      </c>
      <c r="WWK27" s="613">
        <f t="shared" ref="WWK27" si="8088">WWI27*$C$27</f>
        <v>4.0059548183336357E+39</v>
      </c>
      <c r="WWM27" s="613">
        <f t="shared" ref="WWM27" si="8089">WWK27*$C$27</f>
        <v>4.0460143665169718E+39</v>
      </c>
      <c r="WWO27" s="613">
        <f t="shared" ref="WWO27" si="8090">WWM27*$C$27</f>
        <v>4.0864745101821415E+39</v>
      </c>
      <c r="WWQ27" s="613">
        <f t="shared" ref="WWQ27" si="8091">WWO27*$C$27</f>
        <v>4.1273392552839629E+39</v>
      </c>
      <c r="WWS27" s="613">
        <f t="shared" ref="WWS27" si="8092">WWQ27*$C$27</f>
        <v>4.1686126478368026E+39</v>
      </c>
      <c r="WWU27" s="613">
        <f t="shared" ref="WWU27" si="8093">WWS27*$C$27</f>
        <v>4.2102987743151707E+39</v>
      </c>
      <c r="WWW27" s="613">
        <f t="shared" ref="WWW27" si="8094">WWU27*$C$27</f>
        <v>4.2524017620583226E+39</v>
      </c>
      <c r="WWY27" s="613">
        <f t="shared" ref="WWY27" si="8095">WWW27*$C$27</f>
        <v>4.2949257796789061E+39</v>
      </c>
      <c r="WXA27" s="613">
        <f t="shared" ref="WXA27" si="8096">WWY27*$C$27</f>
        <v>4.3378750374756953E+39</v>
      </c>
      <c r="WXC27" s="613">
        <f t="shared" ref="WXC27" si="8097">WXA27*$C$27</f>
        <v>4.3812537878504524E+39</v>
      </c>
      <c r="WXE27" s="613">
        <f t="shared" ref="WXE27" si="8098">WXC27*$C$27</f>
        <v>4.4250663257289568E+39</v>
      </c>
      <c r="WXG27" s="613">
        <f t="shared" ref="WXG27" si="8099">WXE27*$C$27</f>
        <v>4.4693169889862464E+39</v>
      </c>
      <c r="WXI27" s="613">
        <f t="shared" ref="WXI27" si="8100">WXG27*$C$27</f>
        <v>4.5140101588761089E+39</v>
      </c>
      <c r="WXK27" s="613">
        <f t="shared" ref="WXK27" si="8101">WXI27*$C$27</f>
        <v>4.5591502604648702E+39</v>
      </c>
      <c r="WXM27" s="613">
        <f t="shared" ref="WXM27" si="8102">WXK27*$C$27</f>
        <v>4.6047417630695192E+39</v>
      </c>
      <c r="WXO27" s="613">
        <f t="shared" ref="WXO27" si="8103">WXM27*$C$27</f>
        <v>4.6507891807002143E+39</v>
      </c>
      <c r="WXQ27" s="613">
        <f t="shared" ref="WXQ27" si="8104">WXO27*$C$27</f>
        <v>4.6972970725072165E+39</v>
      </c>
      <c r="WXS27" s="613">
        <f t="shared" ref="WXS27" si="8105">WXQ27*$C$27</f>
        <v>4.7442700432322885E+39</v>
      </c>
      <c r="WXU27" s="613">
        <f t="shared" ref="WXU27" si="8106">WXS27*$C$27</f>
        <v>4.7917127436646112E+39</v>
      </c>
      <c r="WXW27" s="613">
        <f t="shared" ref="WXW27" si="8107">WXU27*$C$27</f>
        <v>4.8396298711012574E+39</v>
      </c>
      <c r="WXY27" s="613">
        <f t="shared" ref="WXY27" si="8108">WXW27*$C$27</f>
        <v>4.8880261698122698E+39</v>
      </c>
      <c r="WYA27" s="613">
        <f t="shared" ref="WYA27" si="8109">WXY27*$C$27</f>
        <v>4.9369064315103926E+39</v>
      </c>
      <c r="WYC27" s="613">
        <f t="shared" ref="WYC27" si="8110">WYA27*$C$27</f>
        <v>4.9862754958254965E+39</v>
      </c>
      <c r="WYE27" s="613">
        <f t="shared" ref="WYE27" si="8111">WYC27*$C$27</f>
        <v>5.0361382507837517E+39</v>
      </c>
      <c r="WYG27" s="613">
        <f t="shared" ref="WYG27" si="8112">WYE27*$C$27</f>
        <v>5.0864996332915893E+39</v>
      </c>
      <c r="WYI27" s="613">
        <f t="shared" ref="WYI27" si="8113">WYG27*$C$27</f>
        <v>5.1373646296245054E+39</v>
      </c>
      <c r="WYK27" s="613">
        <f t="shared" ref="WYK27" si="8114">WYI27*$C$27</f>
        <v>5.1887382759207503E+39</v>
      </c>
      <c r="WYM27" s="613">
        <f t="shared" ref="WYM27" si="8115">WYK27*$C$27</f>
        <v>5.2406256586799576E+39</v>
      </c>
      <c r="WYO27" s="613">
        <f t="shared" ref="WYO27" si="8116">WYM27*$C$27</f>
        <v>5.2930319152667572E+39</v>
      </c>
      <c r="WYQ27" s="613">
        <f t="shared" ref="WYQ27" si="8117">WYO27*$C$27</f>
        <v>5.345962234419425E+39</v>
      </c>
      <c r="WYS27" s="613">
        <f t="shared" ref="WYS27" si="8118">WYQ27*$C$27</f>
        <v>5.3994218567636191E+39</v>
      </c>
      <c r="WYU27" s="613">
        <f t="shared" ref="WYU27" si="8119">WYS27*$C$27</f>
        <v>5.4534160753312555E+39</v>
      </c>
      <c r="WYW27" s="613">
        <f t="shared" ref="WYW27" si="8120">WYU27*$C$27</f>
        <v>5.5079502360845676E+39</v>
      </c>
      <c r="WYY27" s="613">
        <f t="shared" ref="WYY27" si="8121">WYW27*$C$27</f>
        <v>5.5630297384454129E+39</v>
      </c>
      <c r="WZA27" s="613">
        <f t="shared" ref="WZA27" si="8122">WYY27*$C$27</f>
        <v>5.6186600358298672E+39</v>
      </c>
      <c r="WZC27" s="613">
        <f t="shared" ref="WZC27" si="8123">WZA27*$C$27</f>
        <v>5.6748466361881663E+39</v>
      </c>
      <c r="WZE27" s="613">
        <f t="shared" ref="WZE27" si="8124">WZC27*$C$27</f>
        <v>5.7315951025500478E+39</v>
      </c>
      <c r="WZG27" s="613">
        <f t="shared" ref="WZG27" si="8125">WZE27*$C$27</f>
        <v>5.7889110535755485E+39</v>
      </c>
      <c r="WZI27" s="613">
        <f t="shared" ref="WZI27" si="8126">WZG27*$C$27</f>
        <v>5.8468001641113038E+39</v>
      </c>
      <c r="WZK27" s="613">
        <f t="shared" ref="WZK27" si="8127">WZI27*$C$27</f>
        <v>5.9052681657524164E+39</v>
      </c>
      <c r="WZM27" s="613">
        <f t="shared" ref="WZM27" si="8128">WZK27*$C$27</f>
        <v>5.9643208474099409E+39</v>
      </c>
      <c r="WZO27" s="613">
        <f t="shared" ref="WZO27" si="8129">WZM27*$C$27</f>
        <v>6.0239640558840409E+39</v>
      </c>
      <c r="WZQ27" s="613">
        <f t="shared" ref="WZQ27" si="8130">WZO27*$C$27</f>
        <v>6.0842036964428815E+39</v>
      </c>
      <c r="WZS27" s="613">
        <f t="shared" ref="WZS27" si="8131">WZQ27*$C$27</f>
        <v>6.1450457334073101E+39</v>
      </c>
      <c r="WZU27" s="613">
        <f t="shared" ref="WZU27" si="8132">WZS27*$C$27</f>
        <v>6.2064961907413829E+39</v>
      </c>
      <c r="WZW27" s="613">
        <f t="shared" ref="WZW27" si="8133">WZU27*$C$27</f>
        <v>6.2685611526487969E+39</v>
      </c>
      <c r="WZY27" s="613">
        <f t="shared" ref="WZY27" si="8134">WZW27*$C$27</f>
        <v>6.3312467641752843E+39</v>
      </c>
      <c r="XAA27" s="613">
        <f t="shared" ref="XAA27" si="8135">WZY27*$C$27</f>
        <v>6.3945592318170373E+39</v>
      </c>
      <c r="XAC27" s="613">
        <f t="shared" ref="XAC27" si="8136">XAA27*$C$27</f>
        <v>6.4585048241352072E+39</v>
      </c>
      <c r="XAE27" s="613">
        <f t="shared" ref="XAE27" si="8137">XAC27*$C$27</f>
        <v>6.5230898723765588E+39</v>
      </c>
      <c r="XAG27" s="613">
        <f t="shared" ref="XAG27" si="8138">XAE27*$C$27</f>
        <v>6.5883207711003244E+39</v>
      </c>
      <c r="XAI27" s="613">
        <f t="shared" ref="XAI27" si="8139">XAG27*$C$27</f>
        <v>6.6542039788113277E+39</v>
      </c>
      <c r="XAK27" s="613">
        <f t="shared" ref="XAK27" si="8140">XAI27*$C$27</f>
        <v>6.7207460185994416E+39</v>
      </c>
      <c r="XAM27" s="613">
        <f t="shared" ref="XAM27" si="8141">XAK27*$C$27</f>
        <v>6.7879534787854359E+39</v>
      </c>
      <c r="XAO27" s="613">
        <f t="shared" ref="XAO27" si="8142">XAM27*$C$27</f>
        <v>6.8558330135732903E+39</v>
      </c>
      <c r="XAQ27" s="613">
        <f t="shared" ref="XAQ27" si="8143">XAO27*$C$27</f>
        <v>6.924391343709023E+39</v>
      </c>
      <c r="XAS27" s="613">
        <f t="shared" ref="XAS27" si="8144">XAQ27*$C$27</f>
        <v>6.993635257146113E+39</v>
      </c>
      <c r="XAU27" s="613">
        <f t="shared" ref="XAU27" si="8145">XAS27*$C$27</f>
        <v>7.0635716097175745E+39</v>
      </c>
      <c r="XAW27" s="613">
        <f t="shared" ref="XAW27" si="8146">XAU27*$C$27</f>
        <v>7.1342073258147507E+39</v>
      </c>
      <c r="XAY27" s="613">
        <f t="shared" ref="XAY27" si="8147">XAW27*$C$27</f>
        <v>7.2055493990728977E+39</v>
      </c>
      <c r="XBA27" s="613">
        <f t="shared" ref="XBA27" si="8148">XAY27*$C$27</f>
        <v>7.2776048930636265E+39</v>
      </c>
      <c r="XBC27" s="613">
        <f t="shared" ref="XBC27" si="8149">XBA27*$C$27</f>
        <v>7.3503809419942629E+39</v>
      </c>
      <c r="XBE27" s="613">
        <f t="shared" ref="XBE27" si="8150">XBC27*$C$27</f>
        <v>7.4238847514142054E+39</v>
      </c>
      <c r="XBG27" s="613">
        <f t="shared" ref="XBG27" si="8151">XBE27*$C$27</f>
        <v>7.4981235989283476E+39</v>
      </c>
      <c r="XBI27" s="613">
        <f t="shared" ref="XBI27" si="8152">XBG27*$C$27</f>
        <v>7.5731048349176316E+39</v>
      </c>
      <c r="XBK27" s="613">
        <f t="shared" ref="XBK27" si="8153">XBI27*$C$27</f>
        <v>7.6488358832668083E+39</v>
      </c>
      <c r="XBM27" s="613">
        <f t="shared" ref="XBM27" si="8154">XBK27*$C$27</f>
        <v>7.7253242420994762E+39</v>
      </c>
      <c r="XBO27" s="613">
        <f t="shared" ref="XBO27" si="8155">XBM27*$C$27</f>
        <v>7.802577484520471E+39</v>
      </c>
      <c r="XBQ27" s="613">
        <f t="shared" ref="XBQ27" si="8156">XBO27*$C$27</f>
        <v>7.8806032593656756E+39</v>
      </c>
      <c r="XBS27" s="613">
        <f t="shared" ref="XBS27" si="8157">XBQ27*$C$27</f>
        <v>7.9594092919593326E+39</v>
      </c>
      <c r="XBU27" s="613">
        <f t="shared" ref="XBU27" si="8158">XBS27*$C$27</f>
        <v>8.0390033848789261E+39</v>
      </c>
      <c r="XBW27" s="613">
        <f t="shared" ref="XBW27" si="8159">XBU27*$C$27</f>
        <v>8.1193934187277152E+39</v>
      </c>
      <c r="XBY27" s="613">
        <f t="shared" ref="XBY27" si="8160">XBW27*$C$27</f>
        <v>8.2005873529149922E+39</v>
      </c>
      <c r="XCA27" s="613">
        <f t="shared" ref="XCA27" si="8161">XBY27*$C$27</f>
        <v>8.2825932264441417E+39</v>
      </c>
      <c r="XCC27" s="613">
        <f t="shared" ref="XCC27" si="8162">XCA27*$C$27</f>
        <v>8.3654191587085829E+39</v>
      </c>
      <c r="XCE27" s="613">
        <f t="shared" ref="XCE27" si="8163">XCC27*$C$27</f>
        <v>8.4490733502956687E+39</v>
      </c>
      <c r="XCG27" s="613">
        <f t="shared" ref="XCG27" si="8164">XCE27*$C$27</f>
        <v>8.533564083798625E+39</v>
      </c>
      <c r="XCI27" s="613">
        <f t="shared" ref="XCI27" si="8165">XCG27*$C$27</f>
        <v>8.6188997246366117E+39</v>
      </c>
      <c r="XCK27" s="613">
        <f t="shared" ref="XCK27" si="8166">XCI27*$C$27</f>
        <v>8.7050887218829774E+39</v>
      </c>
      <c r="XCM27" s="613">
        <f t="shared" ref="XCM27" si="8167">XCK27*$C$27</f>
        <v>8.792139609101807E+39</v>
      </c>
      <c r="XCO27" s="613">
        <f t="shared" ref="XCO27" si="8168">XCM27*$C$27</f>
        <v>8.8800610051928254E+39</v>
      </c>
      <c r="XCQ27" s="613">
        <f t="shared" ref="XCQ27" si="8169">XCO27*$C$27</f>
        <v>8.9688616152447542E+39</v>
      </c>
      <c r="XCS27" s="613">
        <f t="shared" ref="XCS27" si="8170">XCQ27*$C$27</f>
        <v>9.0585502313972018E+39</v>
      </c>
      <c r="XCU27" s="613">
        <f t="shared" ref="XCU27" si="8171">XCS27*$C$27</f>
        <v>9.1491357337111738E+39</v>
      </c>
      <c r="XCW27" s="613">
        <f t="shared" ref="XCW27" si="8172">XCU27*$C$27</f>
        <v>9.2406270910482855E+39</v>
      </c>
      <c r="XCY27" s="613">
        <f t="shared" ref="XCY27" si="8173">XCW27*$C$27</f>
        <v>9.333033361958768E+39</v>
      </c>
      <c r="XDA27" s="613">
        <f t="shared" ref="XDA27" si="8174">XCY27*$C$27</f>
        <v>9.4263636955783557E+39</v>
      </c>
      <c r="XDC27" s="613">
        <f t="shared" ref="XDC27" si="8175">XDA27*$C$27</f>
        <v>9.520627332534139E+39</v>
      </c>
      <c r="XDE27" s="613">
        <f t="shared" ref="XDE27" si="8176">XDC27*$C$27</f>
        <v>9.6158336058594805E+39</v>
      </c>
      <c r="XDG27" s="613">
        <f t="shared" ref="XDG27" si="8177">XDE27*$C$27</f>
        <v>9.7119919419180749E+39</v>
      </c>
      <c r="XDI27" s="613">
        <f t="shared" ref="XDI27" si="8178">XDG27*$C$27</f>
        <v>9.8091118613372561E+39</v>
      </c>
      <c r="XDK27" s="613">
        <f t="shared" ref="XDK27" si="8179">XDI27*$C$27</f>
        <v>9.9072029799506285E+39</v>
      </c>
      <c r="XDM27" s="613">
        <f t="shared" ref="XDM27" si="8180">XDK27*$C$27</f>
        <v>1.0006275009750134E+40</v>
      </c>
      <c r="XDO27" s="613">
        <f t="shared" ref="XDO27" si="8181">XDM27*$C$27</f>
        <v>1.0106337759847636E+40</v>
      </c>
      <c r="XDQ27" s="613">
        <f t="shared" ref="XDQ27" si="8182">XDO27*$C$27</f>
        <v>1.0207401137446113E+40</v>
      </c>
      <c r="XDS27" s="613">
        <f t="shared" ref="XDS27" si="8183">XDQ27*$C$27</f>
        <v>1.0309475148820575E+40</v>
      </c>
      <c r="XDU27" s="613">
        <f t="shared" ref="XDU27" si="8184">XDS27*$C$27</f>
        <v>1.041256990030878E+40</v>
      </c>
      <c r="XDW27" s="613">
        <f t="shared" ref="XDW27" si="8185">XDU27*$C$27</f>
        <v>1.0516695599311867E+40</v>
      </c>
      <c r="XDY27" s="613">
        <f t="shared" ref="XDY27" si="8186">XDW27*$C$27</f>
        <v>1.0621862555304986E+40</v>
      </c>
      <c r="XEA27" s="613">
        <f t="shared" ref="XEA27" si="8187">XDY27*$C$27</f>
        <v>1.0728081180858036E+40</v>
      </c>
      <c r="XEC27" s="613">
        <f t="shared" ref="XEC27" si="8188">XEA27*$C$27</f>
        <v>1.0835361992666617E+40</v>
      </c>
      <c r="XEE27" s="613">
        <f t="shared" ref="XEE27" si="8189">XEC27*$C$27</f>
        <v>1.0943715612593283E+40</v>
      </c>
      <c r="XEG27" s="613">
        <f t="shared" ref="XEG27" si="8190">XEE27*$C$27</f>
        <v>1.1053152768719215E+40</v>
      </c>
      <c r="XEI27" s="613">
        <f t="shared" ref="XEI27" si="8191">XEG27*$C$27</f>
        <v>1.1163684296406408E+40</v>
      </c>
      <c r="XEK27" s="613">
        <f t="shared" ref="XEK27" si="8192">XEI27*$C$27</f>
        <v>1.1275321139370471E+40</v>
      </c>
      <c r="XEM27" s="613">
        <f t="shared" ref="XEM27" si="8193">XEK27*$C$27</f>
        <v>1.1388074350764176E+40</v>
      </c>
      <c r="XEO27" s="613">
        <f t="shared" ref="XEO27" si="8194">XEM27*$C$27</f>
        <v>1.1501955094271818E+40</v>
      </c>
      <c r="XEQ27" s="613">
        <f t="shared" ref="XEQ27" si="8195">XEO27*$C$27</f>
        <v>1.1616974645214537E+40</v>
      </c>
      <c r="XES27" s="613">
        <f t="shared" ref="XES27" si="8196">XEQ27*$C$27</f>
        <v>1.1733144391666683E+40</v>
      </c>
      <c r="XEU27" s="613">
        <f t="shared" ref="XEU27" si="8197">XES27*$C$27</f>
        <v>1.185047583558335E+40</v>
      </c>
      <c r="XEW27" s="613">
        <f t="shared" ref="XEW27" si="8198">XEU27*$C$27</f>
        <v>1.1968980593939183E+40</v>
      </c>
      <c r="XEY27" s="613">
        <f t="shared" ref="XEY27" si="8199">XEW27*$C$27</f>
        <v>1.2088670399878575E+40</v>
      </c>
      <c r="XFA27" s="613">
        <f t="shared" ref="XFA27" si="8200">XEY27*$C$27</f>
        <v>1.2209557103877361E+40</v>
      </c>
      <c r="XFC27" s="613">
        <f t="shared" ref="XFC27" si="8201">XFA27*$C$27</f>
        <v>1.2331652674916134E+40</v>
      </c>
    </row>
    <row r="28" spans="1:1023 1025:2047 2049:3071 3073:4095 4097:5119 5121:6143 6145:7167 7169:8191 8193:9215 9217:10239 10241:11263 11265:12287 12289:13311 13313:14335 14337:15359 15361:16383" s="1371" customFormat="1" ht="14.25">
      <c r="A28" s="1390" t="s">
        <v>2218</v>
      </c>
      <c r="B28" s="600"/>
      <c r="C28" s="636"/>
      <c r="D28" s="600"/>
      <c r="E28" s="613">
        <f>Application!AC868</f>
        <v>15000</v>
      </c>
      <c r="F28" s="613"/>
      <c r="G28" s="613">
        <f>$E$28</f>
        <v>15000</v>
      </c>
      <c r="H28" s="613"/>
      <c r="I28" s="613">
        <f>$E$28</f>
        <v>15000</v>
      </c>
      <c r="J28" s="613"/>
      <c r="K28" s="613">
        <f>$E$28</f>
        <v>15000</v>
      </c>
      <c r="L28" s="613"/>
      <c r="M28" s="613">
        <f>$E$28</f>
        <v>15000</v>
      </c>
      <c r="N28" s="613"/>
      <c r="O28" s="613">
        <f>$E$28</f>
        <v>15000</v>
      </c>
      <c r="P28" s="613"/>
      <c r="Q28" s="613">
        <f>$E$28</f>
        <v>15000</v>
      </c>
      <c r="R28" s="613"/>
      <c r="S28" s="613">
        <f>$E$28</f>
        <v>15000</v>
      </c>
      <c r="T28" s="613"/>
      <c r="U28" s="613">
        <f>$E$28</f>
        <v>15000</v>
      </c>
      <c r="V28" s="613"/>
      <c r="W28" s="613">
        <f>$E$28</f>
        <v>15000</v>
      </c>
      <c r="X28" s="613"/>
      <c r="Y28" s="613">
        <f>$E$28</f>
        <v>15000</v>
      </c>
      <c r="Z28" s="613"/>
      <c r="AA28" s="613">
        <f>$E$28</f>
        <v>15000</v>
      </c>
      <c r="AB28" s="613"/>
      <c r="AC28" s="613">
        <f>$E$28</f>
        <v>15000</v>
      </c>
      <c r="AD28" s="613"/>
      <c r="AE28" s="613">
        <f>$E$28</f>
        <v>15000</v>
      </c>
      <c r="AF28" s="613"/>
      <c r="AG28" s="613">
        <f>$E$28</f>
        <v>15000</v>
      </c>
    </row>
    <row r="29" spans="1:1023 1025:2047 2049:3071 3073:4095 4097:5119 5121:6143 6145:7167 7169:8191 8193:9215 9217:10239 10241:11263 11265:12287 12289:13311 13313:14335 14337:15359 15361:16383" ht="14.25">
      <c r="A29" s="1390" t="s">
        <v>1200</v>
      </c>
      <c r="B29" s="600"/>
      <c r="C29" s="634">
        <v>1.02</v>
      </c>
      <c r="D29" s="600"/>
      <c r="E29" s="613">
        <f>Application!AC869</f>
        <v>5050</v>
      </c>
      <c r="F29" s="613"/>
      <c r="G29" s="613">
        <f>E29*$C$29</f>
        <v>5151</v>
      </c>
      <c r="H29" s="613"/>
      <c r="I29" s="613">
        <f>G29*$C$29</f>
        <v>5254.02</v>
      </c>
      <c r="J29" s="613"/>
      <c r="K29" s="613">
        <f>I29*$C$29</f>
        <v>5359.1004000000003</v>
      </c>
      <c r="L29" s="613"/>
      <c r="M29" s="613">
        <f>K29*$C$29</f>
        <v>5466.282408</v>
      </c>
      <c r="N29" s="613"/>
      <c r="O29" s="613">
        <f>M29*$C$29</f>
        <v>5575.6080561600002</v>
      </c>
      <c r="P29" s="613"/>
      <c r="Q29" s="613">
        <f>O29*$C$29</f>
        <v>5687.1202172832</v>
      </c>
      <c r="R29" s="613"/>
      <c r="S29" s="613">
        <f>Q29*$C$29</f>
        <v>5800.862621628864</v>
      </c>
      <c r="T29" s="613"/>
      <c r="U29" s="613">
        <f>S29*$C$29</f>
        <v>5916.8798740614411</v>
      </c>
      <c r="V29" s="613"/>
      <c r="W29" s="613">
        <f>U29*$C$29</f>
        <v>6035.21747154267</v>
      </c>
      <c r="X29" s="613"/>
      <c r="Y29" s="613">
        <f>W29*$C$29</f>
        <v>6155.9218209735236</v>
      </c>
      <c r="Z29" s="613"/>
      <c r="AA29" s="613">
        <f>Y29*$C$29</f>
        <v>6279.0402573929941</v>
      </c>
      <c r="AB29" s="613"/>
      <c r="AC29" s="613">
        <f>AA29*$C$29</f>
        <v>6404.6210625408539</v>
      </c>
      <c r="AD29" s="613"/>
      <c r="AE29" s="613">
        <f>AC29*$C$29</f>
        <v>6532.713483791671</v>
      </c>
      <c r="AF29" s="613"/>
      <c r="AG29" s="613">
        <f>AE29*$C$29</f>
        <v>6663.3677534675044</v>
      </c>
    </row>
    <row r="30" spans="1:1023 1025:2047 2049:3071 3073:4095 4097:5119 5121:6143 6145:7167 7169:8191 8193:9215 9217:10239 10241:11263 11265:12287 12289:13311 13313:14335 14337:15359 15361:16383" s="1371" customFormat="1" ht="14.25">
      <c r="A30" s="1390"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1023 1025:2047 2049:3071 3073:4095 4097:5119 5121:6143 6145:7167 7169:8191 8193:9215 9217:10239 10241:11263 11265:12287 12289:13311 13313:14335 14337:15359 15361:16383" ht="14.25">
      <c r="A31" s="617" t="str">
        <f>Application!E871</f>
        <v>Clubhouse &amp; Software Expenses</v>
      </c>
      <c r="B31" s="617"/>
      <c r="C31" s="775">
        <v>1.0349999999999999</v>
      </c>
      <c r="D31" s="600"/>
      <c r="E31" s="613">
        <f>Application!AC871</f>
        <v>11800</v>
      </c>
      <c r="F31" s="613"/>
      <c r="G31" s="613">
        <f>E31*$C$31</f>
        <v>12212.999999999998</v>
      </c>
      <c r="H31" s="613"/>
      <c r="I31" s="613">
        <f>G31*$C$31</f>
        <v>12640.454999999996</v>
      </c>
      <c r="J31" s="613"/>
      <c r="K31" s="613">
        <f>I31*$C$31</f>
        <v>13082.870924999996</v>
      </c>
      <c r="L31" s="613"/>
      <c r="M31" s="613">
        <f>K31*$C$31</f>
        <v>13540.771407374994</v>
      </c>
      <c r="N31" s="613"/>
      <c r="O31" s="613">
        <f>M31*$C$31</f>
        <v>14014.698406633117</v>
      </c>
      <c r="P31" s="613"/>
      <c r="Q31" s="613">
        <f>O31*$C$31</f>
        <v>14505.212850865275</v>
      </c>
      <c r="R31" s="613"/>
      <c r="S31" s="613">
        <f>Q31*$C$31</f>
        <v>15012.895300645558</v>
      </c>
      <c r="T31" s="613"/>
      <c r="U31" s="613">
        <f>S31*$C$31</f>
        <v>15538.346636168151</v>
      </c>
      <c r="V31" s="613"/>
      <c r="W31" s="613">
        <f>U31*$C$31</f>
        <v>16082.188768434035</v>
      </c>
      <c r="X31" s="613"/>
      <c r="Y31" s="613">
        <f>W31*$C$31</f>
        <v>16645.065375329224</v>
      </c>
      <c r="Z31" s="613"/>
      <c r="AA31" s="613">
        <f>Y31*$C$31</f>
        <v>17227.642663465747</v>
      </c>
      <c r="AB31" s="613"/>
      <c r="AC31" s="613">
        <f>AA31*$C$31</f>
        <v>17830.610156687046</v>
      </c>
      <c r="AD31" s="613"/>
      <c r="AE31" s="613">
        <f>AC31*$C$31</f>
        <v>18454.68151217109</v>
      </c>
      <c r="AF31" s="613"/>
      <c r="AG31" s="613">
        <f>AE31*$C$31</f>
        <v>19100.595365097077</v>
      </c>
    </row>
    <row r="32" spans="1:1023 1025:2047 2049:3071 3073:4095 4097:5119 5121:6143 6145:7167 7169:8191 8193:9215 9217:10239 10241:11263 11265:12287 12289:13311 13313:14335 14337:15359 15361:16383" ht="14.25">
      <c r="A32" s="617" t="str">
        <f>Application!E872</f>
        <v>Resident Transit Assistance</v>
      </c>
      <c r="B32" s="617"/>
      <c r="C32" s="775">
        <v>1.0349999999999999</v>
      </c>
      <c r="D32" s="600"/>
      <c r="E32" s="613">
        <f>Application!AC872</f>
        <v>1569</v>
      </c>
      <c r="F32" s="613"/>
      <c r="G32" s="613">
        <f>E32*$C$32</f>
        <v>1623.915</v>
      </c>
      <c r="H32" s="613"/>
      <c r="I32" s="613">
        <f>G32*$C$32</f>
        <v>1680.7520249999998</v>
      </c>
      <c r="J32" s="613"/>
      <c r="K32" s="613">
        <f>I32*$C$32</f>
        <v>1739.5783458749997</v>
      </c>
      <c r="L32" s="613"/>
      <c r="M32" s="613">
        <f>K32*$C$32</f>
        <v>1800.4635879806247</v>
      </c>
      <c r="N32" s="613"/>
      <c r="O32" s="613">
        <f>M32*$C$32</f>
        <v>1863.4798135599465</v>
      </c>
      <c r="P32" s="613"/>
      <c r="Q32" s="613">
        <f>O32*$C$32</f>
        <v>1928.7016070345444</v>
      </c>
      <c r="R32" s="613"/>
      <c r="S32" s="613">
        <f>Q32*$C$32</f>
        <v>1996.2061632807533</v>
      </c>
      <c r="T32" s="613"/>
      <c r="U32" s="613">
        <f>S32*$C$32</f>
        <v>2066.0733789955793</v>
      </c>
      <c r="V32" s="613"/>
      <c r="W32" s="613">
        <f>U32*$C$32</f>
        <v>2138.3859472604245</v>
      </c>
      <c r="X32" s="613"/>
      <c r="Y32" s="613">
        <f>W32*$C$32</f>
        <v>2213.2294554145392</v>
      </c>
      <c r="Z32" s="613"/>
      <c r="AA32" s="613">
        <f>Y32*$C$32</f>
        <v>2290.692486354048</v>
      </c>
      <c r="AB32" s="613"/>
      <c r="AC32" s="613">
        <f>AA32*$C$32</f>
        <v>2370.8667233764395</v>
      </c>
      <c r="AD32" s="613"/>
      <c r="AE32" s="613">
        <f>AC32*$C$32</f>
        <v>2453.8470586946146</v>
      </c>
      <c r="AF32" s="613"/>
      <c r="AG32" s="613">
        <f>AE32*$C$32</f>
        <v>2539.7317057489258</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728754</v>
      </c>
      <c r="F34" s="614"/>
      <c r="G34" s="614">
        <f>SUM(G21:G32)</f>
        <v>752397.14</v>
      </c>
      <c r="H34" s="614"/>
      <c r="I34" s="614">
        <f>SUM(I21:I32)</f>
        <v>776853.64989999996</v>
      </c>
      <c r="J34" s="614"/>
      <c r="K34" s="614">
        <f>SUM(K21:K32)</f>
        <v>802151.84109649993</v>
      </c>
      <c r="L34" s="614"/>
      <c r="M34" s="614">
        <f>SUM(M21:M32)</f>
        <v>828321.01401637727</v>
      </c>
      <c r="N34" s="614"/>
      <c r="O34" s="614">
        <f>SUM(O21:O32)</f>
        <v>855391.49270820536</v>
      </c>
      <c r="P34" s="614"/>
      <c r="Q34" s="614">
        <f>SUM(Q21:Q32)</f>
        <v>883394.66064389888</v>
      </c>
      <c r="R34" s="614"/>
      <c r="S34" s="614">
        <f>SUM(S21:S32)</f>
        <v>912362.9977730423</v>
      </c>
      <c r="T34" s="614"/>
      <c r="U34" s="614">
        <f>SUM(U21:U32)</f>
        <v>942330.11887373892</v>
      </c>
      <c r="V34" s="614"/>
      <c r="W34" s="614">
        <f>SUM(W21:W32)</f>
        <v>973330.81324535364</v>
      </c>
      <c r="X34" s="614"/>
      <c r="Y34" s="614">
        <f>SUM(Y21:Y32)</f>
        <v>1005401.0857901038</v>
      </c>
      <c r="Z34" s="614"/>
      <c r="AA34" s="614">
        <f>SUM(AA21:AA32)</f>
        <v>1038578.1995321111</v>
      </c>
      <c r="AB34" s="614"/>
      <c r="AC34" s="614">
        <f>SUM(AC21:AC32)</f>
        <v>1072900.7196242088</v>
      </c>
      <c r="AD34" s="614"/>
      <c r="AE34" s="614">
        <f>SUM(AE21:AE32)</f>
        <v>1108408.5588945765</v>
      </c>
      <c r="AF34" s="614"/>
      <c r="AG34" s="614">
        <f>SUM(AG21:AG32)</f>
        <v>1145143.0249870827</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348112.79999999981</v>
      </c>
      <c r="F36" s="614"/>
      <c r="G36" s="614">
        <f>G10-G34</f>
        <v>351391.32999999996</v>
      </c>
      <c r="H36" s="614"/>
      <c r="I36" s="614">
        <f>I10-I34</f>
        <v>354529.5318499998</v>
      </c>
      <c r="J36" s="614"/>
      <c r="K36" s="614">
        <f>K10-K34</f>
        <v>357515.92019724986</v>
      </c>
      <c r="L36" s="614"/>
      <c r="M36" s="614">
        <f>M10-M34</f>
        <v>360338.44130971585</v>
      </c>
      <c r="N36" s="614"/>
      <c r="O36" s="614">
        <f>O10-O34</f>
        <v>362984.44900104019</v>
      </c>
      <c r="P36" s="614"/>
      <c r="Q36" s="614">
        <f>Q10-Q34</f>
        <v>365440.67960807774</v>
      </c>
      <c r="R36" s="614"/>
      <c r="S36" s="614">
        <f>S10-S34</f>
        <v>367693.22598523356</v>
      </c>
      <c r="T36" s="614"/>
      <c r="U36" s="614">
        <f>U10-U34</f>
        <v>369727.51047849376</v>
      </c>
      <c r="V36" s="614"/>
      <c r="W36" s="614">
        <f>W10-W34</f>
        <v>371528.25684068457</v>
      </c>
      <c r="X36" s="614"/>
      <c r="Y36" s="614">
        <f>Y10-Y34</f>
        <v>373079.46104808524</v>
      </c>
      <c r="Z36" s="614"/>
      <c r="AA36" s="614">
        <f>AA10-AA34</f>
        <v>374364.36097703304</v>
      </c>
      <c r="AB36" s="614"/>
      <c r="AC36" s="614">
        <f>AC10-AC34</f>
        <v>375365.40489766374</v>
      </c>
      <c r="AD36" s="614"/>
      <c r="AE36" s="614">
        <f>AE10-AE34</f>
        <v>376064.21874034242</v>
      </c>
      <c r="AF36" s="614"/>
      <c r="AG36" s="614">
        <f>AG10-AG34</f>
        <v>376441.5720887091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Citi Perm Loan</v>
      </c>
      <c r="B39" s="617"/>
      <c r="C39" s="611"/>
      <c r="D39" s="600"/>
      <c r="E39" s="610">
        <f>Application!AF632</f>
        <v>216790.29476921458</v>
      </c>
      <c r="F39" s="610"/>
      <c r="G39" s="610">
        <f>$E$39</f>
        <v>216790.29476921458</v>
      </c>
      <c r="H39" s="610"/>
      <c r="I39" s="610">
        <f>$E$39</f>
        <v>216790.29476921458</v>
      </c>
      <c r="J39" s="610"/>
      <c r="K39" s="610">
        <f>$E$39</f>
        <v>216790.29476921458</v>
      </c>
      <c r="L39" s="610"/>
      <c r="M39" s="610">
        <f>$E$39</f>
        <v>216790.29476921458</v>
      </c>
      <c r="N39" s="610"/>
      <c r="O39" s="610">
        <f>$E$39</f>
        <v>216790.29476921458</v>
      </c>
      <c r="P39" s="610"/>
      <c r="Q39" s="610">
        <f>$E$39</f>
        <v>216790.29476921458</v>
      </c>
      <c r="R39" s="610"/>
      <c r="S39" s="610">
        <f>$E$39</f>
        <v>216790.29476921458</v>
      </c>
      <c r="T39" s="610"/>
      <c r="U39" s="610">
        <f>$E$39</f>
        <v>216790.29476921458</v>
      </c>
      <c r="V39" s="610"/>
      <c r="W39" s="610">
        <f>$E$39</f>
        <v>216790.29476921458</v>
      </c>
      <c r="X39" s="610"/>
      <c r="Y39" s="610">
        <f>$E$39</f>
        <v>216790.29476921458</v>
      </c>
      <c r="Z39" s="610"/>
      <c r="AA39" s="610">
        <f>$E$39</f>
        <v>216790.29476921458</v>
      </c>
      <c r="AB39" s="610"/>
      <c r="AC39" s="610">
        <f>$E$39</f>
        <v>216790.29476921458</v>
      </c>
      <c r="AD39" s="610"/>
      <c r="AE39" s="610">
        <f>$E$39</f>
        <v>216790.29476921458</v>
      </c>
      <c r="AF39" s="610"/>
      <c r="AG39" s="610">
        <f>$E$39</f>
        <v>216790.29476921458</v>
      </c>
      <c r="AH39" s="600"/>
      <c r="AI39" s="600"/>
    </row>
    <row r="40" spans="1:35" ht="14.25">
      <c r="A40" s="616" t="str">
        <f>Application!C634</f>
        <v>MHP-HCD</v>
      </c>
      <c r="B40" s="617"/>
      <c r="C40" s="611"/>
      <c r="D40" s="600"/>
      <c r="E40" s="610">
        <f>Application!AF634</f>
        <v>84000</v>
      </c>
      <c r="F40" s="613"/>
      <c r="G40" s="613">
        <f>$E$40</f>
        <v>84000</v>
      </c>
      <c r="H40" s="613"/>
      <c r="I40" s="613">
        <f>$E$40</f>
        <v>84000</v>
      </c>
      <c r="J40" s="613"/>
      <c r="K40" s="613">
        <f>$E$40</f>
        <v>84000</v>
      </c>
      <c r="L40" s="613"/>
      <c r="M40" s="613">
        <f>$E$40</f>
        <v>84000</v>
      </c>
      <c r="N40" s="613"/>
      <c r="O40" s="613">
        <f>$E$40</f>
        <v>84000</v>
      </c>
      <c r="P40" s="613"/>
      <c r="Q40" s="613">
        <f>$E$40</f>
        <v>84000</v>
      </c>
      <c r="R40" s="613"/>
      <c r="S40" s="613">
        <f>$E$40</f>
        <v>84000</v>
      </c>
      <c r="T40" s="613"/>
      <c r="U40" s="613">
        <f>$E$40</f>
        <v>84000</v>
      </c>
      <c r="V40" s="613"/>
      <c r="W40" s="613">
        <f>$E$40</f>
        <v>84000</v>
      </c>
      <c r="X40" s="613"/>
      <c r="Y40" s="613">
        <f>$E$40</f>
        <v>84000</v>
      </c>
      <c r="Z40" s="613"/>
      <c r="AA40" s="613">
        <f>$E$40</f>
        <v>84000</v>
      </c>
      <c r="AB40" s="613"/>
      <c r="AC40" s="613">
        <f>$E$40</f>
        <v>84000</v>
      </c>
      <c r="AD40" s="613"/>
      <c r="AE40" s="613">
        <f>$E$40</f>
        <v>84000</v>
      </c>
      <c r="AF40" s="613"/>
      <c r="AG40" s="613">
        <f>$E$40</f>
        <v>84000</v>
      </c>
      <c r="AH40" s="600"/>
      <c r="AI40" s="600"/>
    </row>
    <row r="41" spans="1:35" ht="14.25">
      <c r="A41" s="616"/>
      <c r="B41" s="617"/>
      <c r="C41" s="611"/>
      <c r="D41" s="600"/>
      <c r="E41" s="1546"/>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300790.29476921458</v>
      </c>
      <c r="F42" s="614"/>
      <c r="G42" s="614">
        <f>SUM(G39:G41)</f>
        <v>300790.29476921458</v>
      </c>
      <c r="H42" s="614"/>
      <c r="I42" s="614">
        <f>SUM(I39:I41)</f>
        <v>300790.29476921458</v>
      </c>
      <c r="J42" s="614"/>
      <c r="K42" s="614">
        <f>SUM(K39:K41)</f>
        <v>300790.29476921458</v>
      </c>
      <c r="L42" s="614"/>
      <c r="M42" s="614">
        <f>SUM(M39:M41)</f>
        <v>300790.29476921458</v>
      </c>
      <c r="N42" s="614"/>
      <c r="O42" s="614">
        <f>SUM(O39:O41)</f>
        <v>300790.29476921458</v>
      </c>
      <c r="P42" s="614"/>
      <c r="Q42" s="614">
        <f>SUM(Q39:Q41)</f>
        <v>300790.29476921458</v>
      </c>
      <c r="R42" s="614"/>
      <c r="S42" s="614">
        <f>SUM(S39:S41)</f>
        <v>300790.29476921458</v>
      </c>
      <c r="T42" s="614"/>
      <c r="U42" s="614">
        <f>SUM(U39:U41)</f>
        <v>300790.29476921458</v>
      </c>
      <c r="V42" s="614"/>
      <c r="W42" s="614">
        <f>SUM(W39:W41)</f>
        <v>300790.29476921458</v>
      </c>
      <c r="X42" s="614"/>
      <c r="Y42" s="614">
        <f>SUM(Y39:Y41)</f>
        <v>300790.29476921458</v>
      </c>
      <c r="Z42" s="614"/>
      <c r="AA42" s="614">
        <f>SUM(AA39:AA41)</f>
        <v>300790.29476921458</v>
      </c>
      <c r="AB42" s="614"/>
      <c r="AC42" s="614">
        <f>SUM(AC39:AC41)</f>
        <v>300790.29476921458</v>
      </c>
      <c r="AD42" s="614"/>
      <c r="AE42" s="614">
        <f>SUM(AE39:AE41)</f>
        <v>300790.29476921458</v>
      </c>
      <c r="AF42" s="614"/>
      <c r="AG42" s="614">
        <f>SUM(AG39:AG41)</f>
        <v>300790.29476921458</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47322.505230785231</v>
      </c>
      <c r="F44" s="614"/>
      <c r="G44" s="614">
        <f>G36-G42</f>
        <v>50601.035230785375</v>
      </c>
      <c r="H44" s="614"/>
      <c r="I44" s="614">
        <f>I36-I42</f>
        <v>53739.237080785213</v>
      </c>
      <c r="J44" s="614"/>
      <c r="K44" s="614">
        <f>K36-K42</f>
        <v>56725.625428035273</v>
      </c>
      <c r="L44" s="614"/>
      <c r="M44" s="614">
        <f>M36-M42</f>
        <v>59548.146540501271</v>
      </c>
      <c r="N44" s="614"/>
      <c r="O44" s="614">
        <f>O36-O42</f>
        <v>62194.154231825611</v>
      </c>
      <c r="P44" s="614"/>
      <c r="Q44" s="614">
        <f>Q36-Q42</f>
        <v>64650.38483886316</v>
      </c>
      <c r="R44" s="614"/>
      <c r="S44" s="614">
        <f>S36-S42</f>
        <v>66902.931216018973</v>
      </c>
      <c r="T44" s="614"/>
      <c r="U44" s="614">
        <f>U36-U42</f>
        <v>68937.215709279175</v>
      </c>
      <c r="V44" s="614"/>
      <c r="W44" s="614">
        <f>W36-W42</f>
        <v>70737.962071469985</v>
      </c>
      <c r="X44" s="614"/>
      <c r="Y44" s="614">
        <f>Y36-Y42</f>
        <v>72289.16627887066</v>
      </c>
      <c r="Z44" s="614"/>
      <c r="AA44" s="614">
        <f>AA36-AA42</f>
        <v>73574.066207818454</v>
      </c>
      <c r="AB44" s="614"/>
      <c r="AC44" s="614">
        <f>AC36-AC42</f>
        <v>74575.11012844916</v>
      </c>
      <c r="AD44" s="614"/>
      <c r="AE44" s="614">
        <f>AE36-AE42</f>
        <v>75273.923971127835</v>
      </c>
      <c r="AF44" s="614"/>
      <c r="AG44" s="614">
        <f>AG36-AG42</f>
        <v>75651.277319494518</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4.1747391570847919E-2</v>
      </c>
      <c r="F46" s="618"/>
      <c r="G46" s="618">
        <f>G44/(G4+G6+G8)</f>
        <v>4.3550901985093315E-2</v>
      </c>
      <c r="H46" s="618"/>
      <c r="I46" s="618">
        <f>I44/(I4+I6+I8)</f>
        <v>4.5123770664311419E-2</v>
      </c>
      <c r="J46" s="618"/>
      <c r="K46" s="618">
        <f>K44/(K4+K6+K8)</f>
        <v>4.6469640663730646E-2</v>
      </c>
      <c r="L46" s="618"/>
      <c r="M46" s="618">
        <f>M44/(M4+M6+M8)</f>
        <v>4.7592049144098016E-2</v>
      </c>
      <c r="N46" s="618"/>
      <c r="O46" s="618">
        <f>O44/(O4+O6+O8)</f>
        <v>4.8494429754863219E-2</v>
      </c>
      <c r="P46" s="618"/>
      <c r="Q46" s="618">
        <f>Q44/(Q4+Q6+Q8)</f>
        <v>4.9180114957771595E-2</v>
      </c>
      <c r="R46" s="618"/>
      <c r="S46" s="618">
        <f>S44/(S4+S6+S8)</f>
        <v>4.9652338292306288E-2</v>
      </c>
      <c r="T46" s="618"/>
      <c r="U46" s="618">
        <f>U44/(U4+U6+U8)</f>
        <v>4.9914236584370178E-2</v>
      </c>
      <c r="V46" s="618"/>
      <c r="W46" s="618">
        <f>W44/(W4+W6+W8)</f>
        <v>4.9968852099571477E-2</v>
      </c>
      <c r="X46" s="618"/>
      <c r="Y46" s="618">
        <f>Y44/(Y4+Y6+Y8)</f>
        <v>4.9819134642448019E-2</v>
      </c>
      <c r="Z46" s="618"/>
      <c r="AA46" s="618">
        <f>AA44/(AA4+AA6+AA8)</f>
        <v>4.9467943602917036E-2</v>
      </c>
      <c r="AB46" s="618"/>
      <c r="AC46" s="618">
        <f>AC44/(AC4+AC6+AC8)</f>
        <v>4.8918049951224105E-2</v>
      </c>
      <c r="AD46" s="618"/>
      <c r="AE46" s="618">
        <f>AE44/(AE4+AE6+AE8)</f>
        <v>4.8172138182622955E-2</v>
      </c>
      <c r="AF46" s="618"/>
      <c r="AG46" s="618">
        <f>AG44/(AG4+AG6+AG8)</f>
        <v>4.7232808212989509E-2</v>
      </c>
      <c r="AH46" s="618"/>
      <c r="AI46" s="618"/>
    </row>
    <row r="47" spans="1:35" ht="14.25">
      <c r="A47" s="618" t="s">
        <v>1206</v>
      </c>
      <c r="B47" s="618"/>
      <c r="C47" s="611"/>
      <c r="D47" s="618"/>
      <c r="E47" s="618">
        <f>E44/E42</f>
        <v>0.15732723446776786</v>
      </c>
      <c r="F47" s="618"/>
      <c r="G47" s="618">
        <f>G44/G42</f>
        <v>0.16822695449535599</v>
      </c>
      <c r="H47" s="618"/>
      <c r="I47" s="618">
        <f>I44/I42</f>
        <v>0.17866014301431291</v>
      </c>
      <c r="J47" s="618"/>
      <c r="K47" s="618">
        <f>K44/K42</f>
        <v>0.18858861610398292</v>
      </c>
      <c r="L47" s="618"/>
      <c r="M47" s="618">
        <f>M44/M42</f>
        <v>0.19797230022394968</v>
      </c>
      <c r="N47" s="618"/>
      <c r="O47" s="618">
        <f>O44/O42</f>
        <v>0.20676915217475655</v>
      </c>
      <c r="P47" s="618"/>
      <c r="Q47" s="618">
        <f>Q44/Q42</f>
        <v>0.2149350759088389</v>
      </c>
      <c r="R47" s="618"/>
      <c r="S47" s="618">
        <f>S44/S42</f>
        <v>0.22242383607274016</v>
      </c>
      <c r="T47" s="618"/>
      <c r="U47" s="618">
        <f>U44/U42</f>
        <v>0.22918696815724118</v>
      </c>
      <c r="V47" s="618"/>
      <c r="W47" s="618">
        <f>W44/W42</f>
        <v>0.23517368512752262</v>
      </c>
      <c r="X47" s="618"/>
      <c r="Y47" s="618">
        <f>Y44/Y42</f>
        <v>0.2403307804007955</v>
      </c>
      <c r="Z47" s="618"/>
      <c r="AA47" s="618">
        <f>AA44/AA42</f>
        <v>0.24460252703388968</v>
      </c>
      <c r="AB47" s="618"/>
      <c r="AC47" s="618">
        <f>AC44/AC42</f>
        <v>0.24793057297832005</v>
      </c>
      <c r="AD47" s="618"/>
      <c r="AE47" s="618">
        <f>AE44/AE42</f>
        <v>0.25025383225506914</v>
      </c>
      <c r="AF47" s="618"/>
      <c r="AG47" s="618">
        <f>AG44/AG42</f>
        <v>0.25150837189590503</v>
      </c>
      <c r="AH47" s="618"/>
      <c r="AI47" s="618"/>
    </row>
    <row r="48" spans="1:35" ht="14.25">
      <c r="A48" s="619" t="s">
        <v>1207</v>
      </c>
      <c r="B48" s="619"/>
      <c r="C48" s="620"/>
      <c r="D48" s="619"/>
      <c r="E48" s="619">
        <f>E36/E42</f>
        <v>1.1573272344677679</v>
      </c>
      <c r="F48" s="619"/>
      <c r="G48" s="619">
        <f>G36/G42</f>
        <v>1.1682269544953561</v>
      </c>
      <c r="H48" s="619"/>
      <c r="I48" s="619">
        <f>I36/I42</f>
        <v>1.1786601430143129</v>
      </c>
      <c r="J48" s="619"/>
      <c r="K48" s="619">
        <f>K36/K42</f>
        <v>1.1885886161039829</v>
      </c>
      <c r="L48" s="619"/>
      <c r="M48" s="619">
        <f>M36/M42</f>
        <v>1.1979723002239497</v>
      </c>
      <c r="N48" s="619"/>
      <c r="O48" s="619">
        <f>O36/O42</f>
        <v>1.2067691521747566</v>
      </c>
      <c r="P48" s="619"/>
      <c r="Q48" s="619">
        <f>Q36/Q42</f>
        <v>1.2149350759088389</v>
      </c>
      <c r="R48" s="619"/>
      <c r="S48" s="619">
        <f>S36/S42</f>
        <v>1.2224238360727402</v>
      </c>
      <c r="T48" s="619"/>
      <c r="U48" s="619">
        <f>U36/U42</f>
        <v>1.2291869681572412</v>
      </c>
      <c r="V48" s="619"/>
      <c r="W48" s="619">
        <f>W36/W42</f>
        <v>1.2351736851275226</v>
      </c>
      <c r="X48" s="619"/>
      <c r="Y48" s="619">
        <f>Y36/Y42</f>
        <v>1.2403307804007955</v>
      </c>
      <c r="Z48" s="619"/>
      <c r="AA48" s="619">
        <f>AA36/AA42</f>
        <v>1.2446025270338896</v>
      </c>
      <c r="AB48" s="619"/>
      <c r="AC48" s="619">
        <f>AC36/AC42</f>
        <v>1.2479305729783201</v>
      </c>
      <c r="AD48" s="619"/>
      <c r="AE48" s="619">
        <f>AE36/AE42</f>
        <v>1.2502538322550691</v>
      </c>
      <c r="AF48" s="619"/>
      <c r="AG48" s="619">
        <f>AG36/AG42</f>
        <v>1.251508371895905</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71"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393">
        <v>1.03</v>
      </c>
      <c r="D52" s="598"/>
      <c r="E52" s="627">
        <v>10000</v>
      </c>
      <c r="F52" s="598"/>
      <c r="G52" s="1395">
        <f>E52*$C$52</f>
        <v>10300</v>
      </c>
      <c r="H52" s="1395"/>
      <c r="I52" s="1395">
        <f>G52*$C$52</f>
        <v>10609</v>
      </c>
      <c r="J52" s="1395"/>
      <c r="K52" s="1395">
        <f>I52*$C$52</f>
        <v>10927.27</v>
      </c>
      <c r="L52" s="1395"/>
      <c r="M52" s="1395">
        <f>K52*$C$52</f>
        <v>11255.088100000001</v>
      </c>
      <c r="N52" s="1395"/>
      <c r="O52" s="1395">
        <f>M52*$C$52</f>
        <v>11592.740743</v>
      </c>
      <c r="P52" s="1395"/>
      <c r="Q52" s="1395">
        <f>O52*$C$52</f>
        <v>11940.52296529</v>
      </c>
      <c r="R52" s="1395"/>
      <c r="S52" s="1395">
        <f>Q52*$C$52</f>
        <v>12298.7386542487</v>
      </c>
      <c r="T52" s="1395"/>
      <c r="U52" s="1395">
        <f>S52*$C$52</f>
        <v>12667.700813876161</v>
      </c>
      <c r="V52" s="1395"/>
      <c r="W52" s="1395">
        <f>U52*$C$52</f>
        <v>13047.731838292446</v>
      </c>
      <c r="X52" s="1395"/>
      <c r="Y52" s="1395">
        <f>W52*$C$52</f>
        <v>13439.163793441219</v>
      </c>
      <c r="Z52" s="1395"/>
      <c r="AA52" s="1395">
        <f>Y52*$C$52</f>
        <v>13842.338707244457</v>
      </c>
      <c r="AB52" s="1395"/>
      <c r="AC52" s="1395">
        <f>AA52*$C$52</f>
        <v>14257.60886846179</v>
      </c>
      <c r="AD52" s="1395"/>
      <c r="AE52" s="1395">
        <f>AC52*$C$52</f>
        <v>14685.337134515645</v>
      </c>
      <c r="AF52" s="1395"/>
      <c r="AG52" s="1395">
        <f>AE52*$C$52</f>
        <v>15125.897248551115</v>
      </c>
      <c r="AH52" s="598"/>
      <c r="AI52" s="598"/>
    </row>
    <row r="53" spans="1:35">
      <c r="A53" s="582" t="s">
        <v>1210</v>
      </c>
      <c r="B53" s="582"/>
      <c r="C53" s="637"/>
      <c r="D53" s="582"/>
      <c r="E53" s="628">
        <v>5000</v>
      </c>
      <c r="F53" s="607"/>
      <c r="G53" s="1394">
        <f t="shared" ref="G53:AG56" si="8202">E53*$C$52</f>
        <v>5150</v>
      </c>
      <c r="H53" s="1394"/>
      <c r="I53" s="1394">
        <f t="shared" si="8202"/>
        <v>5304.5</v>
      </c>
      <c r="J53" s="1394"/>
      <c r="K53" s="1394">
        <f t="shared" si="8202"/>
        <v>5463.6350000000002</v>
      </c>
      <c r="L53" s="1394"/>
      <c r="M53" s="1394">
        <f t="shared" si="8202"/>
        <v>5627.5440500000004</v>
      </c>
      <c r="N53" s="1394"/>
      <c r="O53" s="1394">
        <f t="shared" si="8202"/>
        <v>5796.3703715000001</v>
      </c>
      <c r="P53" s="1394"/>
      <c r="Q53" s="1394">
        <f t="shared" si="8202"/>
        <v>5970.2614826449999</v>
      </c>
      <c r="R53" s="1394"/>
      <c r="S53" s="1394">
        <f t="shared" si="8202"/>
        <v>6149.3693271243501</v>
      </c>
      <c r="T53" s="1394"/>
      <c r="U53" s="1394">
        <f t="shared" si="8202"/>
        <v>6333.8504069380806</v>
      </c>
      <c r="V53" s="1394"/>
      <c r="W53" s="1394">
        <f t="shared" si="8202"/>
        <v>6523.865919146223</v>
      </c>
      <c r="X53" s="1394"/>
      <c r="Y53" s="1394">
        <f t="shared" si="8202"/>
        <v>6719.5818967206096</v>
      </c>
      <c r="Z53" s="1394"/>
      <c r="AA53" s="1394">
        <f t="shared" si="8202"/>
        <v>6921.1693536222283</v>
      </c>
      <c r="AB53" s="1394"/>
      <c r="AC53" s="1394">
        <f t="shared" si="8202"/>
        <v>7128.8044342308949</v>
      </c>
      <c r="AD53" s="1394"/>
      <c r="AE53" s="1394">
        <f t="shared" si="8202"/>
        <v>7342.6685672578224</v>
      </c>
      <c r="AF53" s="1394"/>
      <c r="AG53" s="1394">
        <f t="shared" si="8202"/>
        <v>7562.9486242755574</v>
      </c>
      <c r="AH53" s="607"/>
      <c r="AI53" s="607"/>
    </row>
    <row r="54" spans="1:35">
      <c r="A54" s="582" t="s">
        <v>1211</v>
      </c>
      <c r="B54" s="582"/>
      <c r="C54" s="637"/>
      <c r="D54" s="582"/>
      <c r="E54" s="628">
        <v>10000</v>
      </c>
      <c r="F54" s="607"/>
      <c r="G54" s="1394">
        <f t="shared" si="8202"/>
        <v>10300</v>
      </c>
      <c r="H54" s="1394"/>
      <c r="I54" s="1394">
        <f t="shared" si="8202"/>
        <v>10609</v>
      </c>
      <c r="J54" s="1394"/>
      <c r="K54" s="1394">
        <f t="shared" si="8202"/>
        <v>10927.27</v>
      </c>
      <c r="L54" s="1394"/>
      <c r="M54" s="1394">
        <f t="shared" si="8202"/>
        <v>11255.088100000001</v>
      </c>
      <c r="N54" s="1394"/>
      <c r="O54" s="1394">
        <f t="shared" si="8202"/>
        <v>11592.740743</v>
      </c>
      <c r="P54" s="1394"/>
      <c r="Q54" s="1394">
        <f t="shared" si="8202"/>
        <v>11940.52296529</v>
      </c>
      <c r="R54" s="1394"/>
      <c r="S54" s="1394">
        <f t="shared" si="8202"/>
        <v>12298.7386542487</v>
      </c>
      <c r="T54" s="1394"/>
      <c r="U54" s="1394">
        <f t="shared" si="8202"/>
        <v>12667.700813876161</v>
      </c>
      <c r="V54" s="1394"/>
      <c r="W54" s="1394">
        <f t="shared" si="8202"/>
        <v>13047.731838292446</v>
      </c>
      <c r="X54" s="1394"/>
      <c r="Y54" s="1394">
        <f t="shared" si="8202"/>
        <v>13439.163793441219</v>
      </c>
      <c r="Z54" s="1394"/>
      <c r="AA54" s="1394">
        <f t="shared" si="8202"/>
        <v>13842.338707244457</v>
      </c>
      <c r="AB54" s="1394"/>
      <c r="AC54" s="1394">
        <f t="shared" si="8202"/>
        <v>14257.60886846179</v>
      </c>
      <c r="AD54" s="1394"/>
      <c r="AE54" s="1394">
        <f t="shared" si="8202"/>
        <v>14685.337134515645</v>
      </c>
      <c r="AF54" s="1394"/>
      <c r="AG54" s="1394">
        <f t="shared" si="8202"/>
        <v>15125.897248551115</v>
      </c>
      <c r="AH54" s="607"/>
      <c r="AI54" s="607"/>
    </row>
    <row r="55" spans="1:35">
      <c r="A55" s="1543"/>
      <c r="B55" s="626"/>
      <c r="C55" s="637"/>
      <c r="D55" s="582"/>
      <c r="E55" s="628"/>
      <c r="F55" s="607"/>
      <c r="G55" s="1394">
        <f t="shared" si="8202"/>
        <v>0</v>
      </c>
      <c r="H55" s="1394"/>
      <c r="I55" s="1394">
        <f t="shared" si="8202"/>
        <v>0</v>
      </c>
      <c r="J55" s="1394"/>
      <c r="K55" s="1394">
        <f t="shared" si="8202"/>
        <v>0</v>
      </c>
      <c r="L55" s="1394"/>
      <c r="M55" s="1394">
        <f t="shared" si="8202"/>
        <v>0</v>
      </c>
      <c r="N55" s="1394"/>
      <c r="O55" s="1394">
        <f t="shared" si="8202"/>
        <v>0</v>
      </c>
      <c r="P55" s="1394"/>
      <c r="Q55" s="1394">
        <f t="shared" si="8202"/>
        <v>0</v>
      </c>
      <c r="R55" s="1394"/>
      <c r="S55" s="1394">
        <f t="shared" si="8202"/>
        <v>0</v>
      </c>
      <c r="T55" s="1394"/>
      <c r="U55" s="1394">
        <f t="shared" si="8202"/>
        <v>0</v>
      </c>
      <c r="V55" s="1394"/>
      <c r="W55" s="1394">
        <f t="shared" si="8202"/>
        <v>0</v>
      </c>
      <c r="X55" s="1394"/>
      <c r="Y55" s="1394">
        <f t="shared" si="8202"/>
        <v>0</v>
      </c>
      <c r="Z55" s="1394"/>
      <c r="AA55" s="1394">
        <f t="shared" si="8202"/>
        <v>0</v>
      </c>
      <c r="AB55" s="1394"/>
      <c r="AC55" s="1394">
        <f t="shared" si="8202"/>
        <v>0</v>
      </c>
      <c r="AD55" s="1394"/>
      <c r="AE55" s="1394">
        <f t="shared" si="8202"/>
        <v>0</v>
      </c>
      <c r="AF55" s="1394"/>
      <c r="AG55" s="1394">
        <f t="shared" si="8202"/>
        <v>0</v>
      </c>
      <c r="AH55" s="607"/>
      <c r="AI55" s="607"/>
    </row>
    <row r="56" spans="1:35">
      <c r="A56" s="626"/>
      <c r="B56" s="626"/>
      <c r="C56" s="637"/>
      <c r="D56" s="582"/>
      <c r="E56" s="633"/>
      <c r="F56" s="607"/>
      <c r="G56" s="1396">
        <f t="shared" si="8202"/>
        <v>0</v>
      </c>
      <c r="H56" s="1394"/>
      <c r="I56" s="1396">
        <f t="shared" si="8202"/>
        <v>0</v>
      </c>
      <c r="J56" s="1394"/>
      <c r="K56" s="1396">
        <f t="shared" si="8202"/>
        <v>0</v>
      </c>
      <c r="L56" s="1394"/>
      <c r="M56" s="1396">
        <f t="shared" si="8202"/>
        <v>0</v>
      </c>
      <c r="N56" s="1394"/>
      <c r="O56" s="1396">
        <f t="shared" si="8202"/>
        <v>0</v>
      </c>
      <c r="P56" s="1394"/>
      <c r="Q56" s="1396">
        <f t="shared" si="8202"/>
        <v>0</v>
      </c>
      <c r="R56" s="1394"/>
      <c r="S56" s="1396">
        <f t="shared" si="8202"/>
        <v>0</v>
      </c>
      <c r="T56" s="1394"/>
      <c r="U56" s="1396">
        <f t="shared" si="8202"/>
        <v>0</v>
      </c>
      <c r="V56" s="1394"/>
      <c r="W56" s="1396">
        <f t="shared" si="8202"/>
        <v>0</v>
      </c>
      <c r="X56" s="1394"/>
      <c r="Y56" s="1396">
        <f t="shared" si="8202"/>
        <v>0</v>
      </c>
      <c r="Z56" s="1394"/>
      <c r="AA56" s="1396">
        <f t="shared" si="8202"/>
        <v>0</v>
      </c>
      <c r="AB56" s="1394"/>
      <c r="AC56" s="1396">
        <f t="shared" si="8202"/>
        <v>0</v>
      </c>
      <c r="AD56" s="1394"/>
      <c r="AE56" s="1396">
        <f t="shared" si="8202"/>
        <v>0</v>
      </c>
      <c r="AF56" s="1394"/>
      <c r="AG56" s="1396">
        <f t="shared" si="8202"/>
        <v>0</v>
      </c>
      <c r="AH56" s="607"/>
      <c r="AI56" s="607"/>
    </row>
    <row r="57" spans="1:35">
      <c r="A57" s="598" t="s">
        <v>1212</v>
      </c>
      <c r="B57" s="582"/>
      <c r="C57" s="624"/>
      <c r="D57" s="582"/>
      <c r="E57" s="607">
        <f>SUM(E52:E56)</f>
        <v>25000</v>
      </c>
      <c r="F57" s="607"/>
      <c r="G57" s="607">
        <f>SUM(G52:G56)</f>
        <v>25750</v>
      </c>
      <c r="H57" s="607"/>
      <c r="I57" s="607">
        <f>SUM(I52:I56)</f>
        <v>26522.5</v>
      </c>
      <c r="J57" s="607"/>
      <c r="K57" s="607">
        <f>SUM(K52:K56)</f>
        <v>27318.174999999999</v>
      </c>
      <c r="L57" s="607"/>
      <c r="M57" s="607">
        <f>SUM(M52:M56)</f>
        <v>28137.720250000002</v>
      </c>
      <c r="N57" s="607"/>
      <c r="O57" s="607">
        <f>SUM(O52:O56)</f>
        <v>28981.851857499998</v>
      </c>
      <c r="P57" s="607"/>
      <c r="Q57" s="607">
        <f>SUM(Q52:Q56)</f>
        <v>29851.307413224997</v>
      </c>
      <c r="R57" s="607"/>
      <c r="S57" s="607">
        <f>SUM(S52:S56)</f>
        <v>30746.84663562175</v>
      </c>
      <c r="T57" s="607"/>
      <c r="U57" s="607">
        <f>SUM(U52:U56)</f>
        <v>31669.252034690406</v>
      </c>
      <c r="V57" s="607"/>
      <c r="W57" s="607">
        <f>SUM(W52:W56)</f>
        <v>32619.329595731117</v>
      </c>
      <c r="X57" s="607"/>
      <c r="Y57" s="607">
        <f>SUM(Y52:Y56)</f>
        <v>33597.909483603049</v>
      </c>
      <c r="Z57" s="607"/>
      <c r="AA57" s="607">
        <f>SUM(AA52:AA56)</f>
        <v>34605.846768111136</v>
      </c>
      <c r="AB57" s="607"/>
      <c r="AC57" s="607">
        <f>SUM(AC52:AC56)</f>
        <v>35644.022171154473</v>
      </c>
      <c r="AD57" s="607"/>
      <c r="AE57" s="607">
        <f>SUM(AE52:AE56)</f>
        <v>36713.342836289114</v>
      </c>
      <c r="AF57" s="607"/>
      <c r="AG57" s="607">
        <f>SUM(AG52:AG56)</f>
        <v>37814.743121377789</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22322.505230785231</v>
      </c>
      <c r="F59" s="598"/>
      <c r="G59" s="598">
        <f>G44-G57</f>
        <v>24851.035230785375</v>
      </c>
      <c r="H59" s="598"/>
      <c r="I59" s="598">
        <f>I44-I57</f>
        <v>27216.737080785213</v>
      </c>
      <c r="J59" s="598"/>
      <c r="K59" s="598">
        <f>K44-K57</f>
        <v>29407.450428035274</v>
      </c>
      <c r="L59" s="598"/>
      <c r="M59" s="598">
        <f>M44-M57</f>
        <v>31410.426290501269</v>
      </c>
      <c r="N59" s="598"/>
      <c r="O59" s="598">
        <f>O44-O57</f>
        <v>33212.302374325613</v>
      </c>
      <c r="P59" s="598"/>
      <c r="Q59" s="598">
        <f>Q44-Q57</f>
        <v>34799.077425638163</v>
      </c>
      <c r="R59" s="598"/>
      <c r="S59" s="598">
        <f>S44-S57</f>
        <v>36156.084580397219</v>
      </c>
      <c r="T59" s="598"/>
      <c r="U59" s="598">
        <f>U44-U57</f>
        <v>37267.963674588769</v>
      </c>
      <c r="V59" s="598"/>
      <c r="W59" s="598">
        <f>W44-W57</f>
        <v>38118.632475738865</v>
      </c>
      <c r="X59" s="598"/>
      <c r="Y59" s="598">
        <f>Y44-Y57</f>
        <v>38691.256795267611</v>
      </c>
      <c r="Z59" s="598"/>
      <c r="AA59" s="598">
        <f>AA44-AA57</f>
        <v>38968.219439707318</v>
      </c>
      <c r="AB59" s="598"/>
      <c r="AC59" s="598">
        <f>AC44-AC57</f>
        <v>38931.087957294687</v>
      </c>
      <c r="AD59" s="598"/>
      <c r="AE59" s="598">
        <f>AE44-AE57</f>
        <v>38560.581134838721</v>
      </c>
      <c r="AF59" s="598"/>
      <c r="AG59" s="598">
        <f>AG44-AG57</f>
        <v>37836.534198116729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02"/>
      <c r="D61" s="598"/>
      <c r="E61" s="627">
        <f>Application!AO636</f>
        <v>6250</v>
      </c>
      <c r="F61" s="598"/>
      <c r="G61" s="1401">
        <f>G59*$C$61</f>
        <v>0</v>
      </c>
      <c r="H61" s="1397"/>
      <c r="I61" s="1401">
        <f>I59*$C$61</f>
        <v>0</v>
      </c>
      <c r="J61" s="1397"/>
      <c r="K61" s="1401">
        <f>K59*$C$61</f>
        <v>0</v>
      </c>
      <c r="L61" s="1397"/>
      <c r="M61" s="1401">
        <f>M59*$C$61</f>
        <v>0</v>
      </c>
      <c r="N61" s="1397"/>
      <c r="O61" s="1401">
        <f>O59*$C$61</f>
        <v>0</v>
      </c>
      <c r="P61" s="1397"/>
      <c r="Q61" s="1401">
        <f>Q59*$C$61</f>
        <v>0</v>
      </c>
      <c r="R61" s="1397"/>
      <c r="S61" s="1401">
        <f>S59*$C$61</f>
        <v>0</v>
      </c>
      <c r="T61" s="1397"/>
      <c r="U61" s="1401">
        <f>U59*$C$61</f>
        <v>0</v>
      </c>
      <c r="V61" s="1397"/>
      <c r="W61" s="1401">
        <f>W59*$C$61</f>
        <v>0</v>
      </c>
      <c r="X61" s="1397"/>
      <c r="Y61" s="1401">
        <f>Y59*$C$61</f>
        <v>0</v>
      </c>
      <c r="Z61" s="1397"/>
      <c r="AA61" s="1401">
        <f>AA59*$C$61</f>
        <v>0</v>
      </c>
      <c r="AB61" s="598"/>
      <c r="AC61" s="1401">
        <f>AC59*$C$61</f>
        <v>0</v>
      </c>
      <c r="AD61" s="598"/>
      <c r="AE61" s="1401">
        <f>AE59*$C$61</f>
        <v>0</v>
      </c>
      <c r="AF61" s="598"/>
      <c r="AG61" s="1401">
        <f>AG59*$C$61</f>
        <v>0</v>
      </c>
      <c r="AH61" s="598"/>
      <c r="AI61" s="598"/>
    </row>
    <row r="62" spans="1:35" s="2" customFormat="1">
      <c r="A62" s="1397"/>
      <c r="B62" s="1397"/>
      <c r="C62" s="1398"/>
      <c r="D62" s="1397"/>
      <c r="E62" s="1397"/>
      <c r="F62" s="1397"/>
      <c r="G62" s="1397"/>
      <c r="H62" s="1397"/>
      <c r="I62" s="1397"/>
      <c r="J62" s="1397"/>
      <c r="K62" s="1397"/>
      <c r="L62" s="1397"/>
      <c r="M62" s="1397"/>
      <c r="N62" s="1397"/>
      <c r="O62" s="1397"/>
      <c r="P62" s="1397"/>
      <c r="Q62" s="1397"/>
      <c r="R62" s="1397"/>
      <c r="S62" s="1397"/>
      <c r="T62" s="1397"/>
      <c r="U62" s="1397"/>
      <c r="V62" s="1397"/>
      <c r="W62" s="1397"/>
      <c r="X62" s="1397"/>
      <c r="Y62" s="1397"/>
      <c r="Z62" s="1397"/>
      <c r="AA62" s="1397"/>
      <c r="AB62" s="1397"/>
      <c r="AC62" s="1397"/>
      <c r="AD62" s="1397"/>
      <c r="AE62" s="1397"/>
      <c r="AF62" s="1397"/>
      <c r="AG62" s="1397"/>
      <c r="AH62" s="1397"/>
      <c r="AI62" s="1397"/>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03"/>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04">
        <f>G59*$C$64</f>
        <v>0</v>
      </c>
      <c r="H66" s="607"/>
      <c r="I66" s="1404">
        <f>I59*$C$64</f>
        <v>0</v>
      </c>
      <c r="J66" s="607"/>
      <c r="K66" s="1404">
        <f>K59*$C$64</f>
        <v>0</v>
      </c>
      <c r="L66" s="607"/>
      <c r="M66" s="1404">
        <f>M59*$C$64</f>
        <v>0</v>
      </c>
      <c r="N66" s="607"/>
      <c r="O66" s="1404">
        <f>O59*$C$64</f>
        <v>0</v>
      </c>
      <c r="P66" s="607"/>
      <c r="Q66" s="1404">
        <f>Q59*$C$64</f>
        <v>0</v>
      </c>
      <c r="R66" s="607"/>
      <c r="S66" s="1404">
        <f>S59*$C$64</f>
        <v>0</v>
      </c>
      <c r="T66" s="607"/>
      <c r="U66" s="1404">
        <f>U59*$C$64</f>
        <v>0</v>
      </c>
      <c r="V66" s="607"/>
      <c r="W66" s="1404">
        <f>W59*$C$64</f>
        <v>0</v>
      </c>
      <c r="X66" s="607"/>
      <c r="Y66" s="1404">
        <f>Y59*$C$64</f>
        <v>0</v>
      </c>
      <c r="Z66" s="607"/>
      <c r="AA66" s="1404">
        <f>AA59*$C$64</f>
        <v>0</v>
      </c>
      <c r="AB66" s="607"/>
      <c r="AC66" s="1404">
        <f>AC59*$C$64</f>
        <v>0</v>
      </c>
      <c r="AD66" s="607"/>
      <c r="AE66" s="1404">
        <f>AE59*$C$64</f>
        <v>0</v>
      </c>
      <c r="AF66" s="607"/>
      <c r="AG66" s="1404">
        <f>AG59*$C$64</f>
        <v>0</v>
      </c>
      <c r="AH66" s="607"/>
      <c r="AI66" s="607"/>
    </row>
    <row r="67" spans="1:35" s="1371" customFormat="1">
      <c r="A67" s="627"/>
      <c r="B67" s="627"/>
      <c r="C67" s="625"/>
      <c r="D67" s="598"/>
      <c r="E67" s="627"/>
      <c r="F67" s="598"/>
      <c r="G67" s="1404">
        <f>G59*$C$64</f>
        <v>0</v>
      </c>
      <c r="H67" s="598"/>
      <c r="I67" s="1404">
        <f>I59*$C$64</f>
        <v>0</v>
      </c>
      <c r="J67" s="598"/>
      <c r="K67" s="1404">
        <f>K59*$C$64</f>
        <v>0</v>
      </c>
      <c r="L67" s="598"/>
      <c r="M67" s="1404">
        <f>M59*$C$64</f>
        <v>0</v>
      </c>
      <c r="N67" s="598"/>
      <c r="O67" s="1404">
        <f>O59*$C$64</f>
        <v>0</v>
      </c>
      <c r="P67" s="598"/>
      <c r="Q67" s="1404">
        <f>Q59*$C$64</f>
        <v>0</v>
      </c>
      <c r="R67" s="598"/>
      <c r="S67" s="1404">
        <f>S59*$C$64</f>
        <v>0</v>
      </c>
      <c r="T67" s="598"/>
      <c r="U67" s="1404">
        <f>U59*$C$64</f>
        <v>0</v>
      </c>
      <c r="V67" s="598"/>
      <c r="W67" s="1404">
        <f>W59*$C$64</f>
        <v>0</v>
      </c>
      <c r="X67" s="598"/>
      <c r="Y67" s="1404">
        <f>Y59*$C$64</f>
        <v>0</v>
      </c>
      <c r="Z67" s="598"/>
      <c r="AA67" s="1404">
        <f>AA59*$C$64</f>
        <v>0</v>
      </c>
      <c r="AB67" s="598"/>
      <c r="AC67" s="1404">
        <f>AC59*$C$64</f>
        <v>0</v>
      </c>
      <c r="AD67" s="598"/>
      <c r="AE67" s="1404">
        <f>AE59*$C$64</f>
        <v>0</v>
      </c>
      <c r="AF67" s="598"/>
      <c r="AG67" s="1404">
        <f>AG59*$C$64</f>
        <v>0</v>
      </c>
      <c r="AH67" s="598"/>
      <c r="AI67" s="598"/>
    </row>
    <row r="68" spans="1:35" s="1371" customFormat="1">
      <c r="A68" s="628"/>
      <c r="B68" s="628"/>
      <c r="C68" s="608"/>
      <c r="D68" s="607"/>
      <c r="E68" s="633"/>
      <c r="F68" s="607"/>
      <c r="G68" s="1405">
        <f>G59*$C$64</f>
        <v>0</v>
      </c>
      <c r="H68" s="607"/>
      <c r="I68" s="1405">
        <f>I59*$C$64</f>
        <v>0</v>
      </c>
      <c r="J68" s="607"/>
      <c r="K68" s="1405">
        <f>K59*$C$64</f>
        <v>0</v>
      </c>
      <c r="L68" s="607"/>
      <c r="M68" s="1405">
        <f>M59*$C$64</f>
        <v>0</v>
      </c>
      <c r="N68" s="607"/>
      <c r="O68" s="1405">
        <f>O59*$C$64</f>
        <v>0</v>
      </c>
      <c r="P68" s="607"/>
      <c r="Q68" s="1405">
        <f>Q59*$C$64</f>
        <v>0</v>
      </c>
      <c r="R68" s="607"/>
      <c r="S68" s="1405">
        <f>S59*$C$64</f>
        <v>0</v>
      </c>
      <c r="T68" s="607"/>
      <c r="U68" s="1405">
        <f>U59*$C$64</f>
        <v>0</v>
      </c>
      <c r="V68" s="607"/>
      <c r="W68" s="1405">
        <f>W59*$C$64</f>
        <v>0</v>
      </c>
      <c r="X68" s="607"/>
      <c r="Y68" s="1405">
        <f>Y59*$C$64</f>
        <v>0</v>
      </c>
      <c r="Z68" s="607"/>
      <c r="AA68" s="1405">
        <f>AA59*$C$64</f>
        <v>0</v>
      </c>
      <c r="AB68" s="607"/>
      <c r="AC68" s="1405">
        <f>AC59*$C$64</f>
        <v>0</v>
      </c>
      <c r="AD68" s="607"/>
      <c r="AE68" s="1405">
        <f>AE59*$C$64</f>
        <v>0</v>
      </c>
      <c r="AF68" s="607"/>
      <c r="AG68" s="1405">
        <f>AG59*$C$64</f>
        <v>0</v>
      </c>
      <c r="AH68" s="607"/>
      <c r="AI68" s="607"/>
    </row>
    <row r="69" spans="1:35" s="2" customFormat="1">
      <c r="A69" s="1406" t="s">
        <v>1212</v>
      </c>
      <c r="B69" s="1399"/>
      <c r="C69" s="1400"/>
      <c r="D69" s="1399"/>
      <c r="E69" s="1397">
        <f>SUM(E65:E68)</f>
        <v>0</v>
      </c>
      <c r="F69" s="1397"/>
      <c r="G69" s="1397">
        <f>SUM(G65:G68)</f>
        <v>0</v>
      </c>
      <c r="H69" s="1397"/>
      <c r="I69" s="1397">
        <f>SUM(I65:I68)</f>
        <v>0</v>
      </c>
      <c r="J69" s="1397"/>
      <c r="K69" s="1397">
        <f>SUM(K65:K68)</f>
        <v>0</v>
      </c>
      <c r="L69" s="1397"/>
      <c r="M69" s="1397">
        <f>SUM(M65:M68)</f>
        <v>0</v>
      </c>
      <c r="N69" s="1397"/>
      <c r="O69" s="1397">
        <f>SUM(O65:O68)</f>
        <v>0</v>
      </c>
      <c r="P69" s="1397"/>
      <c r="Q69" s="1397">
        <f>SUM(Q65:Q68)</f>
        <v>0</v>
      </c>
      <c r="R69" s="1397"/>
      <c r="S69" s="1397">
        <f>SUM(S65:S68)</f>
        <v>0</v>
      </c>
      <c r="T69" s="1397"/>
      <c r="U69" s="1397">
        <f>SUM(U65:U68)</f>
        <v>0</v>
      </c>
      <c r="V69" s="1397"/>
      <c r="W69" s="1397">
        <f>SUM(W65:W68)</f>
        <v>0</v>
      </c>
      <c r="X69" s="1397"/>
      <c r="Y69" s="1397">
        <f>SUM(Y65:Y68)</f>
        <v>0</v>
      </c>
      <c r="Z69" s="1397"/>
      <c r="AA69" s="1397">
        <f>SUM(AA65:AA68)</f>
        <v>0</v>
      </c>
      <c r="AB69" s="1397"/>
      <c r="AC69" s="1397">
        <f>SUM(AC65:AC68)</f>
        <v>0</v>
      </c>
      <c r="AD69" s="1397"/>
      <c r="AE69" s="1397">
        <f>SUM(AE65:AE68)</f>
        <v>0</v>
      </c>
      <c r="AF69" s="1397"/>
      <c r="AG69" s="1397">
        <f>SUM(AG65:AG68)</f>
        <v>0</v>
      </c>
      <c r="AH69" s="1399"/>
      <c r="AI69" s="1399"/>
    </row>
    <row r="70" spans="1:35" s="2" customFormat="1">
      <c r="A70" s="1399"/>
      <c r="B70" s="1399"/>
      <c r="C70" s="1400"/>
      <c r="D70" s="1399"/>
      <c r="E70" s="1399"/>
      <c r="F70" s="1399"/>
      <c r="G70" s="1399"/>
      <c r="H70" s="1399"/>
      <c r="I70" s="1399"/>
      <c r="J70" s="1399"/>
      <c r="K70" s="1399"/>
      <c r="L70" s="1399"/>
      <c r="M70" s="1399"/>
      <c r="N70" s="1399"/>
      <c r="O70" s="1399"/>
      <c r="P70" s="1399"/>
      <c r="Q70" s="1399"/>
      <c r="R70" s="1399"/>
      <c r="S70" s="1399"/>
      <c r="T70" s="1399"/>
      <c r="U70" s="1399"/>
      <c r="V70" s="1399"/>
      <c r="W70" s="1399"/>
      <c r="X70" s="1399"/>
      <c r="Y70" s="1399"/>
      <c r="Z70" s="1399"/>
      <c r="AA70" s="1399"/>
      <c r="AB70" s="1399"/>
      <c r="AC70" s="1399"/>
      <c r="AD70" s="1399"/>
      <c r="AE70" s="1399"/>
      <c r="AF70" s="1399"/>
      <c r="AG70" s="1399"/>
      <c r="AH70" s="1399"/>
      <c r="AI70" s="1399"/>
    </row>
    <row r="71" spans="1:35">
      <c r="A71" s="1406" t="s">
        <v>2220</v>
      </c>
      <c r="B71" s="607"/>
      <c r="C71" s="608"/>
      <c r="D71" s="607"/>
      <c r="E71" s="598">
        <f>E59-E61-E69</f>
        <v>16072.505230785231</v>
      </c>
      <c r="F71" s="607"/>
      <c r="G71" s="598">
        <f>G59-G61-G69</f>
        <v>24851.035230785375</v>
      </c>
      <c r="H71" s="607"/>
      <c r="I71" s="598">
        <f>I59-I61-I69</f>
        <v>27216.737080785213</v>
      </c>
      <c r="J71" s="607"/>
      <c r="K71" s="598">
        <f>K59-K61-K69</f>
        <v>29407.450428035274</v>
      </c>
      <c r="L71" s="607"/>
      <c r="M71" s="598">
        <f>M59-M61-M69</f>
        <v>31410.426290501269</v>
      </c>
      <c r="N71" s="607"/>
      <c r="O71" s="598">
        <f>O59-O61-O69</f>
        <v>33212.302374325613</v>
      </c>
      <c r="P71" s="607"/>
      <c r="Q71" s="598">
        <f>Q59-Q61-Q69</f>
        <v>34799.077425638163</v>
      </c>
      <c r="R71" s="607"/>
      <c r="S71" s="598">
        <f>S59-S61-S69</f>
        <v>36156.084580397219</v>
      </c>
      <c r="T71" s="607"/>
      <c r="U71" s="598">
        <f>U59-U61-U69</f>
        <v>37267.963674588769</v>
      </c>
      <c r="V71" s="607"/>
      <c r="W71" s="598">
        <f>W59-W61-W69</f>
        <v>38118.632475738865</v>
      </c>
      <c r="X71" s="607"/>
      <c r="Y71" s="598">
        <f>Y59-Y61-Y69</f>
        <v>38691.256795267611</v>
      </c>
      <c r="Z71" s="607"/>
      <c r="AA71" s="598">
        <f>AA59-AA61-AA69</f>
        <v>38968.219439707318</v>
      </c>
      <c r="AB71" s="607"/>
      <c r="AC71" s="598">
        <f>AC59-AC61-AC69</f>
        <v>38931.087957294687</v>
      </c>
      <c r="AD71" s="607"/>
      <c r="AE71" s="598">
        <f>AE59-AE61-AE69</f>
        <v>38560.581134838721</v>
      </c>
      <c r="AF71" s="607"/>
      <c r="AG71" s="598">
        <f>AG59-AG61-AG69</f>
        <v>37836.534198116729</v>
      </c>
      <c r="AH71" s="607"/>
      <c r="AI71" s="607"/>
    </row>
    <row r="72" spans="1:35" s="1371"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71"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8" t="s">
        <v>1216</v>
      </c>
      <c r="B76" s="2718"/>
      <c r="C76" s="2718"/>
      <c r="D76" s="2718"/>
      <c r="E76" s="2718"/>
      <c r="F76" s="2718"/>
      <c r="G76" s="2718"/>
      <c r="H76" s="2718"/>
      <c r="I76" s="2718"/>
      <c r="J76" s="2718"/>
      <c r="K76" s="2718"/>
      <c r="L76" s="2718"/>
      <c r="M76" s="2718"/>
      <c r="N76" s="2718"/>
      <c r="O76" s="2718"/>
      <c r="P76" s="2718"/>
      <c r="Q76" s="2718"/>
      <c r="R76" s="2718"/>
      <c r="S76" s="2718"/>
      <c r="T76" s="2718"/>
      <c r="U76" s="2718"/>
      <c r="V76" s="2718"/>
      <c r="W76" s="2718"/>
      <c r="X76" s="2718"/>
      <c r="Y76" s="2718"/>
      <c r="Z76" s="2718"/>
      <c r="AA76" s="2718"/>
      <c r="AB76" s="2718"/>
      <c r="AC76" s="2718"/>
      <c r="AD76" s="2718"/>
      <c r="AE76" s="2718"/>
      <c r="AF76" s="2718"/>
      <c r="AG76" s="271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4" sqref="E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19" t="s">
        <v>1296</v>
      </c>
      <c r="B1" s="2719"/>
      <c r="C1" s="2719"/>
      <c r="D1" s="2719"/>
      <c r="E1" s="2719"/>
      <c r="F1" s="2719"/>
      <c r="G1" s="2719"/>
      <c r="H1" s="2719"/>
      <c r="I1" s="2719"/>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Application!$B706</f>
        <v>1 Bedroom</v>
      </c>
      <c r="B4" s="947">
        <f>Application!$G706</f>
        <v>20</v>
      </c>
      <c r="C4" s="939">
        <f>Application!$O706</f>
        <v>379.4</v>
      </c>
      <c r="D4" s="940"/>
      <c r="E4" s="740">
        <f>1074-75</f>
        <v>999</v>
      </c>
      <c r="F4" s="941">
        <f>$E4*$B4</f>
        <v>19980</v>
      </c>
      <c r="G4" s="942"/>
      <c r="H4" s="939">
        <f>IF($E4=0,0,MAX($E4-$C4,0))</f>
        <v>619.6</v>
      </c>
      <c r="I4" s="941">
        <f>IF($H4=0,0,($H4*$B4))</f>
        <v>12392</v>
      </c>
    </row>
    <row r="5" spans="1:9">
      <c r="A5" s="939" t="str">
        <f>Application!$B707</f>
        <v>1 Bedroom</v>
      </c>
      <c r="B5" s="947">
        <f>Application!$G707</f>
        <v>20</v>
      </c>
      <c r="C5" s="939">
        <f>Application!$O707</f>
        <v>606.6</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10</v>
      </c>
      <c r="C6" s="939">
        <f>Application!$O708</f>
        <v>833.8</v>
      </c>
      <c r="D6" s="940"/>
      <c r="E6" s="740"/>
      <c r="F6" s="941">
        <f t="shared" si="0"/>
        <v>0</v>
      </c>
      <c r="G6" s="942"/>
      <c r="H6" s="939">
        <f t="shared" si="1"/>
        <v>0</v>
      </c>
      <c r="I6" s="941">
        <f t="shared" si="2"/>
        <v>0</v>
      </c>
    </row>
    <row r="7" spans="1:9">
      <c r="A7" s="939" t="str">
        <f>Application!$B709</f>
        <v>1 Bedroom</v>
      </c>
      <c r="B7" s="947">
        <f>Application!$G709</f>
        <v>30</v>
      </c>
      <c r="C7" s="939">
        <f>Application!$O709</f>
        <v>1061</v>
      </c>
      <c r="D7" s="940"/>
      <c r="E7" s="740"/>
      <c r="F7" s="941">
        <f t="shared" si="0"/>
        <v>0</v>
      </c>
      <c r="G7" s="942"/>
      <c r="H7" s="939">
        <f t="shared" si="1"/>
        <v>0</v>
      </c>
      <c r="I7" s="941">
        <f t="shared" si="2"/>
        <v>0</v>
      </c>
    </row>
    <row r="8" spans="1:9">
      <c r="A8" s="939" t="str">
        <f>Application!$B710</f>
        <v>2 Bedrooms</v>
      </c>
      <c r="B8" s="947">
        <f>Application!$G710</f>
        <v>5</v>
      </c>
      <c r="C8" s="939">
        <f>Application!$O710</f>
        <v>448.20000000000005</v>
      </c>
      <c r="D8" s="940"/>
      <c r="E8" s="740">
        <f>1304-97</f>
        <v>1207</v>
      </c>
      <c r="F8" s="941">
        <f t="shared" si="0"/>
        <v>6035</v>
      </c>
      <c r="G8" s="942"/>
      <c r="H8" s="939">
        <f t="shared" si="1"/>
        <v>758.8</v>
      </c>
      <c r="I8" s="941">
        <f t="shared" si="2"/>
        <v>3794</v>
      </c>
    </row>
    <row r="9" spans="1:9">
      <c r="A9" s="939" t="str">
        <f>Application!$B711</f>
        <v>2 Bedrooms</v>
      </c>
      <c r="B9" s="947">
        <f>Application!$G711</f>
        <v>15</v>
      </c>
      <c r="C9" s="939">
        <f>Application!$O711</f>
        <v>993.40000000000009</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924360</v>
      </c>
      <c r="D30" s="940"/>
      <c r="E30" s="940"/>
      <c r="F30" s="945">
        <f>SUM(F4:F28)*12</f>
        <v>312180</v>
      </c>
      <c r="G30" s="946"/>
      <c r="H30" s="944"/>
      <c r="I30" s="945">
        <f>SUM(I4:I28)*12</f>
        <v>194232</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0" customWidth="1"/>
    <col min="2" max="2" width="0.85546875" style="1260" customWidth="1"/>
    <col min="3" max="18" width="2.42578125" style="1260" customWidth="1"/>
    <col min="19" max="19" width="4" style="1260" customWidth="1"/>
    <col min="20" max="39" width="2.42578125" style="1260" customWidth="1"/>
    <col min="40" max="40" width="1.42578125" style="1260" customWidth="1"/>
    <col min="41" max="16384" width="2.42578125" style="2" hidden="1"/>
  </cols>
  <sheetData>
    <row r="1" spans="1:40" ht="12.75" customHeight="1">
      <c r="A1" s="2300" t="s">
        <v>1217</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3.5"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0"/>
      <c r="AA6" s="2"/>
    </row>
    <row r="7" spans="1:40" ht="13.7" customHeight="1">
      <c r="B7" s="9"/>
      <c r="C7" s="10"/>
      <c r="D7" s="10"/>
      <c r="E7" s="10"/>
      <c r="F7" s="10"/>
      <c r="G7" s="10"/>
      <c r="H7" s="10"/>
      <c r="I7" s="10"/>
      <c r="J7" s="10"/>
      <c r="K7" s="10"/>
      <c r="L7" s="10"/>
      <c r="M7" s="10"/>
      <c r="N7" s="10"/>
      <c r="O7" s="10"/>
      <c r="P7" s="10"/>
      <c r="Q7" s="10"/>
      <c r="R7" s="10"/>
      <c r="S7" s="10"/>
      <c r="T7" s="2277" t="s">
        <v>1811</v>
      </c>
      <c r="U7" s="2277"/>
      <c r="V7" s="2277"/>
      <c r="W7" s="2277"/>
      <c r="X7" s="2277"/>
      <c r="Y7" s="2277" t="s">
        <v>1974</v>
      </c>
      <c r="Z7" s="2277"/>
      <c r="AA7" s="2277"/>
      <c r="AB7" s="2277"/>
      <c r="AC7" s="2277"/>
      <c r="AD7" s="2277" t="s">
        <v>1512</v>
      </c>
      <c r="AE7" s="2277"/>
      <c r="AF7" s="2277"/>
      <c r="AG7" s="2277"/>
      <c r="AH7" s="2277"/>
      <c r="AI7" s="2277" t="s">
        <v>1975</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566</v>
      </c>
      <c r="C11" s="2275"/>
      <c r="D11" s="2275"/>
      <c r="E11" s="2275"/>
      <c r="F11" s="2275"/>
      <c r="G11" s="2275"/>
      <c r="H11" s="2275"/>
      <c r="I11" s="2275"/>
      <c r="J11" s="2275"/>
      <c r="K11" s="2275"/>
      <c r="L11" s="2275"/>
      <c r="M11" s="2275"/>
      <c r="N11" s="2275"/>
      <c r="O11" s="2275"/>
      <c r="P11" s="2275"/>
      <c r="Q11" s="2275"/>
      <c r="R11" s="2275"/>
      <c r="S11" s="2276"/>
      <c r="T11" s="2317">
        <f>IF('Sources and Basis Breakdown'!F105=0,'Sources and Basis Breakdown'!E105,'Sources and Basis Breakdown'!F105)</f>
        <v>47778788</v>
      </c>
      <c r="U11" s="2305"/>
      <c r="V11" s="2305"/>
      <c r="W11" s="2305"/>
      <c r="X11" s="2305"/>
      <c r="Y11" s="2304">
        <f>IF('Sources and Basis Breakdown'!G105+'Sources and Basis Breakdown'!F105='Sources and Basis Breakdown'!E105,'Sources and Basis Breakdown'!G105,0)</f>
        <v>0</v>
      </c>
      <c r="Z11" s="2305"/>
      <c r="AA11" s="2305"/>
      <c r="AB11" s="2305"/>
      <c r="AC11" s="2305"/>
      <c r="AD11" s="2305">
        <f>IF('Sources and Basis Breakdown'!I105=0,'Sources and Basis Breakdown'!H105,'Sources and Basis Breakdown'!I105)</f>
        <v>0</v>
      </c>
      <c r="AE11" s="2305"/>
      <c r="AF11" s="2305"/>
      <c r="AG11" s="2305"/>
      <c r="AH11" s="2305"/>
      <c r="AI11" s="2305">
        <f>IF('Sources and Basis Breakdown'!I105+'Sources and Basis Breakdown'!J105='Sources and Basis Breakdown'!H105,'Sources and Basis Breakdown'!J105,0)</f>
        <v>0</v>
      </c>
      <c r="AJ11" s="2305"/>
      <c r="AK11" s="2305"/>
      <c r="AL11" s="2305"/>
      <c r="AM11" s="2305"/>
    </row>
    <row r="12" spans="1:40" ht="12.75">
      <c r="B12" s="2310" t="s">
        <v>496</v>
      </c>
      <c r="C12" s="2311"/>
      <c r="D12" s="2311"/>
      <c r="E12" s="2311"/>
      <c r="F12" s="2311"/>
      <c r="G12" s="2311"/>
      <c r="H12" s="2311"/>
      <c r="I12" s="2311"/>
      <c r="J12" s="2311"/>
      <c r="K12" s="2311"/>
      <c r="L12" s="2311"/>
      <c r="M12" s="2311"/>
      <c r="N12" s="2311"/>
      <c r="O12" s="2311"/>
      <c r="P12" s="2311"/>
      <c r="Q12" s="2311"/>
      <c r="R12" s="2311"/>
      <c r="S12" s="2312"/>
      <c r="T12" s="2307"/>
      <c r="U12" s="2308"/>
      <c r="V12" s="2308"/>
      <c r="W12" s="2308"/>
      <c r="X12" s="2309"/>
      <c r="Y12" s="2307"/>
      <c r="Z12" s="2308"/>
      <c r="AA12" s="2308"/>
      <c r="AB12" s="2308"/>
      <c r="AC12" s="2309"/>
      <c r="AD12" s="2307"/>
      <c r="AE12" s="2308"/>
      <c r="AF12" s="2308"/>
      <c r="AG12" s="2308"/>
      <c r="AH12" s="2309"/>
      <c r="AI12" s="2307"/>
      <c r="AJ12" s="2308"/>
      <c r="AK12" s="2308"/>
      <c r="AL12" s="2308"/>
      <c r="AM12" s="2309"/>
    </row>
    <row r="13" spans="1:40" ht="12.75">
      <c r="B13" s="11"/>
      <c r="C13" s="2313" t="s">
        <v>1929</v>
      </c>
      <c r="D13" s="2314"/>
      <c r="E13" s="2314"/>
      <c r="F13" s="2314"/>
      <c r="G13" s="2314"/>
      <c r="H13" s="2314"/>
      <c r="I13" s="2314"/>
      <c r="J13" s="2314"/>
      <c r="K13" s="2314"/>
      <c r="L13" s="2314"/>
      <c r="M13" s="2314"/>
      <c r="N13" s="2314"/>
      <c r="O13" s="2314"/>
      <c r="P13" s="2314"/>
      <c r="Q13" s="2314"/>
      <c r="R13" s="2314"/>
      <c r="S13" s="2315"/>
      <c r="T13" s="2306">
        <f>'Basis &amp; Credits'!T13</f>
        <v>0</v>
      </c>
      <c r="U13" s="2303"/>
      <c r="V13" s="2303"/>
      <c r="W13" s="2303"/>
      <c r="X13" s="2303"/>
      <c r="Y13" s="2306">
        <f>'Basis &amp; Credits'!Y13</f>
        <v>0</v>
      </c>
      <c r="Z13" s="2303"/>
      <c r="AA13" s="2303"/>
      <c r="AB13" s="2303"/>
      <c r="AC13" s="2303"/>
      <c r="AD13" s="2303">
        <f>'Basis &amp; Credits'!AD13</f>
        <v>0</v>
      </c>
      <c r="AE13" s="2303"/>
      <c r="AF13" s="2303"/>
      <c r="AG13" s="2303"/>
      <c r="AH13" s="2303"/>
      <c r="AI13" s="2303">
        <f>'Basis &amp; Credits'!AI13</f>
        <v>0</v>
      </c>
      <c r="AJ13" s="2303"/>
      <c r="AK13" s="2303"/>
      <c r="AL13" s="2303"/>
      <c r="AM13" s="2303"/>
    </row>
    <row r="14" spans="1:40" ht="12.75">
      <c r="B14" s="11"/>
      <c r="C14" s="2314" t="s">
        <v>841</v>
      </c>
      <c r="D14" s="2314"/>
      <c r="E14" s="2314"/>
      <c r="F14" s="2314"/>
      <c r="G14" s="2314"/>
      <c r="H14" s="2314"/>
      <c r="I14" s="2314"/>
      <c r="J14" s="2314"/>
      <c r="K14" s="2314"/>
      <c r="L14" s="2314"/>
      <c r="M14" s="2314"/>
      <c r="N14" s="2314"/>
      <c r="O14" s="2314"/>
      <c r="P14" s="2314"/>
      <c r="Q14" s="2314"/>
      <c r="R14" s="2314"/>
      <c r="S14" s="2315"/>
      <c r="T14" s="1774">
        <f>'Basis &amp; Credits'!T14</f>
        <v>0</v>
      </c>
      <c r="U14" s="1791"/>
      <c r="V14" s="1791"/>
      <c r="W14" s="1791"/>
      <c r="X14" s="1791"/>
      <c r="Y14" s="1774">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14" t="s">
        <v>842</v>
      </c>
      <c r="D15" s="2314"/>
      <c r="E15" s="2314"/>
      <c r="F15" s="2314"/>
      <c r="G15" s="2314"/>
      <c r="H15" s="2314"/>
      <c r="I15" s="2314"/>
      <c r="J15" s="2314"/>
      <c r="K15" s="2314"/>
      <c r="L15" s="2314"/>
      <c r="M15" s="2314"/>
      <c r="N15" s="2314"/>
      <c r="O15" s="2314"/>
      <c r="P15" s="2314"/>
      <c r="Q15" s="2314"/>
      <c r="R15" s="2314"/>
      <c r="S15" s="2315"/>
      <c r="T15" s="1774">
        <f>'Basis &amp; Credits'!T15</f>
        <v>0</v>
      </c>
      <c r="U15" s="1791"/>
      <c r="V15" s="1791"/>
      <c r="W15" s="1791"/>
      <c r="X15" s="1791"/>
      <c r="Y15" s="1774">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13" t="s">
        <v>1117</v>
      </c>
      <c r="D16" s="2313"/>
      <c r="E16" s="2313"/>
      <c r="F16" s="2313"/>
      <c r="G16" s="2313"/>
      <c r="H16" s="2313"/>
      <c r="I16" s="2313"/>
      <c r="J16" s="2313"/>
      <c r="K16" s="2313"/>
      <c r="L16" s="2313"/>
      <c r="M16" s="2313"/>
      <c r="N16" s="2313"/>
      <c r="O16" s="2313"/>
      <c r="P16" s="2313"/>
      <c r="Q16" s="2313"/>
      <c r="R16" s="2313"/>
      <c r="S16" s="2316"/>
      <c r="T16" s="1774">
        <f>'Basis &amp; Credits'!T16</f>
        <v>0</v>
      </c>
      <c r="U16" s="1791"/>
      <c r="V16" s="1791"/>
      <c r="W16" s="1791"/>
      <c r="X16" s="1791"/>
      <c r="Y16" s="1774">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14" t="s">
        <v>843</v>
      </c>
      <c r="D17" s="2314"/>
      <c r="E17" s="2314"/>
      <c r="F17" s="2314"/>
      <c r="G17" s="2314"/>
      <c r="H17" s="2314"/>
      <c r="I17" s="2314"/>
      <c r="J17" s="2314"/>
      <c r="K17" s="2314"/>
      <c r="L17" s="2314"/>
      <c r="M17" s="2314"/>
      <c r="N17" s="2314"/>
      <c r="O17" s="2314"/>
      <c r="P17" s="2314"/>
      <c r="Q17" s="2314"/>
      <c r="R17" s="2314"/>
      <c r="S17" s="2315"/>
      <c r="T17" s="1774">
        <f>'Basis &amp; Credits'!T17</f>
        <v>0</v>
      </c>
      <c r="U17" s="1791"/>
      <c r="V17" s="1791"/>
      <c r="W17" s="1791"/>
      <c r="X17" s="1791"/>
      <c r="Y17" s="1774">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13" t="s">
        <v>1517</v>
      </c>
      <c r="D18" s="2314"/>
      <c r="E18" s="2314"/>
      <c r="F18" s="2314"/>
      <c r="G18" s="2314"/>
      <c r="H18" s="2314"/>
      <c r="I18" s="2314"/>
      <c r="J18" s="2314"/>
      <c r="K18" s="2314"/>
      <c r="L18" s="2314"/>
      <c r="M18" s="2314"/>
      <c r="N18" s="2314"/>
      <c r="O18" s="2314"/>
      <c r="P18" s="2314"/>
      <c r="Q18" s="2314"/>
      <c r="R18" s="2314"/>
      <c r="S18" s="2315"/>
      <c r="T18" s="1772">
        <f>'Basis &amp; Credits'!T18</f>
        <v>0</v>
      </c>
      <c r="U18" s="1773"/>
      <c r="V18" s="1773"/>
      <c r="W18" s="1773"/>
      <c r="X18" s="1774"/>
      <c r="Y18" s="1774">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69" t="str">
        <f>'Basis &amp; Credits'!C19:S19</f>
        <v>Subtract (specify other ineligible amounts):</v>
      </c>
      <c r="D19" s="1969"/>
      <c r="E19" s="1969"/>
      <c r="F19" s="1969"/>
      <c r="G19" s="1969"/>
      <c r="H19" s="1969"/>
      <c r="I19" s="1969"/>
      <c r="J19" s="1969"/>
      <c r="K19" s="1969"/>
      <c r="L19" s="1969"/>
      <c r="M19" s="1969"/>
      <c r="N19" s="1969"/>
      <c r="O19" s="1969"/>
      <c r="P19" s="1969"/>
      <c r="Q19" s="1969"/>
      <c r="R19" s="1969"/>
      <c r="S19" s="1970"/>
      <c r="T19" s="1774">
        <f>'Basis &amp; Credits'!T19</f>
        <v>0</v>
      </c>
      <c r="U19" s="1791"/>
      <c r="V19" s="1791"/>
      <c r="W19" s="1791"/>
      <c r="X19" s="1791"/>
      <c r="Y19" s="1774">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75">
      <c r="B20" s="2274" t="s">
        <v>844</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1928</v>
      </c>
      <c r="C21" s="2275"/>
      <c r="D21" s="2275"/>
      <c r="E21" s="2275"/>
      <c r="F21" s="2275"/>
      <c r="G21" s="2275"/>
      <c r="H21" s="2275"/>
      <c r="I21" s="2275"/>
      <c r="J21" s="2275"/>
      <c r="K21" s="2275"/>
      <c r="L21" s="2275"/>
      <c r="M21" s="2275"/>
      <c r="N21" s="2275"/>
      <c r="O21" s="2275"/>
      <c r="P21" s="2275"/>
      <c r="Q21" s="2275"/>
      <c r="R21" s="2275"/>
      <c r="S21" s="2276"/>
      <c r="T21" s="1774">
        <f>'Basis &amp; Credits'!E21</f>
        <v>0</v>
      </c>
      <c r="U21" s="1791"/>
      <c r="V21" s="1791"/>
      <c r="W21" s="1791"/>
      <c r="X21" s="1791"/>
      <c r="Y21" s="1774">
        <f>'Basis &amp; Credits'!J21</f>
        <v>0</v>
      </c>
      <c r="Z21" s="1791"/>
      <c r="AA21" s="1791"/>
      <c r="AB21" s="1791"/>
      <c r="AC21" s="1791"/>
      <c r="AD21" s="1791">
        <f>'Basis &amp; Credits'!O21</f>
        <v>0</v>
      </c>
      <c r="AE21" s="1791"/>
      <c r="AF21" s="1791"/>
      <c r="AG21" s="1791"/>
      <c r="AH21" s="1791"/>
      <c r="AI21" s="1791">
        <f>'Basis &amp; Credits'!T21</f>
        <v>22015000</v>
      </c>
      <c r="AJ21" s="1791"/>
      <c r="AK21" s="1791"/>
      <c r="AL21" s="1791"/>
      <c r="AM21" s="1791"/>
    </row>
    <row r="22" spans="1:39" ht="12.75">
      <c r="B22" s="2274" t="s">
        <v>845</v>
      </c>
      <c r="C22" s="2275"/>
      <c r="D22" s="2275"/>
      <c r="E22" s="2275"/>
      <c r="F22" s="2275"/>
      <c r="G22" s="2275"/>
      <c r="H22" s="2275"/>
      <c r="I22" s="2275"/>
      <c r="J22" s="2275"/>
      <c r="K22" s="2275"/>
      <c r="L22" s="2275"/>
      <c r="M22" s="2275"/>
      <c r="N22" s="2275"/>
      <c r="O22" s="2275"/>
      <c r="P22" s="2275"/>
      <c r="Q22" s="2275"/>
      <c r="R22" s="2275"/>
      <c r="S22" s="2276"/>
      <c r="T22" s="2318">
        <f>(T20+T21)*-1</f>
        <v>0</v>
      </c>
      <c r="U22" s="2319"/>
      <c r="V22" s="2319"/>
      <c r="W22" s="2319"/>
      <c r="X22" s="2319"/>
      <c r="Y22" s="2318">
        <f>(Y20+Y21)*-1</f>
        <v>0</v>
      </c>
      <c r="Z22" s="2319"/>
      <c r="AA22" s="2319"/>
      <c r="AB22" s="2319"/>
      <c r="AC22" s="2319"/>
      <c r="AD22" s="2318">
        <f>(AD20+AD21)*-1</f>
        <v>0</v>
      </c>
      <c r="AE22" s="2319"/>
      <c r="AF22" s="2319"/>
      <c r="AG22" s="2319"/>
      <c r="AH22" s="2319"/>
      <c r="AI22" s="2318">
        <f>(AI20+AI21)*-1</f>
        <v>-22015000</v>
      </c>
      <c r="AJ22" s="2319"/>
      <c r="AK22" s="2319"/>
      <c r="AL22" s="2319"/>
      <c r="AM22" s="2319"/>
    </row>
    <row r="23" spans="1:39" ht="12.75">
      <c r="A23" s="2"/>
      <c r="B23" s="2335" t="s">
        <v>846</v>
      </c>
      <c r="C23" s="2336"/>
      <c r="D23" s="2336"/>
      <c r="E23" s="2336"/>
      <c r="F23" s="2336"/>
      <c r="G23" s="2336"/>
      <c r="H23" s="2336"/>
      <c r="I23" s="2336"/>
      <c r="J23" s="2336"/>
      <c r="K23" s="2336"/>
      <c r="L23" s="2336"/>
      <c r="M23" s="2336"/>
      <c r="N23" s="2336"/>
      <c r="O23" s="2336"/>
      <c r="P23" s="2336"/>
      <c r="Q23" s="2336"/>
      <c r="R23" s="2336"/>
      <c r="S23" s="2337"/>
      <c r="T23" s="2269">
        <f>T11+T22</f>
        <v>47778788</v>
      </c>
      <c r="U23" s="2270"/>
      <c r="V23" s="2270"/>
      <c r="W23" s="2270"/>
      <c r="X23" s="2270"/>
      <c r="Y23" s="2269">
        <f>Y11+Y22</f>
        <v>0</v>
      </c>
      <c r="Z23" s="2270"/>
      <c r="AA23" s="2270"/>
      <c r="AB23" s="2270"/>
      <c r="AC23" s="2270"/>
      <c r="AD23" s="2269">
        <f>AD11+AD22</f>
        <v>0</v>
      </c>
      <c r="AE23" s="2270"/>
      <c r="AF23" s="2270"/>
      <c r="AG23" s="2270"/>
      <c r="AH23" s="2270"/>
      <c r="AI23" s="2269">
        <f>AI11+AI22</f>
        <v>-22015000</v>
      </c>
      <c r="AJ23" s="2270"/>
      <c r="AK23" s="2270"/>
      <c r="AL23" s="2270"/>
      <c r="AM23" s="2270"/>
    </row>
    <row r="24" spans="1:39" ht="12.75">
      <c r="B24" s="2274" t="s">
        <v>1348</v>
      </c>
      <c r="C24" s="2275"/>
      <c r="D24" s="2275"/>
      <c r="E24" s="2275"/>
      <c r="F24" s="2275"/>
      <c r="G24" s="2275"/>
      <c r="H24" s="2275"/>
      <c r="I24" s="2275"/>
      <c r="J24" s="2275"/>
      <c r="K24" s="2275"/>
      <c r="L24" s="2275"/>
      <c r="M24" s="2275"/>
      <c r="N24" s="2275"/>
      <c r="O24" s="2275"/>
      <c r="P24" s="2275"/>
      <c r="Q24" s="2275"/>
      <c r="R24" s="2275"/>
      <c r="S24" s="2276"/>
      <c r="T24" s="2338">
        <f>Application!AD993</f>
        <v>0</v>
      </c>
      <c r="U24" s="2339"/>
      <c r="V24" s="2339"/>
      <c r="W24" s="2339"/>
      <c r="X24" s="2339"/>
      <c r="Y24" s="2339"/>
      <c r="Z24" s="2339"/>
      <c r="AA24" s="2339"/>
      <c r="AB24" s="2339"/>
      <c r="AC24" s="2339"/>
      <c r="AD24" s="2339"/>
      <c r="AE24" s="2339"/>
      <c r="AF24" s="2339"/>
      <c r="AG24" s="2339"/>
      <c r="AH24" s="2339"/>
      <c r="AI24" s="2339"/>
      <c r="AJ24" s="2339"/>
      <c r="AK24" s="2339"/>
      <c r="AL24" s="2339"/>
      <c r="AM24" s="2269"/>
    </row>
    <row r="25" spans="1:39" ht="12.75">
      <c r="B25" s="2329" t="s">
        <v>1973</v>
      </c>
      <c r="C25" s="2330"/>
      <c r="D25" s="2330"/>
      <c r="E25" s="2330"/>
      <c r="F25" s="2330"/>
      <c r="G25" s="2330"/>
      <c r="H25" s="2330"/>
      <c r="I25" s="2330"/>
      <c r="J25" s="2330"/>
      <c r="K25" s="2330"/>
      <c r="L25" s="2330"/>
      <c r="M25" s="2330"/>
      <c r="N25" s="2330"/>
      <c r="O25" s="2330"/>
      <c r="P25" s="2330"/>
      <c r="Q25" s="2330"/>
      <c r="R25" s="2330"/>
      <c r="S25" s="2331"/>
      <c r="T25" s="2320">
        <v>1</v>
      </c>
      <c r="U25" s="2321"/>
      <c r="V25" s="2321"/>
      <c r="W25" s="2321"/>
      <c r="X25" s="2324"/>
      <c r="Y25" s="2320">
        <v>1</v>
      </c>
      <c r="Z25" s="2321"/>
      <c r="AA25" s="2321"/>
      <c r="AB25" s="2321"/>
      <c r="AC25" s="2324"/>
      <c r="AD25" s="2320">
        <v>1</v>
      </c>
      <c r="AE25" s="2321"/>
      <c r="AF25" s="2321"/>
      <c r="AG25" s="2321"/>
      <c r="AH25" s="2324"/>
      <c r="AI25" s="2320">
        <v>1</v>
      </c>
      <c r="AJ25" s="2321"/>
      <c r="AK25" s="2321"/>
      <c r="AL25" s="2321"/>
      <c r="AM25" s="2324"/>
    </row>
    <row r="26" spans="1:39" ht="12.75">
      <c r="B26" s="2274" t="s">
        <v>847</v>
      </c>
      <c r="C26" s="2275"/>
      <c r="D26" s="2275"/>
      <c r="E26" s="2275"/>
      <c r="F26" s="2275"/>
      <c r="G26" s="2275"/>
      <c r="H26" s="2275"/>
      <c r="I26" s="2275"/>
      <c r="J26" s="2275"/>
      <c r="K26" s="2275"/>
      <c r="L26" s="2275"/>
      <c r="M26" s="2275"/>
      <c r="N26" s="2275"/>
      <c r="O26" s="2275"/>
      <c r="P26" s="2275"/>
      <c r="Q26" s="2275"/>
      <c r="R26" s="2275"/>
      <c r="S26" s="2276"/>
      <c r="T26" s="2325">
        <f>T23*T25</f>
        <v>47778788</v>
      </c>
      <c r="U26" s="2326"/>
      <c r="V26" s="2326"/>
      <c r="W26" s="2326"/>
      <c r="X26" s="2326"/>
      <c r="Y26" s="2325">
        <f>Y23*Y25</f>
        <v>0</v>
      </c>
      <c r="Z26" s="2326"/>
      <c r="AA26" s="2326"/>
      <c r="AB26" s="2326"/>
      <c r="AC26" s="2326"/>
      <c r="AD26" s="2325">
        <f>AD23*AD25</f>
        <v>0</v>
      </c>
      <c r="AE26" s="2326"/>
      <c r="AF26" s="2326"/>
      <c r="AG26" s="2326"/>
      <c r="AH26" s="2326"/>
      <c r="AI26" s="2325">
        <f>AI23*AI25</f>
        <v>-22015000</v>
      </c>
      <c r="AJ26" s="2326"/>
      <c r="AK26" s="2326"/>
      <c r="AL26" s="2326"/>
      <c r="AM26" s="2326"/>
    </row>
    <row r="27" spans="1:39" ht="12.75">
      <c r="A27" s="7"/>
      <c r="B27" s="2332" t="s">
        <v>978</v>
      </c>
      <c r="C27" s="2333"/>
      <c r="D27" s="2333"/>
      <c r="E27" s="2333"/>
      <c r="F27" s="2333"/>
      <c r="G27" s="2333"/>
      <c r="H27" s="2333"/>
      <c r="I27" s="2333"/>
      <c r="J27" s="2333"/>
      <c r="K27" s="2333"/>
      <c r="L27" s="2333"/>
      <c r="M27" s="2333"/>
      <c r="N27" s="2333"/>
      <c r="O27" s="2333"/>
      <c r="P27" s="2333"/>
      <c r="Q27" s="2333"/>
      <c r="R27" s="2333"/>
      <c r="S27" s="2334"/>
      <c r="T27" s="2322">
        <f>Application!AG438</f>
        <v>1</v>
      </c>
      <c r="U27" s="2323"/>
      <c r="V27" s="2323"/>
      <c r="W27" s="2323"/>
      <c r="X27" s="2323"/>
      <c r="Y27" s="2322">
        <f>Application!AG438</f>
        <v>1</v>
      </c>
      <c r="Z27" s="2323"/>
      <c r="AA27" s="2323"/>
      <c r="AB27" s="2323"/>
      <c r="AC27" s="2323"/>
      <c r="AD27" s="2322">
        <f>Application!AG438</f>
        <v>1</v>
      </c>
      <c r="AE27" s="2323"/>
      <c r="AF27" s="2323"/>
      <c r="AG27" s="2323"/>
      <c r="AH27" s="2323"/>
      <c r="AI27" s="2322">
        <f>Application!AG438</f>
        <v>1</v>
      </c>
      <c r="AJ27" s="2323"/>
      <c r="AK27" s="2323"/>
      <c r="AL27" s="2323"/>
      <c r="AM27" s="2323"/>
    </row>
    <row r="28" spans="1:39" ht="12.75" customHeight="1">
      <c r="A28" s="6"/>
      <c r="B28" s="2274" t="s">
        <v>925</v>
      </c>
      <c r="C28" s="2275"/>
      <c r="D28" s="2275"/>
      <c r="E28" s="2275"/>
      <c r="F28" s="2275"/>
      <c r="G28" s="2275"/>
      <c r="H28" s="2275"/>
      <c r="I28" s="2275"/>
      <c r="J28" s="2275"/>
      <c r="K28" s="2275"/>
      <c r="L28" s="2275"/>
      <c r="M28" s="2275"/>
      <c r="N28" s="2275"/>
      <c r="O28" s="2275"/>
      <c r="P28" s="2275"/>
      <c r="Q28" s="2275"/>
      <c r="R28" s="2275"/>
      <c r="S28" s="2276"/>
      <c r="T28" s="1785">
        <f>IF(ISERROR((T26*T27)),0,(T26*T27))</f>
        <v>47778788</v>
      </c>
      <c r="U28" s="2291"/>
      <c r="V28" s="2291"/>
      <c r="W28" s="2291"/>
      <c r="X28" s="2291"/>
      <c r="Y28" s="1785">
        <f>IF(ISERROR((Y26*Y27)),0,(Y26*Y27))</f>
        <v>0</v>
      </c>
      <c r="Z28" s="2291"/>
      <c r="AA28" s="2291"/>
      <c r="AB28" s="2291"/>
      <c r="AC28" s="2291"/>
      <c r="AD28" s="1785">
        <f>IF(ISERROR((AD26*AD27)),0,(AD26*AD27))</f>
        <v>0</v>
      </c>
      <c r="AE28" s="2291"/>
      <c r="AF28" s="2291"/>
      <c r="AG28" s="2291"/>
      <c r="AH28" s="2291"/>
      <c r="AI28" s="1785">
        <f>IF(ISERROR((AI26*AI27)),0,(AI26*AI27))</f>
        <v>-22015000</v>
      </c>
      <c r="AJ28" s="2291"/>
      <c r="AK28" s="2291"/>
      <c r="AL28" s="2291"/>
      <c r="AM28" s="2291"/>
    </row>
    <row r="29" spans="1:39" ht="12.75">
      <c r="B29" s="2274" t="s">
        <v>689</v>
      </c>
      <c r="C29" s="2275"/>
      <c r="D29" s="2275"/>
      <c r="E29" s="2275"/>
      <c r="F29" s="2275"/>
      <c r="G29" s="2275"/>
      <c r="H29" s="2275"/>
      <c r="I29" s="2275"/>
      <c r="J29" s="2275"/>
      <c r="K29" s="2275"/>
      <c r="L29" s="2275"/>
      <c r="M29" s="2275"/>
      <c r="N29" s="2275"/>
      <c r="O29" s="2275"/>
      <c r="P29" s="2275"/>
      <c r="Q29" s="2275"/>
      <c r="R29" s="2275"/>
      <c r="S29" s="2276"/>
      <c r="T29" s="2338">
        <f>T28+Y28+AD28+AI28</f>
        <v>25763788</v>
      </c>
      <c r="U29" s="2339"/>
      <c r="V29" s="2339"/>
      <c r="W29" s="2339"/>
      <c r="X29" s="2339"/>
      <c r="Y29" s="2339"/>
      <c r="Z29" s="2339"/>
      <c r="AA29" s="2339"/>
      <c r="AB29" s="2339"/>
      <c r="AC29" s="2339"/>
      <c r="AD29" s="2339"/>
      <c r="AE29" s="2339"/>
      <c r="AF29" s="2339"/>
      <c r="AG29" s="2339"/>
      <c r="AH29" s="2339"/>
      <c r="AI29" s="2339"/>
      <c r="AJ29" s="2339"/>
      <c r="AK29" s="2339"/>
      <c r="AL29" s="2339"/>
      <c r="AM29" s="2269"/>
    </row>
    <row r="30" spans="1:39" ht="12.75" customHeight="1">
      <c r="B30" s="2720"/>
      <c r="C30" s="2720"/>
      <c r="D30" s="2720"/>
      <c r="E30" s="2720"/>
      <c r="F30" s="2720"/>
      <c r="G30" s="2720"/>
      <c r="H30" s="2720"/>
      <c r="I30" s="2720"/>
      <c r="J30" s="2720"/>
      <c r="K30" s="2720"/>
      <c r="L30" s="2720"/>
      <c r="M30" s="2720"/>
      <c r="N30" s="2720"/>
      <c r="O30" s="2720"/>
      <c r="P30" s="2720"/>
      <c r="Q30" s="2720"/>
      <c r="R30" s="2720"/>
      <c r="S30" s="2720"/>
      <c r="T30" s="2720"/>
      <c r="U30" s="2720"/>
      <c r="V30" s="2720"/>
      <c r="W30" s="2720"/>
      <c r="X30" s="2720"/>
      <c r="Y30" s="2720"/>
      <c r="Z30" s="2720"/>
      <c r="AA30" s="2720"/>
      <c r="AB30" s="2720"/>
      <c r="AC30" s="2720"/>
      <c r="AD30" s="2720"/>
      <c r="AE30" s="2720"/>
      <c r="AF30" s="2720"/>
      <c r="AG30" s="2720"/>
      <c r="AH30" s="2720"/>
      <c r="AI30" s="2720"/>
      <c r="AJ30" s="2720"/>
      <c r="AK30" s="2720"/>
      <c r="AL30" s="2720"/>
      <c r="AM30" s="272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1810</v>
      </c>
      <c r="Z35" s="2277"/>
      <c r="AA35" s="2277"/>
      <c r="AB35" s="2277"/>
      <c r="AC35" s="2277"/>
      <c r="AD35" s="2259" t="s">
        <v>46</v>
      </c>
      <c r="AE35" s="2259"/>
      <c r="AF35" s="2259"/>
      <c r="AG35" s="2259"/>
      <c r="AH35" s="225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0" ht="12.75" customHeight="1">
      <c r="A38" s="6"/>
      <c r="B38" s="2274" t="s">
        <v>925</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0</v>
      </c>
      <c r="Z38" s="2270"/>
      <c r="AA38" s="2270"/>
      <c r="AB38" s="2270"/>
      <c r="AC38" s="2270"/>
      <c r="AD38" s="2270">
        <f>IF(T24&gt;=(T23+Y23+AD23+AI23),AD28+AI28,0)</f>
        <v>0</v>
      </c>
      <c r="AE38" s="2270"/>
      <c r="AF38" s="2270"/>
      <c r="AG38" s="2270"/>
      <c r="AH38" s="2270"/>
    </row>
    <row r="39" spans="1:40" ht="12.75">
      <c r="B39" s="2274" t="s">
        <v>837</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f>'Basis &amp; Credits'!AD39:AH39</f>
        <v>0.04</v>
      </c>
      <c r="AE39" s="2268"/>
      <c r="AF39" s="2268"/>
      <c r="AG39" s="2268"/>
      <c r="AH39" s="2268"/>
    </row>
    <row r="40" spans="1:40"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0</v>
      </c>
      <c r="Z40" s="2270"/>
      <c r="AA40" s="2270"/>
      <c r="AB40" s="2270"/>
      <c r="AC40" s="2270"/>
      <c r="AD40" s="2269">
        <f>ROUND(AD38*AD39,0)</f>
        <v>0</v>
      </c>
      <c r="AE40" s="2270"/>
      <c r="AF40" s="2270"/>
      <c r="AG40" s="2270"/>
      <c r="AH40" s="2270"/>
    </row>
    <row r="41" spans="1:40" ht="12.75">
      <c r="B41" s="2274" t="s">
        <v>683</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IF((Y40+AD40)&gt;2500000,2500000,Y40+AD40)</f>
        <v>0</v>
      </c>
      <c r="Z41" s="2272"/>
      <c r="AA41" s="2272"/>
      <c r="AB41" s="2272"/>
      <c r="AC41" s="2272"/>
      <c r="AD41" s="2272"/>
      <c r="AE41" s="2272"/>
      <c r="AF41" s="2272"/>
      <c r="AG41" s="2272"/>
      <c r="AH41" s="2273"/>
    </row>
    <row r="42" spans="1:40" ht="12.75" customHeight="1">
      <c r="A42" s="6"/>
      <c r="B42" s="2290" t="s">
        <v>1288</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5">
        <f>'Sources and Uses Budget'!B104-'Sources and Uses Budget'!$B$15</f>
        <v>52978060</v>
      </c>
      <c r="AC46" s="2266"/>
      <c r="AD46" s="2266"/>
      <c r="AE46" s="2266"/>
      <c r="AF46" s="2267"/>
    </row>
    <row r="47" spans="1:40" ht="12.75" customHeight="1">
      <c r="D47" s="6" t="s">
        <v>919</v>
      </c>
      <c r="AB47" s="2265">
        <f>Application!AG644-MIN('Sources and Uses Budget'!B15,Application!AG385)</f>
        <v>0</v>
      </c>
      <c r="AC47" s="2266"/>
      <c r="AD47" s="2266"/>
      <c r="AE47" s="2266"/>
      <c r="AF47" s="2267"/>
    </row>
    <row r="48" spans="1:40" ht="12.75">
      <c r="D48" s="6" t="s">
        <v>422</v>
      </c>
      <c r="AB48" s="2265">
        <f>AB46-AB47</f>
        <v>52978060</v>
      </c>
      <c r="AC48" s="2266"/>
      <c r="AD48" s="2266"/>
      <c r="AE48" s="2266"/>
      <c r="AF48" s="2267"/>
    </row>
    <row r="49" spans="1:40" ht="12.75">
      <c r="D49" s="6" t="s">
        <v>958</v>
      </c>
      <c r="X49" s="2"/>
      <c r="Y49" s="2"/>
      <c r="Z49" s="2"/>
      <c r="AA49" s="409"/>
      <c r="AB49" s="2296"/>
      <c r="AC49" s="2297"/>
      <c r="AD49" s="2297"/>
      <c r="AE49" s="2297"/>
      <c r="AF49" s="2298"/>
    </row>
    <row r="50" spans="1:40" s="515" customFormat="1" ht="15" customHeight="1">
      <c r="A50" s="2"/>
      <c r="B50" s="2"/>
      <c r="C50" s="2"/>
      <c r="D50" s="272"/>
      <c r="E50" s="2295" t="s">
        <v>1505</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8"/>
      <c r="AB50" s="778"/>
      <c r="AC50" s="778"/>
      <c r="AD50" s="778"/>
      <c r="AE50" s="778"/>
      <c r="AF50" s="778"/>
      <c r="AG50" s="2"/>
      <c r="AH50" s="2"/>
      <c r="AI50" s="2"/>
      <c r="AJ50" s="2"/>
      <c r="AK50" s="2"/>
      <c r="AL50" s="2"/>
      <c r="AM50" s="2"/>
      <c r="AN50" s="2"/>
    </row>
    <row r="51" spans="1:40" s="515"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5">
        <f>ROUND(IF(ISERROR((AB48/AB49)),0,(AB48/AB49)),0)</f>
        <v>0</v>
      </c>
      <c r="AC53" s="2266"/>
      <c r="AD53" s="2266"/>
      <c r="AE53" s="2266"/>
      <c r="AF53" s="2267"/>
    </row>
    <row r="54" spans="1:40" ht="12.75" customHeight="1">
      <c r="D54" s="6" t="s">
        <v>621</v>
      </c>
      <c r="AB54" s="2265">
        <f>(AB53/10)</f>
        <v>0</v>
      </c>
      <c r="AC54" s="2266"/>
      <c r="AD54" s="2266"/>
      <c r="AE54" s="2266"/>
      <c r="AF54" s="2267"/>
    </row>
    <row r="55" spans="1:40" ht="12.75">
      <c r="D55" s="6" t="s">
        <v>379</v>
      </c>
      <c r="AB55" s="2292">
        <f>(IF((Y41&lt;AB54),Y41,AB54))</f>
        <v>0</v>
      </c>
      <c r="AC55" s="2293"/>
      <c r="AD55" s="2293"/>
      <c r="AE55" s="2293"/>
      <c r="AF55" s="2294"/>
    </row>
    <row r="56" spans="1:40" ht="12.75">
      <c r="D56" s="6" t="s">
        <v>118</v>
      </c>
      <c r="AB56" s="2265">
        <f>ROUND((10*AB55*AB49),0)</f>
        <v>0</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52978060</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0" t="s">
        <v>1976</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7"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4" t="s">
        <v>331</v>
      </c>
      <c r="Z62" s="2264"/>
      <c r="AA62" s="2264"/>
      <c r="AB62" s="2264"/>
      <c r="AC62" s="2264"/>
      <c r="AD62" s="2264" t="s">
        <v>46</v>
      </c>
      <c r="AE62" s="2264"/>
      <c r="AF62" s="2264"/>
      <c r="AG62" s="2264"/>
      <c r="AH62" s="2264"/>
      <c r="AI62" s="1"/>
      <c r="AJ62" s="1"/>
      <c r="AK62" s="1"/>
      <c r="AL62" s="1"/>
      <c r="AM62" s="1"/>
      <c r="AN62" s="1"/>
    </row>
    <row r="63" spans="1:40" ht="12.75">
      <c r="C63" s="330"/>
      <c r="D63" s="1258" t="s">
        <v>1374</v>
      </c>
      <c r="E63" s="802"/>
      <c r="F63" s="802"/>
      <c r="G63" s="802"/>
      <c r="H63" s="802"/>
      <c r="I63" s="802"/>
      <c r="J63" s="802"/>
      <c r="K63" s="802"/>
      <c r="L63" s="22"/>
      <c r="M63" s="22"/>
      <c r="N63" s="22"/>
      <c r="O63" s="22"/>
      <c r="P63" s="22"/>
      <c r="Q63" s="22"/>
      <c r="R63" s="22"/>
      <c r="S63" s="22"/>
      <c r="T63" s="22"/>
      <c r="U63" s="22"/>
      <c r="V63" s="22"/>
      <c r="W63" s="22"/>
      <c r="X63" s="22"/>
      <c r="Y63" s="1790">
        <f>Y28</f>
        <v>0</v>
      </c>
      <c r="Z63" s="2287"/>
      <c r="AA63" s="2287"/>
      <c r="AB63" s="2287"/>
      <c r="AC63" s="2287"/>
      <c r="AD63" s="1790">
        <f>AI28</f>
        <v>-22015000</v>
      </c>
      <c r="AE63" s="2287"/>
      <c r="AF63" s="2287"/>
      <c r="AG63" s="2287"/>
      <c r="AH63" s="2287"/>
    </row>
    <row r="64" spans="1:40" ht="15" customHeight="1">
      <c r="C64" s="6"/>
      <c r="E64" s="2261" t="s">
        <v>1425</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4"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219</v>
      </c>
      <c r="E66" s="1261"/>
      <c r="F66" s="1261"/>
      <c r="G66" s="1261"/>
      <c r="H66" s="1261"/>
      <c r="I66" s="1261"/>
      <c r="J66" s="1261"/>
      <c r="K66" s="1261"/>
      <c r="L66" s="1261"/>
      <c r="M66" s="1261"/>
      <c r="N66" s="1261"/>
      <c r="O66" s="1261"/>
      <c r="P66" s="1261"/>
      <c r="Q66" s="1261"/>
      <c r="R66" s="1261"/>
      <c r="S66" s="1261"/>
      <c r="T66" s="1261"/>
      <c r="U66" s="1261"/>
      <c r="V66" s="1261"/>
      <c r="W66" s="1261"/>
      <c r="X66" s="1261"/>
      <c r="Y66" s="2283">
        <v>0.3</v>
      </c>
      <c r="Z66" s="2283"/>
      <c r="AA66" s="2283"/>
      <c r="AB66" s="2283"/>
      <c r="AC66" s="2283"/>
      <c r="AD66" s="2283">
        <v>0.13</v>
      </c>
      <c r="AE66" s="2283"/>
      <c r="AF66" s="2283"/>
      <c r="AG66" s="2283"/>
      <c r="AH66" s="2283"/>
    </row>
    <row r="67" spans="1:40" ht="12.75">
      <c r="C67" s="6"/>
      <c r="D67" s="6" t="s">
        <v>1045</v>
      </c>
      <c r="Y67" s="1790">
        <f>ROUND(Y63*Y66,0)</f>
        <v>0</v>
      </c>
      <c r="Z67" s="2287"/>
      <c r="AA67" s="2287"/>
      <c r="AB67" s="2287"/>
      <c r="AC67" s="2287"/>
      <c r="AD67" s="1790" t="str">
        <f>IF(OR(Application!D211="At-Risk",Application!D211="At-Risk/Located in Rural Census Tract",Application!D214="At-Risk"),ROUND(AD63*AD66,0),"$0")</f>
        <v>$0</v>
      </c>
      <c r="AE67" s="2288"/>
      <c r="AF67" s="2288"/>
      <c r="AG67" s="2288"/>
      <c r="AH67" s="228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6"/>
      <c r="AC70" s="2297"/>
      <c r="AD70" s="2297"/>
      <c r="AE70" s="2297"/>
      <c r="AF70" s="2298"/>
      <c r="AG70" s="2"/>
      <c r="AH70" s="2"/>
      <c r="AI70" s="2"/>
      <c r="AJ70" s="2"/>
      <c r="AK70" s="2"/>
      <c r="AL70" s="2"/>
      <c r="AM70" s="2"/>
      <c r="AN70" s="2"/>
    </row>
    <row r="71" spans="1:40" ht="12.75" customHeight="1">
      <c r="A71" s="330"/>
      <c r="B71" s="2"/>
      <c r="C71" s="330"/>
      <c r="D71" s="330"/>
      <c r="E71" s="2289" t="s">
        <v>1971</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3"/>
      <c r="AB71" s="803"/>
      <c r="AC71" s="803"/>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3"/>
      <c r="AB72" s="803"/>
      <c r="AC72" s="803"/>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59"/>
      <c r="AG74" s="2"/>
      <c r="AH74" s="2"/>
      <c r="AI74" s="2"/>
      <c r="AJ74" s="2"/>
      <c r="AK74" s="2"/>
      <c r="AL74" s="2"/>
      <c r="AM74" s="2"/>
      <c r="AN74" s="2"/>
    </row>
    <row r="75" spans="1:40" ht="12" customHeight="1">
      <c r="C75" s="6"/>
      <c r="D75" s="6" t="s">
        <v>115</v>
      </c>
      <c r="AB75" s="2282">
        <f>ROUND(IF(ISERROR((AB58/AB70)),0,(AB58/AB70)),0)</f>
        <v>0</v>
      </c>
      <c r="AC75" s="2282"/>
      <c r="AD75" s="2282"/>
      <c r="AE75" s="2282"/>
      <c r="AF75" s="2282"/>
    </row>
    <row r="76" spans="1:40" ht="12.75" customHeight="1">
      <c r="C76" s="6"/>
      <c r="D76" s="6" t="s">
        <v>116</v>
      </c>
      <c r="AB76" s="2279">
        <f>IF((Y67+AD67&lt;AB75),Y67+AD67,AB75)</f>
        <v>0</v>
      </c>
      <c r="AC76" s="2280"/>
      <c r="AD76" s="2280"/>
      <c r="AE76" s="2280"/>
      <c r="AF76" s="2281"/>
    </row>
    <row r="77" spans="1:40" ht="12.75" customHeight="1">
      <c r="C77" s="6"/>
      <c r="D77" s="6" t="s">
        <v>1046</v>
      </c>
      <c r="AB77" s="2278">
        <f>AB76*AB70</f>
        <v>0</v>
      </c>
      <c r="AC77" s="2278"/>
      <c r="AD77" s="2278"/>
      <c r="AE77" s="2278"/>
      <c r="AF77" s="2278"/>
    </row>
    <row r="78" spans="1:40" ht="12.75" customHeight="1">
      <c r="C78" s="6"/>
      <c r="D78" s="6"/>
      <c r="AB78" s="934"/>
      <c r="AC78" s="934"/>
      <c r="AD78" s="934"/>
      <c r="AE78" s="934"/>
      <c r="AF78" s="934"/>
    </row>
    <row r="79" spans="1:40" ht="12.75" customHeight="1">
      <c r="A79" s="1"/>
      <c r="B79" s="1"/>
      <c r="C79" s="1"/>
      <c r="D79" s="6" t="s">
        <v>117</v>
      </c>
      <c r="AB79" s="2263">
        <f>AB48-(AB56+AB77)</f>
        <v>52978060</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0" customWidth="1"/>
    <col min="2" max="2" width="0.85546875" style="1260" customWidth="1"/>
    <col min="3" max="18" width="2.42578125" style="1260" customWidth="1"/>
    <col min="19" max="19" width="4" style="1260" customWidth="1"/>
    <col min="20" max="39" width="2.42578125" style="1260" customWidth="1"/>
    <col min="40" max="40" width="1.42578125" style="1260" customWidth="1"/>
    <col min="41" max="16384" width="2.42578125" style="2" hidden="1"/>
  </cols>
  <sheetData>
    <row r="1" spans="1:40" ht="12.75" customHeight="1">
      <c r="A1" s="2300" t="s">
        <v>1506</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3.5"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0"/>
      <c r="AA6" s="2"/>
    </row>
    <row r="7" spans="1:40" ht="13.7" customHeight="1">
      <c r="B7" s="9"/>
      <c r="C7" s="10"/>
      <c r="D7" s="10"/>
      <c r="E7" s="10"/>
      <c r="F7" s="10"/>
      <c r="G7" s="10"/>
      <c r="H7" s="10"/>
      <c r="I7" s="10"/>
      <c r="J7" s="10"/>
      <c r="K7" s="10"/>
      <c r="L7" s="10"/>
      <c r="M7" s="10"/>
      <c r="N7" s="10"/>
      <c r="O7" s="10"/>
      <c r="P7" s="10"/>
      <c r="Q7" s="10"/>
      <c r="R7" s="10"/>
      <c r="S7" s="10"/>
      <c r="T7" s="2277" t="s">
        <v>1811</v>
      </c>
      <c r="U7" s="2277"/>
      <c r="V7" s="2277"/>
      <c r="W7" s="2277"/>
      <c r="X7" s="2277"/>
      <c r="Y7" s="2277" t="s">
        <v>1974</v>
      </c>
      <c r="Z7" s="2277"/>
      <c r="AA7" s="2277"/>
      <c r="AB7" s="2277"/>
      <c r="AC7" s="2277"/>
      <c r="AD7" s="2277" t="s">
        <v>1512</v>
      </c>
      <c r="AE7" s="2277"/>
      <c r="AF7" s="2277"/>
      <c r="AG7" s="2277"/>
      <c r="AH7" s="2277"/>
      <c r="AI7" s="2277" t="s">
        <v>1975</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566</v>
      </c>
      <c r="C11" s="2275"/>
      <c r="D11" s="2275"/>
      <c r="E11" s="2275"/>
      <c r="F11" s="2275"/>
      <c r="G11" s="2275"/>
      <c r="H11" s="2275"/>
      <c r="I11" s="2275"/>
      <c r="J11" s="2275"/>
      <c r="K11" s="2275"/>
      <c r="L11" s="2275"/>
      <c r="M11" s="2275"/>
      <c r="N11" s="2275"/>
      <c r="O11" s="2275"/>
      <c r="P11" s="2275"/>
      <c r="Q11" s="2275"/>
      <c r="R11" s="2275"/>
      <c r="S11" s="2276"/>
      <c r="T11" s="2317">
        <f>IF('Sources and Basis Breakdown'!F105=0,'Sources and Basis Breakdown'!E105,'Sources and Basis Breakdown'!F105)</f>
        <v>47778788</v>
      </c>
      <c r="U11" s="2305"/>
      <c r="V11" s="2305"/>
      <c r="W11" s="2305"/>
      <c r="X11" s="2305"/>
      <c r="Y11" s="2304">
        <f>IF('Sources and Basis Breakdown'!G105+'Sources and Basis Breakdown'!F105='Sources and Basis Breakdown'!E105,'Sources and Basis Breakdown'!G105,0)</f>
        <v>0</v>
      </c>
      <c r="Z11" s="2305"/>
      <c r="AA11" s="2305"/>
      <c r="AB11" s="2305"/>
      <c r="AC11" s="2305"/>
      <c r="AD11" s="2305">
        <f>IF('Sources and Basis Breakdown'!I105=0,'Sources and Basis Breakdown'!H105,'Sources and Basis Breakdown'!I105)</f>
        <v>0</v>
      </c>
      <c r="AE11" s="2305"/>
      <c r="AF11" s="2305"/>
      <c r="AG11" s="2305"/>
      <c r="AH11" s="2305"/>
      <c r="AI11" s="2305">
        <f>IF('Sources and Basis Breakdown'!I105+'Sources and Basis Breakdown'!J105='Sources and Basis Breakdown'!H105,'Sources and Basis Breakdown'!J105,0)</f>
        <v>0</v>
      </c>
      <c r="AJ11" s="2305"/>
      <c r="AK11" s="2305"/>
      <c r="AL11" s="2305"/>
      <c r="AM11" s="2305"/>
    </row>
    <row r="12" spans="1:40" ht="12.75">
      <c r="B12" s="2310" t="s">
        <v>496</v>
      </c>
      <c r="C12" s="2311"/>
      <c r="D12" s="2311"/>
      <c r="E12" s="2311"/>
      <c r="F12" s="2311"/>
      <c r="G12" s="2311"/>
      <c r="H12" s="2311"/>
      <c r="I12" s="2311"/>
      <c r="J12" s="2311"/>
      <c r="K12" s="2311"/>
      <c r="L12" s="2311"/>
      <c r="M12" s="2311"/>
      <c r="N12" s="2311"/>
      <c r="O12" s="2311"/>
      <c r="P12" s="2311"/>
      <c r="Q12" s="2311"/>
      <c r="R12" s="2311"/>
      <c r="S12" s="2312"/>
      <c r="T12" s="2307"/>
      <c r="U12" s="2308"/>
      <c r="V12" s="2308"/>
      <c r="W12" s="2308"/>
      <c r="X12" s="2309"/>
      <c r="Y12" s="2307"/>
      <c r="Z12" s="2308"/>
      <c r="AA12" s="2308"/>
      <c r="AB12" s="2308"/>
      <c r="AC12" s="2309"/>
      <c r="AD12" s="2307"/>
      <c r="AE12" s="2308"/>
      <c r="AF12" s="2308"/>
      <c r="AG12" s="2308"/>
      <c r="AH12" s="2309"/>
      <c r="AI12" s="2307"/>
      <c r="AJ12" s="2308"/>
      <c r="AK12" s="2308"/>
      <c r="AL12" s="2308"/>
      <c r="AM12" s="2309"/>
    </row>
    <row r="13" spans="1:40" ht="12.75">
      <c r="B13" s="11"/>
      <c r="C13" s="2313" t="s">
        <v>1929</v>
      </c>
      <c r="D13" s="2314"/>
      <c r="E13" s="2314"/>
      <c r="F13" s="2314"/>
      <c r="G13" s="2314"/>
      <c r="H13" s="2314"/>
      <c r="I13" s="2314"/>
      <c r="J13" s="2314"/>
      <c r="K13" s="2314"/>
      <c r="L13" s="2314"/>
      <c r="M13" s="2314"/>
      <c r="N13" s="2314"/>
      <c r="O13" s="2314"/>
      <c r="P13" s="2314"/>
      <c r="Q13" s="2314"/>
      <c r="R13" s="2314"/>
      <c r="S13" s="2315"/>
      <c r="T13" s="2306">
        <f>'Basis &amp; Credits'!T13</f>
        <v>0</v>
      </c>
      <c r="U13" s="2303"/>
      <c r="V13" s="2303"/>
      <c r="W13" s="2303"/>
      <c r="X13" s="2303"/>
      <c r="Y13" s="2306">
        <f>'Basis &amp; Credits'!Y13</f>
        <v>0</v>
      </c>
      <c r="Z13" s="2303"/>
      <c r="AA13" s="2303"/>
      <c r="AB13" s="2303"/>
      <c r="AC13" s="2303"/>
      <c r="AD13" s="2303">
        <f>'Basis &amp; Credits'!AD13</f>
        <v>0</v>
      </c>
      <c r="AE13" s="2303"/>
      <c r="AF13" s="2303"/>
      <c r="AG13" s="2303"/>
      <c r="AH13" s="2303"/>
      <c r="AI13" s="2303">
        <f>'Basis &amp; Credits'!AI13</f>
        <v>0</v>
      </c>
      <c r="AJ13" s="2303"/>
      <c r="AK13" s="2303"/>
      <c r="AL13" s="2303"/>
      <c r="AM13" s="2303"/>
    </row>
    <row r="14" spans="1:40" ht="12.75">
      <c r="B14" s="11"/>
      <c r="C14" s="2314" t="s">
        <v>841</v>
      </c>
      <c r="D14" s="2314"/>
      <c r="E14" s="2314"/>
      <c r="F14" s="2314"/>
      <c r="G14" s="2314"/>
      <c r="H14" s="2314"/>
      <c r="I14" s="2314"/>
      <c r="J14" s="2314"/>
      <c r="K14" s="2314"/>
      <c r="L14" s="2314"/>
      <c r="M14" s="2314"/>
      <c r="N14" s="2314"/>
      <c r="O14" s="2314"/>
      <c r="P14" s="2314"/>
      <c r="Q14" s="2314"/>
      <c r="R14" s="2314"/>
      <c r="S14" s="2315"/>
      <c r="T14" s="1774">
        <f>'Basis &amp; Credits'!T14</f>
        <v>0</v>
      </c>
      <c r="U14" s="1791"/>
      <c r="V14" s="1791"/>
      <c r="W14" s="1791"/>
      <c r="X14" s="1791"/>
      <c r="Y14" s="1774">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14" t="s">
        <v>842</v>
      </c>
      <c r="D15" s="2314"/>
      <c r="E15" s="2314"/>
      <c r="F15" s="2314"/>
      <c r="G15" s="2314"/>
      <c r="H15" s="2314"/>
      <c r="I15" s="2314"/>
      <c r="J15" s="2314"/>
      <c r="K15" s="2314"/>
      <c r="L15" s="2314"/>
      <c r="M15" s="2314"/>
      <c r="N15" s="2314"/>
      <c r="O15" s="2314"/>
      <c r="P15" s="2314"/>
      <c r="Q15" s="2314"/>
      <c r="R15" s="2314"/>
      <c r="S15" s="2315"/>
      <c r="T15" s="1774">
        <f>'Basis &amp; Credits'!T15</f>
        <v>0</v>
      </c>
      <c r="U15" s="1791"/>
      <c r="V15" s="1791"/>
      <c r="W15" s="1791"/>
      <c r="X15" s="1791"/>
      <c r="Y15" s="1774">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13" t="s">
        <v>1117</v>
      </c>
      <c r="D16" s="2313"/>
      <c r="E16" s="2313"/>
      <c r="F16" s="2313"/>
      <c r="G16" s="2313"/>
      <c r="H16" s="2313"/>
      <c r="I16" s="2313"/>
      <c r="J16" s="2313"/>
      <c r="K16" s="2313"/>
      <c r="L16" s="2313"/>
      <c r="M16" s="2313"/>
      <c r="N16" s="2313"/>
      <c r="O16" s="2313"/>
      <c r="P16" s="2313"/>
      <c r="Q16" s="2313"/>
      <c r="R16" s="2313"/>
      <c r="S16" s="2316"/>
      <c r="T16" s="1774">
        <f>'Basis &amp; Credits'!T16</f>
        <v>0</v>
      </c>
      <c r="U16" s="1791"/>
      <c r="V16" s="1791"/>
      <c r="W16" s="1791"/>
      <c r="X16" s="1791"/>
      <c r="Y16" s="1774">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14" t="s">
        <v>843</v>
      </c>
      <c r="D17" s="2314"/>
      <c r="E17" s="2314"/>
      <c r="F17" s="2314"/>
      <c r="G17" s="2314"/>
      <c r="H17" s="2314"/>
      <c r="I17" s="2314"/>
      <c r="J17" s="2314"/>
      <c r="K17" s="2314"/>
      <c r="L17" s="2314"/>
      <c r="M17" s="2314"/>
      <c r="N17" s="2314"/>
      <c r="O17" s="2314"/>
      <c r="P17" s="2314"/>
      <c r="Q17" s="2314"/>
      <c r="R17" s="2314"/>
      <c r="S17" s="2315"/>
      <c r="T17" s="1774">
        <f>'Basis &amp; Credits'!T17</f>
        <v>0</v>
      </c>
      <c r="U17" s="1791"/>
      <c r="V17" s="1791"/>
      <c r="W17" s="1791"/>
      <c r="X17" s="1791"/>
      <c r="Y17" s="1774">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13" t="s">
        <v>1517</v>
      </c>
      <c r="D18" s="2314"/>
      <c r="E18" s="2314"/>
      <c r="F18" s="2314"/>
      <c r="G18" s="2314"/>
      <c r="H18" s="2314"/>
      <c r="I18" s="2314"/>
      <c r="J18" s="2314"/>
      <c r="K18" s="2314"/>
      <c r="L18" s="2314"/>
      <c r="M18" s="2314"/>
      <c r="N18" s="2314"/>
      <c r="O18" s="2314"/>
      <c r="P18" s="2314"/>
      <c r="Q18" s="2314"/>
      <c r="R18" s="2314"/>
      <c r="S18" s="2315"/>
      <c r="T18" s="1772">
        <f>'Basis &amp; Credits'!T18</f>
        <v>0</v>
      </c>
      <c r="U18" s="1773"/>
      <c r="V18" s="1773"/>
      <c r="W18" s="1773"/>
      <c r="X18" s="1774"/>
      <c r="Y18" s="1774">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69" t="str">
        <f>'Basis &amp; Credits'!C19:S19</f>
        <v>Subtract (specify other ineligible amounts):</v>
      </c>
      <c r="D19" s="1969"/>
      <c r="E19" s="1969"/>
      <c r="F19" s="1969"/>
      <c r="G19" s="1969"/>
      <c r="H19" s="1969"/>
      <c r="I19" s="1969"/>
      <c r="J19" s="1969"/>
      <c r="K19" s="1969"/>
      <c r="L19" s="1969"/>
      <c r="M19" s="1969"/>
      <c r="N19" s="1969"/>
      <c r="O19" s="1969"/>
      <c r="P19" s="1969"/>
      <c r="Q19" s="1969"/>
      <c r="R19" s="1969"/>
      <c r="S19" s="1970"/>
      <c r="T19" s="1774">
        <f>'Basis &amp; Credits'!T19</f>
        <v>0</v>
      </c>
      <c r="U19" s="1791"/>
      <c r="V19" s="1791"/>
      <c r="W19" s="1791"/>
      <c r="X19" s="1791"/>
      <c r="Y19" s="1774">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75">
      <c r="B20" s="2274" t="s">
        <v>844</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1928</v>
      </c>
      <c r="C21" s="2275"/>
      <c r="D21" s="2275"/>
      <c r="E21" s="2275"/>
      <c r="F21" s="2275"/>
      <c r="G21" s="2275"/>
      <c r="H21" s="2275"/>
      <c r="I21" s="2275"/>
      <c r="J21" s="2275"/>
      <c r="K21" s="2275"/>
      <c r="L21" s="2275"/>
      <c r="M21" s="2275"/>
      <c r="N21" s="2275"/>
      <c r="O21" s="2275"/>
      <c r="P21" s="2275"/>
      <c r="Q21" s="2275"/>
      <c r="R21" s="2275"/>
      <c r="S21" s="2276"/>
      <c r="T21" s="1774">
        <f>'Basis &amp; Credits'!T21</f>
        <v>22015000</v>
      </c>
      <c r="U21" s="1791"/>
      <c r="V21" s="1791"/>
      <c r="W21" s="1791"/>
      <c r="X21" s="1791"/>
      <c r="Y21" s="1774">
        <f>'Basis &amp; Credits'!Y21</f>
        <v>0</v>
      </c>
      <c r="Z21" s="1791"/>
      <c r="AA21" s="1791"/>
      <c r="AB21" s="1791"/>
      <c r="AC21" s="1791"/>
      <c r="AD21" s="1791">
        <f>'Basis &amp; Credits'!AD21</f>
        <v>0</v>
      </c>
      <c r="AE21" s="1791"/>
      <c r="AF21" s="1791"/>
      <c r="AG21" s="1791"/>
      <c r="AH21" s="1791"/>
      <c r="AI21" s="1791">
        <f>'Basis &amp; Credits'!AI21</f>
        <v>0</v>
      </c>
      <c r="AJ21" s="1791"/>
      <c r="AK21" s="1791"/>
      <c r="AL21" s="1791"/>
      <c r="AM21" s="1791"/>
    </row>
    <row r="22" spans="1:39" ht="12.75">
      <c r="B22" s="2274" t="s">
        <v>845</v>
      </c>
      <c r="C22" s="2275"/>
      <c r="D22" s="2275"/>
      <c r="E22" s="2275"/>
      <c r="F22" s="2275"/>
      <c r="G22" s="2275"/>
      <c r="H22" s="2275"/>
      <c r="I22" s="2275"/>
      <c r="J22" s="2275"/>
      <c r="K22" s="2275"/>
      <c r="L22" s="2275"/>
      <c r="M22" s="2275"/>
      <c r="N22" s="2275"/>
      <c r="O22" s="2275"/>
      <c r="P22" s="2275"/>
      <c r="Q22" s="2275"/>
      <c r="R22" s="2275"/>
      <c r="S22" s="2276"/>
      <c r="T22" s="2318">
        <f>(T20+T21)*-1</f>
        <v>-22015000</v>
      </c>
      <c r="U22" s="2319"/>
      <c r="V22" s="2319"/>
      <c r="W22" s="2319"/>
      <c r="X22" s="2319"/>
      <c r="Y22" s="2318">
        <f>(Y20+Y21)*-1</f>
        <v>0</v>
      </c>
      <c r="Z22" s="2319"/>
      <c r="AA22" s="2319"/>
      <c r="AB22" s="2319"/>
      <c r="AC22" s="2319"/>
      <c r="AD22" s="2318">
        <f>(AD20+AD21)*-1</f>
        <v>0</v>
      </c>
      <c r="AE22" s="2319"/>
      <c r="AF22" s="2319"/>
      <c r="AG22" s="2319"/>
      <c r="AH22" s="2319"/>
      <c r="AI22" s="2318">
        <f>(AI20+AI21)*-1</f>
        <v>0</v>
      </c>
      <c r="AJ22" s="2319"/>
      <c r="AK22" s="2319"/>
      <c r="AL22" s="2319"/>
      <c r="AM22" s="2319"/>
    </row>
    <row r="23" spans="1:39" ht="12.75">
      <c r="A23" s="2"/>
      <c r="B23" s="2335" t="s">
        <v>846</v>
      </c>
      <c r="C23" s="2336"/>
      <c r="D23" s="2336"/>
      <c r="E23" s="2336"/>
      <c r="F23" s="2336"/>
      <c r="G23" s="2336"/>
      <c r="H23" s="2336"/>
      <c r="I23" s="2336"/>
      <c r="J23" s="2336"/>
      <c r="K23" s="2336"/>
      <c r="L23" s="2336"/>
      <c r="M23" s="2336"/>
      <c r="N23" s="2336"/>
      <c r="O23" s="2336"/>
      <c r="P23" s="2336"/>
      <c r="Q23" s="2336"/>
      <c r="R23" s="2336"/>
      <c r="S23" s="2337"/>
      <c r="T23" s="2269">
        <f>T11+T22</f>
        <v>25763788</v>
      </c>
      <c r="U23" s="2270"/>
      <c r="V23" s="2270"/>
      <c r="W23" s="2270"/>
      <c r="X23" s="2270"/>
      <c r="Y23" s="2269">
        <f>Y11+Y22</f>
        <v>0</v>
      </c>
      <c r="Z23" s="2270"/>
      <c r="AA23" s="2270"/>
      <c r="AB23" s="2270"/>
      <c r="AC23" s="2270"/>
      <c r="AD23" s="2269">
        <f>AD11+AD22</f>
        <v>0</v>
      </c>
      <c r="AE23" s="2270"/>
      <c r="AF23" s="2270"/>
      <c r="AG23" s="2270"/>
      <c r="AH23" s="2270"/>
      <c r="AI23" s="2269">
        <f>AI11+AI22</f>
        <v>0</v>
      </c>
      <c r="AJ23" s="2270"/>
      <c r="AK23" s="2270"/>
      <c r="AL23" s="2270"/>
      <c r="AM23" s="2270"/>
    </row>
    <row r="24" spans="1:39" ht="12.75">
      <c r="B24" s="2274" t="s">
        <v>1348</v>
      </c>
      <c r="C24" s="2275"/>
      <c r="D24" s="2275"/>
      <c r="E24" s="2275"/>
      <c r="F24" s="2275"/>
      <c r="G24" s="2275"/>
      <c r="H24" s="2275"/>
      <c r="I24" s="2275"/>
      <c r="J24" s="2275"/>
      <c r="K24" s="2275"/>
      <c r="L24" s="2275"/>
      <c r="M24" s="2275"/>
      <c r="N24" s="2275"/>
      <c r="O24" s="2275"/>
      <c r="P24" s="2275"/>
      <c r="Q24" s="2275"/>
      <c r="R24" s="2275"/>
      <c r="S24" s="2276"/>
      <c r="T24" s="2338">
        <f>Application!AD993</f>
        <v>0</v>
      </c>
      <c r="U24" s="2339"/>
      <c r="V24" s="2339"/>
      <c r="W24" s="2339"/>
      <c r="X24" s="2339"/>
      <c r="Y24" s="2339"/>
      <c r="Z24" s="2339"/>
      <c r="AA24" s="2339"/>
      <c r="AB24" s="2339"/>
      <c r="AC24" s="2339"/>
      <c r="AD24" s="2339"/>
      <c r="AE24" s="2339"/>
      <c r="AF24" s="2339"/>
      <c r="AG24" s="2339"/>
      <c r="AH24" s="2339"/>
      <c r="AI24" s="2339"/>
      <c r="AJ24" s="2339"/>
      <c r="AK24" s="2339"/>
      <c r="AL24" s="2339"/>
      <c r="AM24" s="2269"/>
    </row>
    <row r="25" spans="1:39" ht="12.75">
      <c r="B25" s="2329" t="s">
        <v>1973</v>
      </c>
      <c r="C25" s="2330"/>
      <c r="D25" s="2330"/>
      <c r="E25" s="2330"/>
      <c r="F25" s="2330"/>
      <c r="G25" s="2330"/>
      <c r="H25" s="2330"/>
      <c r="I25" s="2330"/>
      <c r="J25" s="2330"/>
      <c r="K25" s="2330"/>
      <c r="L25" s="2330"/>
      <c r="M25" s="2330"/>
      <c r="N25" s="2330"/>
      <c r="O25" s="2330"/>
      <c r="P25" s="2330"/>
      <c r="Q25" s="2330"/>
      <c r="R25" s="2330"/>
      <c r="S25" s="2331"/>
      <c r="T25" s="2320">
        <v>1</v>
      </c>
      <c r="U25" s="2321"/>
      <c r="V25" s="2321"/>
      <c r="W25" s="2321"/>
      <c r="X25" s="2321"/>
      <c r="Y25" s="2320">
        <v>1</v>
      </c>
      <c r="Z25" s="2321"/>
      <c r="AA25" s="2321"/>
      <c r="AB25" s="2321"/>
      <c r="AC25" s="2324"/>
      <c r="AD25" s="2320">
        <v>1</v>
      </c>
      <c r="AE25" s="2321"/>
      <c r="AF25" s="2321"/>
      <c r="AG25" s="2321"/>
      <c r="AH25" s="2324"/>
      <c r="AI25" s="2320">
        <v>1</v>
      </c>
      <c r="AJ25" s="2321"/>
      <c r="AK25" s="2321"/>
      <c r="AL25" s="2321"/>
      <c r="AM25" s="2324"/>
    </row>
    <row r="26" spans="1:39" ht="12.75">
      <c r="B26" s="2274" t="s">
        <v>847</v>
      </c>
      <c r="C26" s="2275"/>
      <c r="D26" s="2275"/>
      <c r="E26" s="2275"/>
      <c r="F26" s="2275"/>
      <c r="G26" s="2275"/>
      <c r="H26" s="2275"/>
      <c r="I26" s="2275"/>
      <c r="J26" s="2275"/>
      <c r="K26" s="2275"/>
      <c r="L26" s="2275"/>
      <c r="M26" s="2275"/>
      <c r="N26" s="2275"/>
      <c r="O26" s="2275"/>
      <c r="P26" s="2275"/>
      <c r="Q26" s="2275"/>
      <c r="R26" s="2275"/>
      <c r="S26" s="2276"/>
      <c r="T26" s="2325">
        <f>T23*T25</f>
        <v>25763788</v>
      </c>
      <c r="U26" s="2326"/>
      <c r="V26" s="2326"/>
      <c r="W26" s="2326"/>
      <c r="X26" s="2326"/>
      <c r="Y26" s="2325">
        <f>Y23*Y25</f>
        <v>0</v>
      </c>
      <c r="Z26" s="2326"/>
      <c r="AA26" s="2326"/>
      <c r="AB26" s="2326"/>
      <c r="AC26" s="2326"/>
      <c r="AD26" s="2325">
        <f>AD23*AD25</f>
        <v>0</v>
      </c>
      <c r="AE26" s="2326"/>
      <c r="AF26" s="2326"/>
      <c r="AG26" s="2326"/>
      <c r="AH26" s="2326"/>
      <c r="AI26" s="2325">
        <f>AI23*AI25</f>
        <v>0</v>
      </c>
      <c r="AJ26" s="2326"/>
      <c r="AK26" s="2326"/>
      <c r="AL26" s="2326"/>
      <c r="AM26" s="2326"/>
    </row>
    <row r="27" spans="1:39" ht="12.75">
      <c r="A27" s="7"/>
      <c r="B27" s="2332" t="s">
        <v>978</v>
      </c>
      <c r="C27" s="2333"/>
      <c r="D27" s="2333"/>
      <c r="E27" s="2333"/>
      <c r="F27" s="2333"/>
      <c r="G27" s="2333"/>
      <c r="H27" s="2333"/>
      <c r="I27" s="2333"/>
      <c r="J27" s="2333"/>
      <c r="K27" s="2333"/>
      <c r="L27" s="2333"/>
      <c r="M27" s="2333"/>
      <c r="N27" s="2333"/>
      <c r="O27" s="2333"/>
      <c r="P27" s="2333"/>
      <c r="Q27" s="2333"/>
      <c r="R27" s="2333"/>
      <c r="S27" s="2334"/>
      <c r="T27" s="2322">
        <f>Application!AG438</f>
        <v>1</v>
      </c>
      <c r="U27" s="2323"/>
      <c r="V27" s="2323"/>
      <c r="W27" s="2323"/>
      <c r="X27" s="2323"/>
      <c r="Y27" s="2322">
        <f>Application!AG438</f>
        <v>1</v>
      </c>
      <c r="Z27" s="2323"/>
      <c r="AA27" s="2323"/>
      <c r="AB27" s="2323"/>
      <c r="AC27" s="2323"/>
      <c r="AD27" s="2322">
        <f>Application!AG438</f>
        <v>1</v>
      </c>
      <c r="AE27" s="2323"/>
      <c r="AF27" s="2323"/>
      <c r="AG27" s="2323"/>
      <c r="AH27" s="2323"/>
      <c r="AI27" s="2322">
        <f>Application!AG438</f>
        <v>1</v>
      </c>
      <c r="AJ27" s="2323"/>
      <c r="AK27" s="2323"/>
      <c r="AL27" s="2323"/>
      <c r="AM27" s="2323"/>
    </row>
    <row r="28" spans="1:39" ht="12.75" customHeight="1">
      <c r="A28" s="6"/>
      <c r="B28" s="2274" t="s">
        <v>925</v>
      </c>
      <c r="C28" s="2275"/>
      <c r="D28" s="2275"/>
      <c r="E28" s="2275"/>
      <c r="F28" s="2275"/>
      <c r="G28" s="2275"/>
      <c r="H28" s="2275"/>
      <c r="I28" s="2275"/>
      <c r="J28" s="2275"/>
      <c r="K28" s="2275"/>
      <c r="L28" s="2275"/>
      <c r="M28" s="2275"/>
      <c r="N28" s="2275"/>
      <c r="O28" s="2275"/>
      <c r="P28" s="2275"/>
      <c r="Q28" s="2275"/>
      <c r="R28" s="2275"/>
      <c r="S28" s="2276"/>
      <c r="T28" s="1785">
        <f>IF(ISERROR((T26*T27)),0,(T26*T27))</f>
        <v>25763788</v>
      </c>
      <c r="U28" s="2291"/>
      <c r="V28" s="2291"/>
      <c r="W28" s="2291"/>
      <c r="X28" s="2291"/>
      <c r="Y28" s="1785">
        <f>IF(ISERROR((Y26*Y27)),0,(Y26*Y27))</f>
        <v>0</v>
      </c>
      <c r="Z28" s="2291"/>
      <c r="AA28" s="2291"/>
      <c r="AB28" s="2291"/>
      <c r="AC28" s="2291"/>
      <c r="AD28" s="1785">
        <f>IF(ISERROR((AD26*AD27)),0,(AD26*AD27))</f>
        <v>0</v>
      </c>
      <c r="AE28" s="2291"/>
      <c r="AF28" s="2291"/>
      <c r="AG28" s="2291"/>
      <c r="AH28" s="2291"/>
      <c r="AI28" s="1785">
        <f>IF(ISERROR((AI26*AI27)),0,(AI26*AI27))</f>
        <v>0</v>
      </c>
      <c r="AJ28" s="2291"/>
      <c r="AK28" s="2291"/>
      <c r="AL28" s="2291"/>
      <c r="AM28" s="2291"/>
    </row>
    <row r="29" spans="1:39" ht="12.75">
      <c r="B29" s="2274" t="s">
        <v>689</v>
      </c>
      <c r="C29" s="2275"/>
      <c r="D29" s="2275"/>
      <c r="E29" s="2275"/>
      <c r="F29" s="2275"/>
      <c r="G29" s="2275"/>
      <c r="H29" s="2275"/>
      <c r="I29" s="2275"/>
      <c r="J29" s="2275"/>
      <c r="K29" s="2275"/>
      <c r="L29" s="2275"/>
      <c r="M29" s="2275"/>
      <c r="N29" s="2275"/>
      <c r="O29" s="2275"/>
      <c r="P29" s="2275"/>
      <c r="Q29" s="2275"/>
      <c r="R29" s="2275"/>
      <c r="S29" s="2276"/>
      <c r="T29" s="2338">
        <f>T28+Y28+AD28+AI28</f>
        <v>25763788</v>
      </c>
      <c r="U29" s="2339"/>
      <c r="V29" s="2339"/>
      <c r="W29" s="2339"/>
      <c r="X29" s="2339"/>
      <c r="Y29" s="2339"/>
      <c r="Z29" s="2339"/>
      <c r="AA29" s="2339"/>
      <c r="AB29" s="2339"/>
      <c r="AC29" s="2339"/>
      <c r="AD29" s="2339"/>
      <c r="AE29" s="2339"/>
      <c r="AF29" s="2339"/>
      <c r="AG29" s="2339"/>
      <c r="AH29" s="2339"/>
      <c r="AI29" s="2339"/>
      <c r="AJ29" s="2339"/>
      <c r="AK29" s="2339"/>
      <c r="AL29" s="2339"/>
      <c r="AM29" s="2269"/>
    </row>
    <row r="30" spans="1:39" ht="12.75" customHeight="1">
      <c r="B30" s="2720"/>
      <c r="C30" s="2720"/>
      <c r="D30" s="2720"/>
      <c r="E30" s="2720"/>
      <c r="F30" s="2720"/>
      <c r="G30" s="2720"/>
      <c r="H30" s="2720"/>
      <c r="I30" s="2720"/>
      <c r="J30" s="2720"/>
      <c r="K30" s="2720"/>
      <c r="L30" s="2720"/>
      <c r="M30" s="2720"/>
      <c r="N30" s="2720"/>
      <c r="O30" s="2720"/>
      <c r="P30" s="2720"/>
      <c r="Q30" s="2720"/>
      <c r="R30" s="2720"/>
      <c r="S30" s="2720"/>
      <c r="T30" s="2720"/>
      <c r="U30" s="2720"/>
      <c r="V30" s="2720"/>
      <c r="W30" s="2720"/>
      <c r="X30" s="2720"/>
      <c r="Y30" s="2720"/>
      <c r="Z30" s="2720"/>
      <c r="AA30" s="2720"/>
      <c r="AB30" s="2720"/>
      <c r="AC30" s="2720"/>
      <c r="AD30" s="2720"/>
      <c r="AE30" s="2720"/>
      <c r="AF30" s="2720"/>
      <c r="AG30" s="2720"/>
      <c r="AH30" s="2720"/>
      <c r="AI30" s="2720"/>
      <c r="AJ30" s="2720"/>
      <c r="AK30" s="2720"/>
      <c r="AL30" s="2720"/>
      <c r="AM30" s="272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1810</v>
      </c>
      <c r="Z35" s="2277"/>
      <c r="AA35" s="2277"/>
      <c r="AB35" s="2277"/>
      <c r="AC35" s="2277"/>
      <c r="AD35" s="2259" t="s">
        <v>46</v>
      </c>
      <c r="AE35" s="2259"/>
      <c r="AF35" s="2259"/>
      <c r="AG35" s="2259"/>
      <c r="AH35" s="225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0" ht="12.75" customHeight="1">
      <c r="A38" s="6"/>
      <c r="B38" s="2274" t="s">
        <v>925</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0</v>
      </c>
      <c r="Z38" s="2270"/>
      <c r="AA38" s="2270"/>
      <c r="AB38" s="2270"/>
      <c r="AC38" s="2270"/>
      <c r="AD38" s="2270">
        <f>IF(T24&gt;=(T23+Y23+AD23+AI23),AD28+AI28,0)</f>
        <v>0</v>
      </c>
      <c r="AE38" s="2270"/>
      <c r="AF38" s="2270"/>
      <c r="AG38" s="2270"/>
      <c r="AH38" s="2270"/>
    </row>
    <row r="39" spans="1:40" ht="12.75">
      <c r="B39" s="2274" t="s">
        <v>837</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f>'Basis &amp; Credits'!AD39:AH39</f>
        <v>0.04</v>
      </c>
      <c r="AE39" s="2268"/>
      <c r="AF39" s="2268"/>
      <c r="AG39" s="2268"/>
      <c r="AH39" s="2268"/>
    </row>
    <row r="40" spans="1:40"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0</v>
      </c>
      <c r="Z40" s="2270"/>
      <c r="AA40" s="2270"/>
      <c r="AB40" s="2270"/>
      <c r="AC40" s="2270"/>
      <c r="AD40" s="2269">
        <f>ROUND(AD38*AD39,0)</f>
        <v>0</v>
      </c>
      <c r="AE40" s="2270"/>
      <c r="AF40" s="2270"/>
      <c r="AG40" s="2270"/>
      <c r="AH40" s="2270"/>
    </row>
    <row r="41" spans="1:40" ht="12.75">
      <c r="B41" s="2274" t="s">
        <v>683</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IF((Y40+AD40)&gt;2500000,2500000,Y40+AD40)</f>
        <v>0</v>
      </c>
      <c r="Z41" s="2272"/>
      <c r="AA41" s="2272"/>
      <c r="AB41" s="2272"/>
      <c r="AC41" s="2272"/>
      <c r="AD41" s="2272"/>
      <c r="AE41" s="2272"/>
      <c r="AF41" s="2272"/>
      <c r="AG41" s="2272"/>
      <c r="AH41" s="2273"/>
    </row>
    <row r="42" spans="1:40" ht="12.75" customHeight="1">
      <c r="A42" s="6"/>
      <c r="B42" s="2290" t="s">
        <v>1288</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5">
        <f>'Sources and Uses Budget'!B104-'Sources and Uses Budget'!$B$15</f>
        <v>52978060</v>
      </c>
      <c r="AC46" s="2266"/>
      <c r="AD46" s="2266"/>
      <c r="AE46" s="2266"/>
      <c r="AF46" s="2267"/>
    </row>
    <row r="47" spans="1:40" ht="12.75" customHeight="1">
      <c r="D47" s="6" t="s">
        <v>919</v>
      </c>
      <c r="AB47" s="2265">
        <f>Application!AG644-MIN('Sources and Uses Budget'!B15,Application!AG385)</f>
        <v>0</v>
      </c>
      <c r="AC47" s="2266"/>
      <c r="AD47" s="2266"/>
      <c r="AE47" s="2266"/>
      <c r="AF47" s="2267"/>
    </row>
    <row r="48" spans="1:40" ht="12.75">
      <c r="D48" s="6" t="s">
        <v>422</v>
      </c>
      <c r="AB48" s="2265">
        <f>AB46-AB47</f>
        <v>52978060</v>
      </c>
      <c r="AC48" s="2266"/>
      <c r="AD48" s="2266"/>
      <c r="AE48" s="2266"/>
      <c r="AF48" s="2267"/>
    </row>
    <row r="49" spans="1:40" ht="12.75">
      <c r="D49" s="6" t="s">
        <v>958</v>
      </c>
      <c r="X49" s="2"/>
      <c r="Y49" s="2"/>
      <c r="Z49" s="2"/>
      <c r="AA49" s="409"/>
      <c r="AB49" s="2296"/>
      <c r="AC49" s="2297"/>
      <c r="AD49" s="2297"/>
      <c r="AE49" s="2297"/>
      <c r="AF49" s="2298"/>
    </row>
    <row r="50" spans="1:40" s="515" customFormat="1" ht="15" customHeight="1">
      <c r="A50" s="2"/>
      <c r="B50" s="2"/>
      <c r="C50" s="2"/>
      <c r="D50" s="272"/>
      <c r="E50" s="2295" t="s">
        <v>1505</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8"/>
      <c r="AB50" s="778"/>
      <c r="AC50" s="778"/>
      <c r="AD50" s="778"/>
      <c r="AE50" s="778"/>
      <c r="AF50" s="778"/>
      <c r="AG50" s="2"/>
      <c r="AH50" s="2"/>
      <c r="AI50" s="2"/>
      <c r="AJ50" s="2"/>
      <c r="AK50" s="2"/>
      <c r="AL50" s="2"/>
      <c r="AM50" s="2"/>
      <c r="AN50" s="2"/>
    </row>
    <row r="51" spans="1:40" s="515"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5">
        <f>ROUND(IF(ISERROR((AB48/AB49)),0,(AB48/AB49)),0)</f>
        <v>0</v>
      </c>
      <c r="AC53" s="2266"/>
      <c r="AD53" s="2266"/>
      <c r="AE53" s="2266"/>
      <c r="AF53" s="2267"/>
    </row>
    <row r="54" spans="1:40" ht="12.75" customHeight="1">
      <c r="D54" s="6" t="s">
        <v>621</v>
      </c>
      <c r="AB54" s="2265">
        <f>(AB53/10)</f>
        <v>0</v>
      </c>
      <c r="AC54" s="2266"/>
      <c r="AD54" s="2266"/>
      <c r="AE54" s="2266"/>
      <c r="AF54" s="2267"/>
    </row>
    <row r="55" spans="1:40" ht="12.75">
      <c r="D55" s="6" t="s">
        <v>379</v>
      </c>
      <c r="AB55" s="2292">
        <f>(IF((Y41&lt;AB54),Y41,AB54))</f>
        <v>0</v>
      </c>
      <c r="AC55" s="2293"/>
      <c r="AD55" s="2293"/>
      <c r="AE55" s="2293"/>
      <c r="AF55" s="2294"/>
    </row>
    <row r="56" spans="1:40" ht="12.75">
      <c r="D56" s="6" t="s">
        <v>118</v>
      </c>
      <c r="AB56" s="2265">
        <f>ROUND((10*AB55*AB49),0)</f>
        <v>0</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52978060</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0" t="s">
        <v>1976</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7"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4" t="s">
        <v>331</v>
      </c>
      <c r="Z62" s="2264"/>
      <c r="AA62" s="2264"/>
      <c r="AB62" s="2264"/>
      <c r="AC62" s="2264"/>
      <c r="AD62" s="2264" t="s">
        <v>46</v>
      </c>
      <c r="AE62" s="2264"/>
      <c r="AF62" s="2264"/>
      <c r="AG62" s="2264"/>
      <c r="AH62" s="2264"/>
      <c r="AI62" s="1"/>
      <c r="AJ62" s="1"/>
      <c r="AK62" s="1"/>
      <c r="AL62" s="1"/>
      <c r="AM62" s="1"/>
      <c r="AN62" s="1"/>
    </row>
    <row r="63" spans="1:40" ht="12.75">
      <c r="C63" s="330"/>
      <c r="D63" s="1258" t="s">
        <v>1374</v>
      </c>
      <c r="E63" s="802"/>
      <c r="F63" s="802"/>
      <c r="G63" s="802"/>
      <c r="H63" s="802"/>
      <c r="I63" s="802"/>
      <c r="J63" s="802"/>
      <c r="K63" s="802"/>
      <c r="L63" s="22"/>
      <c r="M63" s="22"/>
      <c r="N63" s="22"/>
      <c r="O63" s="22"/>
      <c r="P63" s="22"/>
      <c r="Q63" s="22"/>
      <c r="R63" s="22"/>
      <c r="S63" s="22"/>
      <c r="T63" s="22"/>
      <c r="U63" s="22"/>
      <c r="V63" s="22"/>
      <c r="W63" s="22"/>
      <c r="X63" s="22"/>
      <c r="Y63" s="1790">
        <f>Y28</f>
        <v>0</v>
      </c>
      <c r="Z63" s="2287"/>
      <c r="AA63" s="2287"/>
      <c r="AB63" s="2287"/>
      <c r="AC63" s="2287"/>
      <c r="AD63" s="1790">
        <f>AI28</f>
        <v>0</v>
      </c>
      <c r="AE63" s="2287"/>
      <c r="AF63" s="2287"/>
      <c r="AG63" s="2287"/>
      <c r="AH63" s="2287"/>
    </row>
    <row r="64" spans="1:40" ht="15" customHeight="1">
      <c r="C64" s="6"/>
      <c r="E64" s="2261" t="s">
        <v>1425</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4"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219</v>
      </c>
      <c r="E66" s="1261"/>
      <c r="F66" s="1261"/>
      <c r="G66" s="1261"/>
      <c r="H66" s="1261"/>
      <c r="I66" s="1261"/>
      <c r="J66" s="1261"/>
      <c r="K66" s="1261"/>
      <c r="L66" s="1261"/>
      <c r="M66" s="1261"/>
      <c r="N66" s="1261"/>
      <c r="O66" s="1261"/>
      <c r="P66" s="1261"/>
      <c r="Q66" s="1261"/>
      <c r="R66" s="1261"/>
      <c r="S66" s="1261"/>
      <c r="T66" s="1261"/>
      <c r="U66" s="1261"/>
      <c r="V66" s="1261"/>
      <c r="W66" s="1261"/>
      <c r="X66" s="1261"/>
      <c r="Y66" s="2283">
        <v>0.3</v>
      </c>
      <c r="Z66" s="2283"/>
      <c r="AA66" s="2283"/>
      <c r="AB66" s="2283"/>
      <c r="AC66" s="2283"/>
      <c r="AD66" s="2283">
        <v>0.13</v>
      </c>
      <c r="AE66" s="2283"/>
      <c r="AF66" s="2283"/>
      <c r="AG66" s="2283"/>
      <c r="AH66" s="2283"/>
    </row>
    <row r="67" spans="1:40" ht="12.75">
      <c r="C67" s="6"/>
      <c r="D67" s="6" t="s">
        <v>1045</v>
      </c>
      <c r="Y67" s="1790">
        <f>ROUND(Y63*Y66,0)</f>
        <v>0</v>
      </c>
      <c r="Z67" s="2287"/>
      <c r="AA67" s="2287"/>
      <c r="AB67" s="2287"/>
      <c r="AC67" s="2287"/>
      <c r="AD67" s="1790" t="str">
        <f>IF(OR(Application!D211="At-Risk",Application!D211="At-Risk/Located in Rural Census Tract",Application!D214="At-Risk"),ROUND(AD63*AD66,0),"$0")</f>
        <v>$0</v>
      </c>
      <c r="AE67" s="2288"/>
      <c r="AF67" s="2288"/>
      <c r="AG67" s="2288"/>
      <c r="AH67" s="228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96"/>
      <c r="AC70" s="2297"/>
      <c r="AD70" s="2297"/>
      <c r="AE70" s="2297"/>
      <c r="AF70" s="2298"/>
      <c r="AG70" s="2"/>
      <c r="AH70" s="2"/>
      <c r="AI70" s="2"/>
      <c r="AJ70" s="2"/>
      <c r="AK70" s="2"/>
      <c r="AL70" s="2"/>
      <c r="AM70" s="2"/>
      <c r="AN70" s="2"/>
    </row>
    <row r="71" spans="1:40" ht="12.75" customHeight="1">
      <c r="A71" s="330"/>
      <c r="B71" s="2"/>
      <c r="C71" s="330"/>
      <c r="D71" s="330"/>
      <c r="E71" s="2289" t="s">
        <v>1971</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3"/>
      <c r="AB71" s="803"/>
      <c r="AC71" s="803"/>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3"/>
      <c r="AB72" s="803"/>
      <c r="AC72" s="803"/>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59"/>
      <c r="AG74" s="2"/>
      <c r="AH74" s="2"/>
      <c r="AI74" s="2"/>
      <c r="AJ74" s="2"/>
      <c r="AK74" s="2"/>
      <c r="AL74" s="2"/>
      <c r="AM74" s="2"/>
      <c r="AN74" s="2"/>
    </row>
    <row r="75" spans="1:40" ht="12" customHeight="1">
      <c r="C75" s="6"/>
      <c r="D75" s="6" t="s">
        <v>115</v>
      </c>
      <c r="AB75" s="2282">
        <f>ROUND(IF(ISERROR((AB58/AB70)),0,(AB58/AB70)),0)</f>
        <v>0</v>
      </c>
      <c r="AC75" s="2282"/>
      <c r="AD75" s="2282"/>
      <c r="AE75" s="2282"/>
      <c r="AF75" s="2282"/>
    </row>
    <row r="76" spans="1:40" ht="12.75" customHeight="1">
      <c r="C76" s="6"/>
      <c r="D76" s="6" t="s">
        <v>116</v>
      </c>
      <c r="AB76" s="2279">
        <f>IF((Y67+AD67&lt;AB75),Y67+AD67,AB75)</f>
        <v>0</v>
      </c>
      <c r="AC76" s="2280"/>
      <c r="AD76" s="2280"/>
      <c r="AE76" s="2280"/>
      <c r="AF76" s="2281"/>
    </row>
    <row r="77" spans="1:40" ht="12.75" customHeight="1">
      <c r="C77" s="6"/>
      <c r="D77" s="6" t="s">
        <v>1046</v>
      </c>
      <c r="AB77" s="2278">
        <f>AB76*AB70</f>
        <v>0</v>
      </c>
      <c r="AC77" s="2278"/>
      <c r="AD77" s="2278"/>
      <c r="AE77" s="2278"/>
      <c r="AF77" s="2278"/>
    </row>
    <row r="78" spans="1:40" ht="12.75" customHeight="1">
      <c r="C78" s="6"/>
      <c r="D78" s="6"/>
      <c r="AB78" s="934"/>
      <c r="AC78" s="934"/>
      <c r="AD78" s="934"/>
      <c r="AE78" s="934"/>
      <c r="AF78" s="934"/>
    </row>
    <row r="79" spans="1:40" ht="12.75" customHeight="1">
      <c r="A79" s="1"/>
      <c r="B79" s="1"/>
      <c r="C79" s="1"/>
      <c r="D79" s="6" t="s">
        <v>117</v>
      </c>
      <c r="AB79" s="2263">
        <f>AB48-(AB56+AB77)</f>
        <v>52978060</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17" t="s">
        <v>1360</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79" t="s">
        <v>381</v>
      </c>
      <c r="B4" s="521"/>
      <c r="C4" s="521"/>
      <c r="D4" s="521"/>
      <c r="E4" s="521"/>
      <c r="F4" s="521"/>
      <c r="G4" s="521"/>
    </row>
    <row r="5" spans="1:7" s="902" customFormat="1" ht="12.75">
      <c r="A5" s="1480" t="s">
        <v>1060</v>
      </c>
      <c r="B5" s="523">
        <f>'Sources and Uses Budget'!C4</f>
        <v>2200000</v>
      </c>
      <c r="C5" s="523">
        <f>'Sources and Uses Budget'!C4</f>
        <v>2200000</v>
      </c>
      <c r="D5" s="523">
        <f>'Sources and Uses Budget'!C4</f>
        <v>2200000</v>
      </c>
      <c r="E5" s="525">
        <f>C5-B5</f>
        <v>0</v>
      </c>
      <c r="F5" s="524"/>
      <c r="G5" s="524"/>
    </row>
    <row r="6" spans="1:7" s="902" customFormat="1" ht="12.75">
      <c r="A6" s="1480" t="s">
        <v>1061</v>
      </c>
      <c r="B6" s="523">
        <f>'Sources and Uses Budget'!C5</f>
        <v>50000</v>
      </c>
      <c r="C6" s="523">
        <f>'Sources and Uses Budget'!C5</f>
        <v>50000</v>
      </c>
      <c r="D6" s="523">
        <f>'Sources and Uses Budget'!C5</f>
        <v>50000</v>
      </c>
      <c r="E6" s="525">
        <f t="shared" ref="E6:E73" si="0">C6-B6</f>
        <v>0</v>
      </c>
      <c r="F6" s="524"/>
      <c r="G6" s="524"/>
    </row>
    <row r="7" spans="1:7" s="902" customFormat="1" ht="12.75">
      <c r="A7" s="1480" t="s">
        <v>382</v>
      </c>
      <c r="B7" s="523">
        <f>'Sources and Uses Budget'!C6</f>
        <v>0</v>
      </c>
      <c r="C7" s="523">
        <f>'Sources and Uses Budget'!C6</f>
        <v>0</v>
      </c>
      <c r="D7" s="523">
        <f>'Sources and Uses Budget'!C6</f>
        <v>0</v>
      </c>
      <c r="E7" s="525">
        <f t="shared" si="0"/>
        <v>0</v>
      </c>
      <c r="F7" s="524"/>
      <c r="G7" s="524"/>
    </row>
    <row r="8" spans="1:7" s="902" customFormat="1" ht="12.75">
      <c r="A8" s="1480" t="s">
        <v>310</v>
      </c>
      <c r="B8" s="523">
        <f>'Sources and Uses Budget'!C7</f>
        <v>0</v>
      </c>
      <c r="C8" s="523">
        <f>'Sources and Uses Budget'!C7</f>
        <v>0</v>
      </c>
      <c r="D8" s="523">
        <f>'Sources and Uses Budget'!C7</f>
        <v>0</v>
      </c>
      <c r="E8" s="525">
        <f t="shared" si="0"/>
        <v>0</v>
      </c>
      <c r="F8" s="524"/>
      <c r="G8" s="524"/>
    </row>
    <row r="9" spans="1:7" s="902" customFormat="1" ht="12.75">
      <c r="A9" s="1481" t="s">
        <v>1062</v>
      </c>
      <c r="B9" s="525">
        <f>SUM(B5:B8)</f>
        <v>2250000</v>
      </c>
      <c r="C9" s="525">
        <f>SUM(C5:C8)</f>
        <v>2250000</v>
      </c>
      <c r="D9" s="525">
        <f>SUM(D5:D8)</f>
        <v>2250000</v>
      </c>
      <c r="E9" s="525">
        <f t="shared" si="0"/>
        <v>0</v>
      </c>
      <c r="F9" s="524"/>
      <c r="G9" s="524"/>
    </row>
    <row r="10" spans="1:7" s="902" customFormat="1" ht="12.75">
      <c r="A10" s="1480" t="s">
        <v>645</v>
      </c>
      <c r="B10" s="523">
        <f>'Sources and Uses Budget'!C9</f>
        <v>0</v>
      </c>
      <c r="C10" s="523">
        <f>'Sources and Uses Budget'!C9</f>
        <v>0</v>
      </c>
      <c r="D10" s="523">
        <f>'Sources and Uses Budget'!C9</f>
        <v>0</v>
      </c>
      <c r="E10" s="525">
        <f t="shared" si="0"/>
        <v>0</v>
      </c>
      <c r="F10" s="524"/>
      <c r="G10" s="524"/>
    </row>
    <row r="11" spans="1:7" s="902" customFormat="1" ht="12.75">
      <c r="A11" s="1480" t="s">
        <v>1063</v>
      </c>
      <c r="B11" s="523">
        <f>'Sources and Uses Budget'!C10</f>
        <v>1285000</v>
      </c>
      <c r="C11" s="523">
        <f>'Sources and Uses Budget'!C10</f>
        <v>1285000</v>
      </c>
      <c r="D11" s="523">
        <f>'Sources and Uses Budget'!C10</f>
        <v>1285000</v>
      </c>
      <c r="E11" s="525">
        <f t="shared" si="0"/>
        <v>0</v>
      </c>
      <c r="F11" s="524"/>
      <c r="G11" s="524"/>
    </row>
    <row r="12" spans="1:7" s="902" customFormat="1" ht="12.75">
      <c r="A12" s="1481" t="s">
        <v>646</v>
      </c>
      <c r="B12" s="525">
        <f>SUM(B10:B11)</f>
        <v>1285000</v>
      </c>
      <c r="C12" s="525">
        <f>SUM(C10:C11)</f>
        <v>1285000</v>
      </c>
      <c r="D12" s="525">
        <f>SUM(D10:D11)</f>
        <v>1285000</v>
      </c>
      <c r="E12" s="525">
        <f t="shared" si="0"/>
        <v>0</v>
      </c>
      <c r="F12" s="524"/>
      <c r="G12" s="524"/>
    </row>
    <row r="13" spans="1:7" s="902" customFormat="1" ht="12.75">
      <c r="A13" s="1481" t="s">
        <v>778</v>
      </c>
      <c r="B13" s="525">
        <f>SUM(B9+B12)</f>
        <v>3535000</v>
      </c>
      <c r="C13" s="525">
        <f>SUM(C9+C12)</f>
        <v>3535000</v>
      </c>
      <c r="D13" s="525">
        <f>SUM(D9+D12)</f>
        <v>3535000</v>
      </c>
      <c r="E13" s="525">
        <f t="shared" si="0"/>
        <v>0</v>
      </c>
      <c r="F13" s="524"/>
      <c r="G13" s="524"/>
    </row>
    <row r="14" spans="1:7" s="902" customFormat="1" ht="12.75">
      <c r="A14" s="1482" t="s">
        <v>1229</v>
      </c>
      <c r="B14" s="523">
        <f>'Sources and Uses Budget'!C13</f>
        <v>536302</v>
      </c>
      <c r="C14" s="523">
        <f>'Sources and Uses Budget'!C13</f>
        <v>536302</v>
      </c>
      <c r="D14" s="523">
        <f>'Sources and Uses Budget'!C13</f>
        <v>536302</v>
      </c>
      <c r="E14" s="525">
        <f t="shared" si="0"/>
        <v>0</v>
      </c>
      <c r="F14" s="524"/>
      <c r="G14" s="524"/>
    </row>
    <row r="15" spans="1:7" s="902" customFormat="1" ht="24">
      <c r="A15" s="1483" t="s">
        <v>1264</v>
      </c>
      <c r="B15" s="523">
        <f>'Sources and Uses Budget'!C14</f>
        <v>200000</v>
      </c>
      <c r="C15" s="523">
        <f>'Sources and Uses Budget'!C14</f>
        <v>200000</v>
      </c>
      <c r="D15" s="523">
        <f>'Sources and Uses Budget'!C14</f>
        <v>200000</v>
      </c>
      <c r="E15" s="525">
        <f t="shared" si="0"/>
        <v>0</v>
      </c>
      <c r="F15" s="524"/>
      <c r="G15" s="524"/>
    </row>
    <row r="16" spans="1:7" s="902" customFormat="1" ht="12.75">
      <c r="A16" s="1483" t="s">
        <v>1894</v>
      </c>
      <c r="B16" s="523">
        <f>'Sources and Uses Budget'!C15</f>
        <v>0</v>
      </c>
      <c r="C16" s="523">
        <f>'Sources and Uses Budget'!C15</f>
        <v>0</v>
      </c>
      <c r="D16" s="523">
        <f>'Sources and Uses Budget'!C15</f>
        <v>0</v>
      </c>
      <c r="E16" s="525">
        <f t="shared" si="0"/>
        <v>0</v>
      </c>
      <c r="F16" s="524"/>
      <c r="G16" s="524"/>
    </row>
    <row r="17" spans="1:7" s="902" customFormat="1" ht="12.75">
      <c r="A17" s="1479"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491">
        <f>'Sources and Uses Budget'!C26</f>
        <v>0</v>
      </c>
      <c r="C27" s="1491">
        <f>'Sources and Uses Budget'!C26</f>
        <v>0</v>
      </c>
      <c r="D27" s="1491">
        <f>'Sources and Uses Budget'!C26</f>
        <v>0</v>
      </c>
      <c r="E27" s="525">
        <f>C27-B27</f>
        <v>0</v>
      </c>
      <c r="F27" s="524"/>
      <c r="G27" s="524"/>
    </row>
    <row r="28" spans="1:7" s="902" customFormat="1" ht="12.75">
      <c r="A28" s="1484" t="s">
        <v>1021</v>
      </c>
      <c r="B28" s="523">
        <f>'Sources and Uses Budget'!C27</f>
        <v>0</v>
      </c>
      <c r="C28" s="523">
        <f>'Sources and Uses Budget'!C27</f>
        <v>0</v>
      </c>
      <c r="D28" s="523">
        <f>'Sources and Uses Budget'!C27</f>
        <v>0</v>
      </c>
      <c r="E28" s="525">
        <f>C28-B28</f>
        <v>0</v>
      </c>
      <c r="F28" s="524"/>
      <c r="G28" s="524"/>
    </row>
    <row r="29" spans="1:7" s="902" customFormat="1" ht="12.75">
      <c r="A29" s="1479" t="s">
        <v>1022</v>
      </c>
      <c r="B29" s="521"/>
      <c r="C29" s="521"/>
      <c r="D29" s="521"/>
      <c r="E29" s="521"/>
      <c r="F29" s="521"/>
      <c r="G29" s="521"/>
    </row>
    <row r="30" spans="1:7" s="902" customFormat="1" ht="12.75">
      <c r="A30" s="369" t="s">
        <v>1014</v>
      </c>
      <c r="B30" s="523">
        <f>'Sources and Uses Budget'!C29</f>
        <v>940000</v>
      </c>
      <c r="C30" s="523">
        <f>'Sources and Uses Budget'!C29</f>
        <v>940000</v>
      </c>
      <c r="D30" s="523">
        <f>'Sources and Uses Budget'!C29</f>
        <v>940000</v>
      </c>
      <c r="E30" s="525">
        <f t="shared" si="0"/>
        <v>0</v>
      </c>
      <c r="F30" s="524"/>
      <c r="G30" s="524"/>
    </row>
    <row r="31" spans="1:7" s="902" customFormat="1" ht="12.75">
      <c r="A31" s="369" t="s">
        <v>1015</v>
      </c>
      <c r="B31" s="523">
        <f>'Sources and Uses Budget'!C30</f>
        <v>28527442</v>
      </c>
      <c r="C31" s="523">
        <f>'Sources and Uses Budget'!C30</f>
        <v>28527442</v>
      </c>
      <c r="D31" s="523">
        <f>'Sources and Uses Budget'!C30</f>
        <v>28527442</v>
      </c>
      <c r="E31" s="525">
        <f t="shared" si="0"/>
        <v>0</v>
      </c>
      <c r="F31" s="524"/>
      <c r="G31" s="524"/>
    </row>
    <row r="32" spans="1:7" s="902" customFormat="1" ht="12.75">
      <c r="A32" s="369" t="s">
        <v>1016</v>
      </c>
      <c r="B32" s="523">
        <f>'Sources and Uses Budget'!C31</f>
        <v>1848147</v>
      </c>
      <c r="C32" s="523">
        <f>'Sources and Uses Budget'!C31</f>
        <v>1848147</v>
      </c>
      <c r="D32" s="523">
        <f>'Sources and Uses Budget'!C31</f>
        <v>1848147</v>
      </c>
      <c r="E32" s="525">
        <f t="shared" si="0"/>
        <v>0</v>
      </c>
      <c r="F32" s="524"/>
      <c r="G32" s="524"/>
    </row>
    <row r="33" spans="1:7" s="902" customFormat="1" ht="12.75">
      <c r="A33" s="369" t="s">
        <v>1017</v>
      </c>
      <c r="B33" s="523">
        <f>'Sources and Uses Budget'!C32</f>
        <v>1232097.5</v>
      </c>
      <c r="C33" s="523">
        <f>'Sources and Uses Budget'!C32</f>
        <v>1232097.5</v>
      </c>
      <c r="D33" s="523">
        <f>'Sources and Uses Budget'!C32</f>
        <v>1232097.5</v>
      </c>
      <c r="E33" s="525">
        <f t="shared" si="0"/>
        <v>0</v>
      </c>
      <c r="F33" s="524"/>
      <c r="G33" s="524"/>
    </row>
    <row r="34" spans="1:7" s="902" customFormat="1" ht="12.75">
      <c r="A34" s="369" t="s">
        <v>1018</v>
      </c>
      <c r="B34" s="523">
        <f>'Sources and Uses Budget'!C33</f>
        <v>1232097.5</v>
      </c>
      <c r="C34" s="523">
        <f>'Sources and Uses Budget'!C33</f>
        <v>1232097.5</v>
      </c>
      <c r="D34" s="523">
        <f>'Sources and Uses Budget'!C33</f>
        <v>1232097.5</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351148</v>
      </c>
      <c r="C36" s="523">
        <f>'Sources and Uses Budget'!C35</f>
        <v>351148</v>
      </c>
      <c r="D36" s="523">
        <f>'Sources and Uses Budget'!C35</f>
        <v>351148</v>
      </c>
      <c r="E36" s="525">
        <f t="shared" si="0"/>
        <v>0</v>
      </c>
      <c r="F36" s="524"/>
      <c r="G36" s="524"/>
    </row>
    <row r="37" spans="1:7" s="902" customFormat="1" ht="12.75">
      <c r="A37" s="722" t="s">
        <v>2239</v>
      </c>
      <c r="B37" s="523">
        <f>'Sources and Uses Budget'!C36</f>
        <v>250000</v>
      </c>
      <c r="C37" s="523">
        <f>'Sources and Uses Budget'!C36</f>
        <v>250000</v>
      </c>
      <c r="D37" s="523">
        <f>'Sources and Uses Budget'!C36</f>
        <v>250000</v>
      </c>
      <c r="E37" s="525">
        <f t="shared" si="0"/>
        <v>0</v>
      </c>
      <c r="F37" s="524"/>
      <c r="G37" s="524"/>
    </row>
    <row r="38" spans="1:7" s="902" customFormat="1" ht="12.75">
      <c r="A38" s="380" t="s">
        <v>592</v>
      </c>
      <c r="B38" s="523">
        <f>'Sources and Uses Budget'!C37</f>
        <v>55000</v>
      </c>
      <c r="C38" s="523">
        <f>'Sources and Uses Budget'!C37</f>
        <v>55000</v>
      </c>
      <c r="D38" s="523">
        <f>'Sources and Uses Budget'!C37</f>
        <v>55000</v>
      </c>
      <c r="E38" s="525">
        <f>C38-B38</f>
        <v>0</v>
      </c>
      <c r="F38" s="524"/>
      <c r="G38" s="524"/>
    </row>
    <row r="39" spans="1:7" s="902" customFormat="1" ht="12.75">
      <c r="A39" s="1484" t="s">
        <v>1023</v>
      </c>
      <c r="B39" s="1491">
        <f>'Sources and Uses Budget'!C38</f>
        <v>34435932</v>
      </c>
      <c r="C39" s="1491">
        <f>'Sources and Uses Budget'!C38</f>
        <v>34435932</v>
      </c>
      <c r="D39" s="1491">
        <f>'Sources and Uses Budget'!C38</f>
        <v>34435932</v>
      </c>
      <c r="E39" s="525">
        <f>C39-B39</f>
        <v>0</v>
      </c>
      <c r="F39" s="524"/>
      <c r="G39" s="524"/>
    </row>
    <row r="40" spans="1:7" s="902" customFormat="1" ht="12.75">
      <c r="A40" s="1479" t="s">
        <v>1024</v>
      </c>
      <c r="B40" s="521"/>
      <c r="C40" s="521"/>
      <c r="D40" s="521"/>
      <c r="E40" s="521"/>
      <c r="F40" s="521"/>
      <c r="G40" s="521"/>
    </row>
    <row r="41" spans="1:7" s="902" customFormat="1" ht="12.75">
      <c r="A41" s="1485" t="s">
        <v>1025</v>
      </c>
      <c r="B41" s="523">
        <f>'Sources and Uses Budget'!C40</f>
        <v>1000000</v>
      </c>
      <c r="C41" s="523">
        <f>'Sources and Uses Budget'!C40</f>
        <v>1000000</v>
      </c>
      <c r="D41" s="523">
        <f>'Sources and Uses Budget'!C40</f>
        <v>1000000</v>
      </c>
      <c r="E41" s="525">
        <f>C41-B41</f>
        <v>0</v>
      </c>
      <c r="F41" s="524"/>
      <c r="G41" s="524"/>
    </row>
    <row r="42" spans="1:7" s="902" customFormat="1" ht="12.75">
      <c r="A42" s="1485" t="s">
        <v>1026</v>
      </c>
      <c r="B42" s="523">
        <f>'Sources and Uses Budget'!C41</f>
        <v>260000</v>
      </c>
      <c r="C42" s="523">
        <f>'Sources and Uses Budget'!C41</f>
        <v>260000</v>
      </c>
      <c r="D42" s="523">
        <f>'Sources and Uses Budget'!C41</f>
        <v>260000</v>
      </c>
      <c r="E42" s="525">
        <f>C42-B42</f>
        <v>0</v>
      </c>
      <c r="F42" s="524"/>
      <c r="G42" s="524"/>
    </row>
    <row r="43" spans="1:7" s="902" customFormat="1" ht="12" customHeight="1">
      <c r="A43" s="1484" t="s">
        <v>1027</v>
      </c>
      <c r="B43" s="1491">
        <f>'Sources and Uses Budget'!C42</f>
        <v>1260000</v>
      </c>
      <c r="C43" s="1491">
        <f>'Sources and Uses Budget'!C42</f>
        <v>1260000</v>
      </c>
      <c r="D43" s="1491">
        <f>'Sources and Uses Budget'!C42</f>
        <v>1260000</v>
      </c>
      <c r="E43" s="525">
        <f>C43-B43</f>
        <v>0</v>
      </c>
      <c r="F43" s="524"/>
      <c r="G43" s="524"/>
    </row>
    <row r="44" spans="1:7" s="902" customFormat="1" ht="12.75">
      <c r="A44" s="1484" t="s">
        <v>1028</v>
      </c>
      <c r="B44" s="523">
        <f>'Sources and Uses Budget'!C43</f>
        <v>0</v>
      </c>
      <c r="C44" s="523">
        <f>'Sources and Uses Budget'!C43</f>
        <v>0</v>
      </c>
      <c r="D44" s="523">
        <f>'Sources and Uses Budget'!C43</f>
        <v>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2165057</v>
      </c>
      <c r="C46" s="523">
        <f>'Sources and Uses Budget'!C45</f>
        <v>2165057</v>
      </c>
      <c r="D46" s="523">
        <f>'Sources and Uses Budget'!C45</f>
        <v>2165057</v>
      </c>
      <c r="E46" s="525">
        <f t="shared" si="0"/>
        <v>0</v>
      </c>
      <c r="F46" s="524"/>
      <c r="G46" s="524"/>
    </row>
    <row r="47" spans="1:7" s="902" customFormat="1" ht="12.75">
      <c r="A47" s="369" t="s">
        <v>1031</v>
      </c>
      <c r="B47" s="523">
        <f>'Sources and Uses Budget'!C46</f>
        <v>507912</v>
      </c>
      <c r="C47" s="523">
        <f>'Sources and Uses Budget'!C46</f>
        <v>507912</v>
      </c>
      <c r="D47" s="523">
        <f>'Sources and Uses Budget'!C46</f>
        <v>507912</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702296</v>
      </c>
      <c r="C49" s="523">
        <f>'Sources and Uses Budget'!C48</f>
        <v>702296</v>
      </c>
      <c r="D49" s="523">
        <f>'Sources and Uses Budget'!C48</f>
        <v>702296</v>
      </c>
      <c r="E49" s="525">
        <f t="shared" si="0"/>
        <v>0</v>
      </c>
      <c r="F49" s="524"/>
      <c r="G49" s="524"/>
    </row>
    <row r="50" spans="1:7" s="902" customFormat="1" ht="12.75">
      <c r="A50" s="369" t="s">
        <v>1036</v>
      </c>
      <c r="B50" s="523">
        <f>'Sources and Uses Budget'!C49</f>
        <v>100000</v>
      </c>
      <c r="C50" s="523">
        <f>'Sources and Uses Budget'!C49</f>
        <v>100000</v>
      </c>
      <c r="D50" s="523">
        <f>'Sources and Uses Budget'!C49</f>
        <v>100000</v>
      </c>
      <c r="E50" s="525">
        <f t="shared" si="0"/>
        <v>0</v>
      </c>
      <c r="F50" s="524"/>
      <c r="G50" s="524"/>
    </row>
    <row r="51" spans="1:7" s="902" customFormat="1" ht="12.75">
      <c r="A51" s="369" t="s">
        <v>1034</v>
      </c>
      <c r="B51" s="523">
        <f>'Sources and Uses Budget'!C50</f>
        <v>90000</v>
      </c>
      <c r="C51" s="523">
        <f>'Sources and Uses Budget'!C50</f>
        <v>90000</v>
      </c>
      <c r="D51" s="523">
        <f>'Sources and Uses Budget'!C50</f>
        <v>90000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491">
        <f>'Sources and Uses Budget'!C53</f>
        <v>3565265</v>
      </c>
      <c r="C54" s="1491">
        <f>'Sources and Uses Budget'!C53</f>
        <v>3565265</v>
      </c>
      <c r="D54" s="1491">
        <f>'Sources and Uses Budget'!C53</f>
        <v>3565265</v>
      </c>
      <c r="E54" s="525">
        <f t="shared" si="0"/>
        <v>0</v>
      </c>
      <c r="F54" s="524"/>
      <c r="G54" s="524"/>
    </row>
    <row r="55" spans="1:7" s="902" customFormat="1" ht="12" customHeight="1">
      <c r="A55" s="1479" t="s">
        <v>749</v>
      </c>
      <c r="B55" s="521"/>
      <c r="C55" s="521"/>
      <c r="D55" s="521"/>
      <c r="E55" s="521"/>
      <c r="F55" s="521"/>
      <c r="G55" s="521"/>
    </row>
    <row r="56" spans="1:7" s="902" customFormat="1" ht="12.75">
      <c r="A56" s="1485" t="s">
        <v>1038</v>
      </c>
      <c r="B56" s="523">
        <f>'Sources and Uses Budget'!C55</f>
        <v>36724</v>
      </c>
      <c r="C56" s="523">
        <f>'Sources and Uses Budget'!C55</f>
        <v>36724</v>
      </c>
      <c r="D56" s="523">
        <f>'Sources and Uses Budget'!C55</f>
        <v>36724</v>
      </c>
      <c r="E56" s="525">
        <f t="shared" si="0"/>
        <v>0</v>
      </c>
      <c r="F56" s="524"/>
      <c r="G56" s="524"/>
    </row>
    <row r="57" spans="1:7" s="902" customFormat="1" ht="12.75">
      <c r="A57" s="1485" t="s">
        <v>1032</v>
      </c>
      <c r="B57" s="523">
        <f>'Sources and Uses Budget'!C56</f>
        <v>0</v>
      </c>
      <c r="C57" s="523">
        <f>'Sources and Uses Budget'!C56</f>
        <v>0</v>
      </c>
      <c r="D57" s="523">
        <f>'Sources and Uses Budget'!C56</f>
        <v>0</v>
      </c>
      <c r="E57" s="525">
        <f t="shared" si="0"/>
        <v>0</v>
      </c>
      <c r="F57" s="524"/>
      <c r="G57" s="524"/>
    </row>
    <row r="58" spans="1:7" s="902" customFormat="1" ht="12.75">
      <c r="A58" s="1485" t="s">
        <v>1036</v>
      </c>
      <c r="B58" s="523">
        <f>'Sources and Uses Budget'!C57</f>
        <v>0</v>
      </c>
      <c r="C58" s="523">
        <f>'Sources and Uses Budget'!C57</f>
        <v>0</v>
      </c>
      <c r="D58" s="523">
        <f>'Sources and Uses Budget'!C57</f>
        <v>0</v>
      </c>
      <c r="E58" s="525">
        <f t="shared" si="0"/>
        <v>0</v>
      </c>
      <c r="F58" s="524"/>
      <c r="G58" s="524"/>
    </row>
    <row r="59" spans="1:7" s="902" customFormat="1" ht="12.75">
      <c r="A59" s="1485" t="s">
        <v>1034</v>
      </c>
      <c r="B59" s="523">
        <f>'Sources and Uses Budget'!C58</f>
        <v>0</v>
      </c>
      <c r="C59" s="523">
        <f>'Sources and Uses Budget'!C58</f>
        <v>0</v>
      </c>
      <c r="D59" s="523">
        <f>'Sources and Uses Budget'!C58</f>
        <v>0</v>
      </c>
      <c r="E59" s="525">
        <f t="shared" si="0"/>
        <v>0</v>
      </c>
      <c r="F59" s="524"/>
      <c r="G59" s="524"/>
    </row>
    <row r="60" spans="1:7" s="902" customFormat="1" ht="12.75">
      <c r="A60" s="1485" t="s">
        <v>1035</v>
      </c>
      <c r="B60" s="523">
        <f>'Sources and Uses Budget'!C59</f>
        <v>0</v>
      </c>
      <c r="C60" s="523">
        <f>'Sources and Uses Budget'!C59</f>
        <v>0</v>
      </c>
      <c r="D60" s="523">
        <f>'Sources and Uses Budget'!C59</f>
        <v>0</v>
      </c>
      <c r="E60" s="525">
        <f t="shared" si="0"/>
        <v>0</v>
      </c>
      <c r="F60" s="524"/>
      <c r="G60" s="524"/>
    </row>
    <row r="61" spans="1:7" s="902" customFormat="1" ht="13.9" customHeight="1">
      <c r="A61" s="1486" t="s">
        <v>592</v>
      </c>
      <c r="B61" s="523">
        <f>'Sources and Uses Budget'!C60</f>
        <v>0</v>
      </c>
      <c r="C61" s="523">
        <f>'Sources and Uses Budget'!C60</f>
        <v>0</v>
      </c>
      <c r="D61" s="523">
        <f>'Sources and Uses Budget'!C60</f>
        <v>0</v>
      </c>
      <c r="E61" s="525">
        <f t="shared" si="0"/>
        <v>0</v>
      </c>
      <c r="F61" s="524"/>
      <c r="G61" s="524"/>
    </row>
    <row r="62" spans="1:7" s="902" customFormat="1" ht="12.75">
      <c r="A62" s="1484" t="s">
        <v>549</v>
      </c>
      <c r="B62" s="1491">
        <f>'Sources and Uses Budget'!C61</f>
        <v>36724</v>
      </c>
      <c r="C62" s="1491">
        <f>'Sources and Uses Budget'!C61</f>
        <v>36724</v>
      </c>
      <c r="D62" s="1491">
        <f>'Sources and Uses Budget'!C61</f>
        <v>36724</v>
      </c>
      <c r="E62" s="525">
        <f t="shared" si="0"/>
        <v>0</v>
      </c>
      <c r="F62" s="524"/>
      <c r="G62" s="524"/>
    </row>
    <row r="63" spans="1:7" s="902" customFormat="1" ht="12.75">
      <c r="A63" s="1487" t="s">
        <v>550</v>
      </c>
      <c r="B63" s="1491">
        <f>'Sources and Uses Budget'!C62</f>
        <v>43569223</v>
      </c>
      <c r="C63" s="1491">
        <f>'Sources and Uses Budget'!C62</f>
        <v>43569223</v>
      </c>
      <c r="D63" s="1491">
        <f>'Sources and Uses Budget'!C62</f>
        <v>43569223</v>
      </c>
      <c r="E63" s="525">
        <f t="shared" si="0"/>
        <v>0</v>
      </c>
      <c r="F63" s="524"/>
      <c r="G63" s="524"/>
    </row>
    <row r="64" spans="1:7" s="902" customFormat="1" ht="24">
      <c r="A64" s="365" t="s">
        <v>2240</v>
      </c>
      <c r="B64" s="521"/>
      <c r="C64" s="521"/>
      <c r="D64" s="521"/>
      <c r="E64" s="521"/>
      <c r="F64" s="521"/>
      <c r="G64" s="521"/>
    </row>
    <row r="65" spans="1:7" s="902" customFormat="1" ht="12.75">
      <c r="A65" s="369" t="s">
        <v>312</v>
      </c>
      <c r="B65" s="523">
        <f>'Sources and Uses Budget'!C64</f>
        <v>125000</v>
      </c>
      <c r="C65" s="523">
        <f>'Sources and Uses Budget'!C64</f>
        <v>125000</v>
      </c>
      <c r="D65" s="523">
        <f>'Sources and Uses Budget'!C64</f>
        <v>125000</v>
      </c>
      <c r="E65" s="525">
        <f t="shared" si="0"/>
        <v>0</v>
      </c>
      <c r="F65" s="524"/>
      <c r="G65" s="524"/>
    </row>
    <row r="66" spans="1:7" s="902" customFormat="1" ht="24">
      <c r="A66" s="369" t="s">
        <v>2241</v>
      </c>
      <c r="B66" s="523">
        <f>'Sources and Uses Budget'!C65</f>
        <v>250000</v>
      </c>
      <c r="C66" s="523">
        <f>'Sources and Uses Budget'!C65</f>
        <v>250000</v>
      </c>
      <c r="D66" s="523">
        <f>'Sources and Uses Budget'!C65</f>
        <v>250000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0</v>
      </c>
      <c r="C69" s="523">
        <f>'Sources and Uses Budget'!C68</f>
        <v>0</v>
      </c>
      <c r="D69" s="523">
        <f>'Sources and Uses Budget'!C68</f>
        <v>0</v>
      </c>
      <c r="E69" s="525">
        <f t="shared" si="0"/>
        <v>0</v>
      </c>
      <c r="F69" s="524"/>
      <c r="G69" s="524"/>
    </row>
    <row r="70" spans="1:7" s="902" customFormat="1" ht="12.75">
      <c r="A70" s="373" t="s">
        <v>2244</v>
      </c>
      <c r="B70" s="1491">
        <f>'Sources and Uses Budget'!C69</f>
        <v>375000</v>
      </c>
      <c r="C70" s="1491">
        <f>'Sources and Uses Budget'!C69</f>
        <v>375000</v>
      </c>
      <c r="D70" s="1491">
        <f>'Sources and Uses Budget'!C69</f>
        <v>375000</v>
      </c>
      <c r="E70" s="525">
        <f t="shared" si="0"/>
        <v>0</v>
      </c>
      <c r="F70" s="524"/>
      <c r="G70" s="524"/>
    </row>
    <row r="71" spans="1:7" s="902" customFormat="1" ht="12.75">
      <c r="A71" s="1479" t="s">
        <v>313</v>
      </c>
      <c r="B71" s="521"/>
      <c r="C71" s="521"/>
      <c r="D71" s="521"/>
      <c r="E71" s="521"/>
      <c r="F71" s="521"/>
      <c r="G71" s="521"/>
    </row>
    <row r="72" spans="1:7" s="902" customFormat="1" ht="12.75">
      <c r="A72" s="1485" t="s">
        <v>314</v>
      </c>
      <c r="B72" s="523">
        <f>'Sources and Uses Budget'!C71</f>
        <v>0</v>
      </c>
      <c r="C72" s="523">
        <f>'Sources and Uses Budget'!C71</f>
        <v>0</v>
      </c>
      <c r="D72" s="523">
        <f>'Sources and Uses Budget'!C71</f>
        <v>0</v>
      </c>
      <c r="E72" s="525">
        <f t="shared" si="0"/>
        <v>0</v>
      </c>
      <c r="F72" s="524"/>
      <c r="G72" s="524"/>
    </row>
    <row r="73" spans="1:7" s="902" customFormat="1" ht="12.75">
      <c r="A73" s="1485" t="s">
        <v>315</v>
      </c>
      <c r="B73" s="523">
        <f>'Sources and Uses Budget'!C72</f>
        <v>0</v>
      </c>
      <c r="C73" s="523">
        <f>'Sources and Uses Budget'!C72</f>
        <v>0</v>
      </c>
      <c r="D73" s="523">
        <f>'Sources and Uses Budget'!C72</f>
        <v>0</v>
      </c>
      <c r="E73" s="525">
        <f t="shared" si="0"/>
        <v>0</v>
      </c>
      <c r="F73" s="524"/>
      <c r="G73" s="524"/>
    </row>
    <row r="74" spans="1:7" s="902" customFormat="1" ht="12.75">
      <c r="A74" s="1488" t="s">
        <v>1372</v>
      </c>
      <c r="B74" s="523">
        <f>'Sources and Uses Budget'!C73</f>
        <v>0</v>
      </c>
      <c r="C74" s="523">
        <f>'Sources and Uses Budget'!C73</f>
        <v>0</v>
      </c>
      <c r="D74" s="523">
        <f>'Sources and Uses Budget'!C73</f>
        <v>0</v>
      </c>
      <c r="E74" s="525">
        <f>C74-B74</f>
        <v>0</v>
      </c>
      <c r="F74" s="524"/>
      <c r="G74" s="524"/>
    </row>
    <row r="75" spans="1:7" s="902" customFormat="1" ht="12.75">
      <c r="A75" s="1485" t="s">
        <v>316</v>
      </c>
      <c r="B75" s="523">
        <f>'Sources and Uses Budget'!C74</f>
        <v>514772</v>
      </c>
      <c r="C75" s="523">
        <f>'Sources and Uses Budget'!C74</f>
        <v>514772</v>
      </c>
      <c r="D75" s="523">
        <f>'Sources and Uses Budget'!C74</f>
        <v>514772</v>
      </c>
      <c r="E75" s="525">
        <f>C75-B75</f>
        <v>0</v>
      </c>
      <c r="F75" s="524"/>
      <c r="G75" s="524"/>
    </row>
    <row r="76" spans="1:7" s="902" customFormat="1" ht="12.75">
      <c r="A76" s="1489" t="s">
        <v>592</v>
      </c>
      <c r="B76" s="523">
        <f>'Sources and Uses Budget'!C75</f>
        <v>373257</v>
      </c>
      <c r="C76" s="523">
        <f>'Sources and Uses Budget'!C75</f>
        <v>373257</v>
      </c>
      <c r="D76" s="523">
        <f>'Sources and Uses Budget'!C75</f>
        <v>373257</v>
      </c>
      <c r="E76" s="525">
        <f>C76-B76</f>
        <v>0</v>
      </c>
      <c r="F76" s="524"/>
      <c r="G76" s="524"/>
    </row>
    <row r="77" spans="1:7" s="902" customFormat="1" ht="12.75">
      <c r="A77" s="1484" t="s">
        <v>317</v>
      </c>
      <c r="B77" s="1491">
        <f>'Sources and Uses Budget'!C76</f>
        <v>888029</v>
      </c>
      <c r="C77" s="1491">
        <f>'Sources and Uses Budget'!C76</f>
        <v>888029</v>
      </c>
      <c r="D77" s="1491">
        <f>'Sources and Uses Budget'!C76</f>
        <v>888029</v>
      </c>
      <c r="E77" s="525">
        <f>C77-B77</f>
        <v>0</v>
      </c>
      <c r="F77" s="524"/>
      <c r="G77" s="524"/>
    </row>
    <row r="78" spans="1:7" s="902" customFormat="1" ht="12.75">
      <c r="A78" s="1479" t="s">
        <v>1969</v>
      </c>
      <c r="B78" s="521"/>
      <c r="C78" s="521"/>
      <c r="D78" s="521"/>
      <c r="E78" s="521"/>
      <c r="F78" s="521"/>
      <c r="G78" s="521"/>
    </row>
    <row r="79" spans="1:7" s="902" customFormat="1" ht="13.9" customHeight="1">
      <c r="A79" s="1485" t="s">
        <v>1967</v>
      </c>
      <c r="B79" s="523">
        <f>'Sources and Uses Budget'!C78</f>
        <v>2790854</v>
      </c>
      <c r="C79" s="523">
        <f>'Sources and Uses Budget'!C78</f>
        <v>2790854</v>
      </c>
      <c r="D79" s="523">
        <f>'Sources and Uses Budget'!C78</f>
        <v>2790854</v>
      </c>
      <c r="E79" s="525">
        <f t="shared" ref="E79:E105" si="2">C79-B79</f>
        <v>0</v>
      </c>
      <c r="F79" s="524"/>
      <c r="G79" s="524"/>
    </row>
    <row r="80" spans="1:7" s="902" customFormat="1" ht="12.75">
      <c r="A80" s="1485" t="s">
        <v>597</v>
      </c>
      <c r="B80" s="523">
        <f>'Sources and Uses Budget'!C79</f>
        <v>500000</v>
      </c>
      <c r="C80" s="523">
        <f>'Sources and Uses Budget'!C79</f>
        <v>500000</v>
      </c>
      <c r="D80" s="523">
        <f>'Sources and Uses Budget'!C79</f>
        <v>500000</v>
      </c>
      <c r="E80" s="525">
        <f t="shared" si="2"/>
        <v>0</v>
      </c>
      <c r="F80" s="524"/>
      <c r="G80" s="524"/>
    </row>
    <row r="81" spans="1:7" s="902" customFormat="1" ht="12.75">
      <c r="A81" s="1484" t="s">
        <v>1968</v>
      </c>
      <c r="B81" s="1491">
        <f>'Sources and Uses Budget'!C80</f>
        <v>3290854</v>
      </c>
      <c r="C81" s="1491">
        <f>'Sources and Uses Budget'!C80</f>
        <v>3290854</v>
      </c>
      <c r="D81" s="1491">
        <f>'Sources and Uses Budget'!C80</f>
        <v>3290854</v>
      </c>
      <c r="E81" s="525">
        <f t="shared" si="2"/>
        <v>0</v>
      </c>
      <c r="F81" s="524"/>
      <c r="G81" s="524"/>
    </row>
    <row r="82" spans="1:7" s="902" customFormat="1" ht="12.75">
      <c r="A82" s="1479" t="s">
        <v>573</v>
      </c>
      <c r="B82" s="521"/>
      <c r="C82" s="521"/>
      <c r="D82" s="521"/>
      <c r="E82" s="521"/>
      <c r="F82" s="521"/>
      <c r="G82" s="521"/>
    </row>
    <row r="83" spans="1:7" s="902" customFormat="1" ht="12.75">
      <c r="A83" s="369" t="s">
        <v>574</v>
      </c>
      <c r="B83" s="523">
        <f>'Sources and Uses Budget'!C82</f>
        <v>135750</v>
      </c>
      <c r="C83" s="523">
        <f>'Sources and Uses Budget'!C82</f>
        <v>135750</v>
      </c>
      <c r="D83" s="523">
        <f>'Sources and Uses Budget'!C82</f>
        <v>135750</v>
      </c>
      <c r="E83" s="525">
        <f t="shared" si="2"/>
        <v>0</v>
      </c>
      <c r="F83" s="524"/>
      <c r="G83" s="524"/>
    </row>
    <row r="84" spans="1:7" s="902" customFormat="1" ht="12.75">
      <c r="A84" s="369" t="s">
        <v>575</v>
      </c>
      <c r="B84" s="523">
        <f>'Sources and Uses Budget'!C83</f>
        <v>50000</v>
      </c>
      <c r="C84" s="523">
        <f>'Sources and Uses Budget'!C83</f>
        <v>50000</v>
      </c>
      <c r="D84" s="523">
        <f>'Sources and Uses Budget'!C83</f>
        <v>50000</v>
      </c>
      <c r="E84" s="525">
        <f t="shared" si="2"/>
        <v>0</v>
      </c>
      <c r="F84" s="524"/>
      <c r="G84" s="524"/>
    </row>
    <row r="85" spans="1:7" s="902" customFormat="1" ht="12.75">
      <c r="A85" s="369" t="s">
        <v>576</v>
      </c>
      <c r="B85" s="523">
        <f>'Sources and Uses Budget'!C84</f>
        <v>1915000</v>
      </c>
      <c r="C85" s="523">
        <f>'Sources and Uses Budget'!C84</f>
        <v>1915000</v>
      </c>
      <c r="D85" s="523">
        <f>'Sources and Uses Budget'!C84</f>
        <v>1915000</v>
      </c>
      <c r="E85" s="525">
        <f t="shared" si="2"/>
        <v>0</v>
      </c>
      <c r="F85" s="524"/>
      <c r="G85" s="524"/>
    </row>
    <row r="86" spans="1:7" s="902" customFormat="1" ht="12.75">
      <c r="A86" s="369" t="s">
        <v>577</v>
      </c>
      <c r="B86" s="523">
        <f>'Sources and Uses Budget'!C85</f>
        <v>250000</v>
      </c>
      <c r="C86" s="523">
        <f>'Sources and Uses Budget'!C85</f>
        <v>250000</v>
      </c>
      <c r="D86" s="523">
        <f>'Sources and Uses Budget'!C85</f>
        <v>250000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50000</v>
      </c>
      <c r="C88" s="523">
        <f>'Sources and Uses Budget'!C87</f>
        <v>50000</v>
      </c>
      <c r="D88" s="523">
        <f>'Sources and Uses Budget'!C87</f>
        <v>50000</v>
      </c>
      <c r="E88" s="525">
        <f t="shared" si="2"/>
        <v>0</v>
      </c>
      <c r="F88" s="524"/>
      <c r="G88" s="524"/>
    </row>
    <row r="89" spans="1:7" s="902" customFormat="1" ht="12.75">
      <c r="A89" s="369" t="s">
        <v>580</v>
      </c>
      <c r="B89" s="523">
        <f>'Sources and Uses Budget'!C88</f>
        <v>145000</v>
      </c>
      <c r="C89" s="523">
        <f>'Sources and Uses Budget'!C88</f>
        <v>145000</v>
      </c>
      <c r="D89" s="523">
        <f>'Sources and Uses Budget'!C88</f>
        <v>145000</v>
      </c>
      <c r="E89" s="525">
        <f t="shared" si="2"/>
        <v>0</v>
      </c>
      <c r="F89" s="524"/>
      <c r="G89" s="524"/>
    </row>
    <row r="90" spans="1:7" s="902" customFormat="1" ht="12.75">
      <c r="A90" s="369" t="s">
        <v>581</v>
      </c>
      <c r="B90" s="523">
        <f>'Sources and Uses Budget'!C89</f>
        <v>19204</v>
      </c>
      <c r="C90" s="523">
        <f>'Sources and Uses Budget'!C89</f>
        <v>19204</v>
      </c>
      <c r="D90" s="523">
        <f>'Sources and Uses Budget'!C89</f>
        <v>19204</v>
      </c>
      <c r="E90" s="525">
        <f t="shared" si="2"/>
        <v>0</v>
      </c>
      <c r="F90" s="524"/>
      <c r="G90" s="524"/>
    </row>
    <row r="91" spans="1:7" s="902" customFormat="1" ht="12.75">
      <c r="A91" s="380" t="s">
        <v>1454</v>
      </c>
      <c r="B91" s="523">
        <f>'Sources and Uses Budget'!C90</f>
        <v>80000</v>
      </c>
      <c r="C91" s="523">
        <f>'Sources and Uses Budget'!C90</f>
        <v>80000</v>
      </c>
      <c r="D91" s="523">
        <f>'Sources and Uses Budget'!C90</f>
        <v>80000</v>
      </c>
      <c r="E91" s="525">
        <f t="shared" si="2"/>
        <v>0</v>
      </c>
      <c r="F91" s="524"/>
      <c r="G91" s="524"/>
    </row>
    <row r="92" spans="1:7" s="902" customFormat="1" ht="12.75">
      <c r="A92" s="380" t="s">
        <v>1966</v>
      </c>
      <c r="B92" s="523">
        <f>'Sources and Uses Budget'!C91</f>
        <v>10000</v>
      </c>
      <c r="C92" s="523">
        <f>'Sources and Uses Budget'!C91</f>
        <v>10000</v>
      </c>
      <c r="D92" s="523">
        <f>'Sources and Uses Budget'!C91</f>
        <v>10000</v>
      </c>
      <c r="E92" s="525">
        <f t="shared" si="2"/>
        <v>0</v>
      </c>
      <c r="F92" s="524"/>
      <c r="G92" s="524"/>
    </row>
    <row r="93" spans="1:7" s="902" customFormat="1" ht="12.75">
      <c r="A93" s="376" t="s">
        <v>592</v>
      </c>
      <c r="B93" s="523">
        <f>'Sources and Uses Budget'!C92</f>
        <v>0</v>
      </c>
      <c r="C93" s="523">
        <f>'Sources and Uses Budget'!C92</f>
        <v>0</v>
      </c>
      <c r="D93" s="523">
        <f>'Sources and Uses Budget'!C92</f>
        <v>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491">
        <f>'Sources and Uses Budget'!C95</f>
        <v>2654954</v>
      </c>
      <c r="C96" s="1491">
        <f>'Sources and Uses Budget'!C95</f>
        <v>2654954</v>
      </c>
      <c r="D96" s="1491">
        <f>'Sources and Uses Budget'!C95</f>
        <v>2654954</v>
      </c>
      <c r="E96" s="525">
        <f t="shared" si="2"/>
        <v>0</v>
      </c>
      <c r="F96" s="524"/>
      <c r="G96" s="524"/>
    </row>
    <row r="97" spans="1:7" s="901" customFormat="1" ht="12.75">
      <c r="A97" s="373" t="s">
        <v>583</v>
      </c>
      <c r="B97" s="1491">
        <f>'Sources and Uses Budget'!C96</f>
        <v>50778060</v>
      </c>
      <c r="C97" s="1491">
        <f>'Sources and Uses Budget'!C96</f>
        <v>50778060</v>
      </c>
      <c r="D97" s="1491">
        <f>'Sources and Uses Budget'!C96</f>
        <v>50778060</v>
      </c>
      <c r="E97" s="525">
        <f t="shared" si="2"/>
        <v>0</v>
      </c>
      <c r="F97" s="524"/>
      <c r="G97" s="524"/>
    </row>
    <row r="98" spans="1:7" s="901" customFormat="1" ht="12.75">
      <c r="A98" s="1479"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86" t="s">
        <v>592</v>
      </c>
      <c r="B103" s="523">
        <f>'Sources and Uses Budget'!C102</f>
        <v>0</v>
      </c>
      <c r="C103" s="523">
        <f>'Sources and Uses Budget'!C102</f>
        <v>0</v>
      </c>
      <c r="D103" s="523">
        <f>'Sources and Uses Budget'!C102</f>
        <v>0</v>
      </c>
      <c r="E103" s="525">
        <f t="shared" si="2"/>
        <v>0</v>
      </c>
      <c r="F103" s="524"/>
      <c r="G103" s="524"/>
    </row>
    <row r="104" spans="1:7" s="901" customFormat="1" ht="12.75">
      <c r="A104" s="1484" t="s">
        <v>587</v>
      </c>
      <c r="B104" s="1491">
        <f>'Sources and Uses Budget'!C103</f>
        <v>2200000</v>
      </c>
      <c r="C104" s="1491">
        <f>'Sources and Uses Budget'!C103</f>
        <v>2200000</v>
      </c>
      <c r="D104" s="1491">
        <f>'Sources and Uses Budget'!C103</f>
        <v>2200000</v>
      </c>
      <c r="E104" s="525">
        <f t="shared" si="2"/>
        <v>0</v>
      </c>
      <c r="F104" s="524"/>
      <c r="G104" s="524"/>
    </row>
    <row r="105" spans="1:7" s="901" customFormat="1" ht="12.75">
      <c r="A105" s="1484" t="s">
        <v>588</v>
      </c>
      <c r="B105" s="1491">
        <f>'Sources and Uses Budget'!C104</f>
        <v>52978060</v>
      </c>
      <c r="C105" s="1491">
        <f>'Sources and Uses Budget'!C104</f>
        <v>52978060</v>
      </c>
      <c r="D105" s="1491">
        <f>'Sources and Uses Budget'!C104</f>
        <v>52978060</v>
      </c>
      <c r="E105" s="525">
        <f t="shared" si="2"/>
        <v>0</v>
      </c>
      <c r="F105" s="524"/>
      <c r="G105" s="1490"/>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28"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6" t="s">
        <v>333</v>
      </c>
      <c r="B2" s="1567"/>
      <c r="C2" s="1567"/>
      <c r="D2" s="1567"/>
      <c r="E2" s="1567"/>
      <c r="F2" s="1567"/>
      <c r="G2" s="1567"/>
      <c r="H2" s="1567"/>
      <c r="I2" s="1567"/>
      <c r="J2" s="1567"/>
    </row>
    <row r="3" spans="1:10" ht="15">
      <c r="A3" s="1568" t="s">
        <v>2313</v>
      </c>
      <c r="B3" s="1567"/>
      <c r="C3" s="1567"/>
      <c r="D3" s="1567"/>
      <c r="E3" s="1567"/>
      <c r="F3" s="1567"/>
      <c r="G3" s="1567"/>
      <c r="H3" s="1567"/>
      <c r="I3" s="1567"/>
      <c r="J3" s="1567"/>
    </row>
    <row r="4" spans="1:10"/>
    <row r="5" spans="1:10">
      <c r="A5" s="1569" t="s">
        <v>2315</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2"/>
      <c r="B9" s="1122"/>
      <c r="C9" s="1122"/>
      <c r="D9" s="1122"/>
      <c r="E9" s="1122"/>
      <c r="F9" s="1122"/>
      <c r="G9" s="1122"/>
      <c r="H9" s="1122"/>
      <c r="I9" s="1122"/>
      <c r="J9" s="1122"/>
    </row>
    <row r="10" spans="1:10" ht="12.75" customHeight="1">
      <c r="A10" s="1493" t="s">
        <v>2316</v>
      </c>
      <c r="B10" s="1492"/>
      <c r="C10" s="1492"/>
      <c r="D10" s="1492"/>
      <c r="E10" s="1492"/>
      <c r="F10" s="1492"/>
      <c r="G10" s="1492"/>
      <c r="H10" s="1492"/>
      <c r="I10" s="1492"/>
      <c r="J10" s="1492"/>
    </row>
    <row r="11" spans="1:10"/>
    <row r="12" spans="1:10" ht="12.75" customHeight="1">
      <c r="A12" s="1569" t="s">
        <v>2128</v>
      </c>
      <c r="B12" s="1571"/>
      <c r="C12" s="1571"/>
      <c r="D12" s="1571"/>
      <c r="E12" s="1571"/>
      <c r="F12" s="1571"/>
      <c r="G12" s="1571"/>
      <c r="H12" s="1571"/>
      <c r="I12" s="1571"/>
      <c r="J12" s="1571"/>
    </row>
    <row r="13" spans="1:10" ht="12.75"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1148</v>
      </c>
      <c r="B18" s="1122"/>
      <c r="C18" s="1122"/>
      <c r="D18" s="1122"/>
      <c r="E18" s="1122"/>
      <c r="F18" s="1122"/>
      <c r="G18" s="1122"/>
      <c r="H18" s="1122"/>
      <c r="I18" s="1122"/>
      <c r="J18" s="1122"/>
    </row>
    <row r="19" spans="1:10">
      <c r="A19" s="1123" t="s">
        <v>255</v>
      </c>
      <c r="B19" s="1123"/>
      <c r="C19" s="1123"/>
      <c r="D19" s="1123"/>
      <c r="E19" s="1123"/>
      <c r="F19" s="1123"/>
      <c r="G19" s="1123"/>
      <c r="H19" s="1123"/>
      <c r="I19" s="1123"/>
      <c r="J19" s="1123"/>
    </row>
    <row r="20" spans="1:10">
      <c r="A20" s="1572" t="s">
        <v>1130</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1149</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1130</v>
      </c>
    </row>
    <row r="62" spans="1:10"/>
    <row r="63" spans="1:10"/>
    <row r="64" spans="1:10"/>
    <row r="65" spans="1:9"/>
    <row r="66" spans="1:9"/>
    <row r="67" spans="1:9"/>
    <row r="68" spans="1:9"/>
    <row r="69" spans="1:9"/>
    <row r="70" spans="1:9"/>
    <row r="71" spans="1:9"/>
    <row r="72" spans="1:9">
      <c r="A72" s="1565" t="s">
        <v>1265</v>
      </c>
      <c r="B72" s="1565"/>
      <c r="C72" s="1565"/>
      <c r="D72" s="1565"/>
      <c r="E72" s="1565"/>
      <c r="F72" s="1565"/>
      <c r="G72" s="1565"/>
      <c r="H72" s="1565"/>
      <c r="I72" s="1565"/>
    </row>
    <row r="73" spans="1:9">
      <c r="A73" s="1564" t="s">
        <v>1424</v>
      </c>
      <c r="B73" s="1564"/>
      <c r="C73" s="1564"/>
      <c r="D73" s="1564"/>
      <c r="E73" s="1564"/>
      <c r="F73" s="1121"/>
    </row>
    <row r="74" spans="1:9">
      <c r="A74" s="1564" t="s">
        <v>1423</v>
      </c>
      <c r="B74" s="1564"/>
      <c r="C74" s="1564"/>
      <c r="D74" s="1564"/>
      <c r="E74" s="1564"/>
      <c r="F74" s="1121"/>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zoomScaleNormal="100" zoomScaleSheetLayoutView="100" workbookViewId="0">
      <selection activeCell="B762" sqref="B762"/>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1" t="s">
        <v>2304</v>
      </c>
      <c r="B2" s="1611"/>
      <c r="C2" s="1612"/>
      <c r="D2" s="1612"/>
      <c r="E2" s="1612"/>
      <c r="F2" s="1612"/>
      <c r="G2" s="1612"/>
      <c r="I2" s="2" t="s">
        <v>86</v>
      </c>
    </row>
    <row r="3" spans="1:9" ht="12.75">
      <c r="A3" s="298"/>
      <c r="B3" s="298"/>
      <c r="C3" s="13"/>
      <c r="D3" s="13"/>
      <c r="E3" s="13"/>
      <c r="F3" s="13"/>
      <c r="G3" s="709"/>
      <c r="I3" s="329" t="s">
        <v>1548</v>
      </c>
    </row>
    <row r="4" spans="1:9" ht="12.75">
      <c r="A4" s="1613" t="s">
        <v>1157</v>
      </c>
      <c r="B4" s="1613"/>
      <c r="C4" s="1614"/>
      <c r="D4" s="1614"/>
      <c r="E4" s="1614"/>
      <c r="F4" s="1614"/>
      <c r="G4" s="1614"/>
      <c r="I4" s="329" t="s">
        <v>1531</v>
      </c>
    </row>
    <row r="5" spans="1:9" ht="12.75">
      <c r="A5" s="1613" t="s">
        <v>1158</v>
      </c>
      <c r="B5" s="1613"/>
      <c r="C5" s="1614"/>
      <c r="D5" s="1614"/>
      <c r="E5" s="1614"/>
      <c r="F5" s="1614"/>
      <c r="G5" s="1614"/>
      <c r="I5" s="2" t="s">
        <v>136</v>
      </c>
    </row>
    <row r="6" spans="1:9" ht="13.7" customHeight="1">
      <c r="A6" s="14"/>
      <c r="B6" s="14"/>
      <c r="C6" s="14"/>
      <c r="D6" s="282"/>
      <c r="E6" s="282"/>
      <c r="F6" s="282"/>
    </row>
    <row r="7" spans="1:9" ht="12.75">
      <c r="A7" s="1615" t="s">
        <v>1586</v>
      </c>
      <c r="B7" s="1615"/>
      <c r="C7" s="1616"/>
      <c r="D7" s="1616"/>
      <c r="E7" s="1616"/>
      <c r="F7" s="1616"/>
      <c r="G7" s="1616"/>
    </row>
    <row r="8" spans="1:9" ht="12.75">
      <c r="A8" s="1615" t="s">
        <v>1587</v>
      </c>
      <c r="B8" s="1615"/>
      <c r="C8" s="1616"/>
      <c r="D8" s="1616"/>
      <c r="E8" s="1616"/>
      <c r="F8" s="1616"/>
      <c r="G8" s="1616"/>
    </row>
    <row r="9" spans="1:9" ht="12.75">
      <c r="A9" s="301"/>
      <c r="B9" s="301"/>
      <c r="C9" s="298"/>
      <c r="D9" s="298"/>
      <c r="E9" s="298"/>
      <c r="F9" s="298"/>
      <c r="G9" s="406"/>
    </row>
    <row r="10" spans="1:9" ht="12.75">
      <c r="A10" s="1617" t="s">
        <v>1735</v>
      </c>
      <c r="B10" s="1617"/>
      <c r="C10" s="1617"/>
      <c r="D10" s="1617"/>
      <c r="E10" s="1617"/>
      <c r="F10" s="1617"/>
      <c r="G10" s="1617"/>
    </row>
    <row r="11" spans="1:9" ht="12.75">
      <c r="A11" s="414"/>
      <c r="B11" s="414"/>
      <c r="C11" s="14"/>
      <c r="D11" s="282"/>
      <c r="E11" s="282"/>
      <c r="F11" s="282"/>
    </row>
    <row r="12" spans="1:9" ht="13.7" customHeight="1">
      <c r="A12" s="140"/>
      <c r="B12" s="140"/>
      <c r="C12" s="298"/>
      <c r="D12" s="1618" t="s">
        <v>1734</v>
      </c>
      <c r="E12" s="1618"/>
      <c r="F12" s="1618"/>
      <c r="G12" s="951"/>
    </row>
    <row r="13" spans="1:9" ht="12.75">
      <c r="A13" s="140"/>
      <c r="B13" s="140"/>
      <c r="C13" s="298"/>
      <c r="D13" s="1618"/>
      <c r="E13" s="1618"/>
      <c r="F13" s="1618"/>
      <c r="G13" s="951"/>
    </row>
    <row r="14" spans="1:9" ht="12.75">
      <c r="A14" s="415"/>
      <c r="B14" s="415"/>
      <c r="C14" s="299"/>
      <c r="D14" s="1577" t="s">
        <v>1573</v>
      </c>
      <c r="E14" s="1577"/>
      <c r="F14" s="1577"/>
      <c r="G14" s="484"/>
    </row>
    <row r="15" spans="1:9" ht="12.75">
      <c r="A15" s="415"/>
      <c r="B15" s="415"/>
      <c r="C15" s="299"/>
      <c r="D15" s="282"/>
      <c r="E15" s="282"/>
      <c r="F15" s="282"/>
    </row>
    <row r="16" spans="1:9" ht="14.45" customHeight="1">
      <c r="A16" s="413"/>
      <c r="B16" s="950" t="s">
        <v>1531</v>
      </c>
      <c r="C16" s="299"/>
      <c r="D16" s="1575" t="s">
        <v>1530</v>
      </c>
      <c r="E16" s="1575"/>
      <c r="F16" s="1575"/>
      <c r="G16" s="568"/>
    </row>
    <row r="17" spans="1:7" ht="14.45" customHeight="1">
      <c r="A17" s="413"/>
      <c r="B17" s="14"/>
      <c r="C17" s="299"/>
      <c r="D17" s="1575"/>
      <c r="E17" s="1575"/>
      <c r="F17" s="1575"/>
      <c r="G17" s="568"/>
    </row>
    <row r="18" spans="1:7" ht="12.75">
      <c r="A18" s="415"/>
      <c r="B18" s="14"/>
      <c r="C18" s="299"/>
      <c r="D18" s="1575"/>
      <c r="E18" s="1575"/>
      <c r="F18" s="1575"/>
      <c r="G18" s="568"/>
    </row>
    <row r="19" spans="1:7" ht="12.75">
      <c r="A19" s="415"/>
      <c r="B19" s="415"/>
      <c r="C19" s="299"/>
      <c r="D19" s="282"/>
      <c r="E19" s="282"/>
      <c r="F19" s="282"/>
    </row>
    <row r="20" spans="1:7" ht="14.25">
      <c r="A20" s="413"/>
      <c r="B20" s="950" t="s">
        <v>1531</v>
      </c>
      <c r="C20" s="14"/>
      <c r="D20" s="1584" t="s">
        <v>1564</v>
      </c>
      <c r="E20" s="1584"/>
      <c r="F20" s="1584"/>
    </row>
    <row r="21" spans="1:7" ht="14.25">
      <c r="A21" s="413"/>
      <c r="B21" s="413"/>
      <c r="C21" s="14"/>
      <c r="D21" s="287"/>
      <c r="E21" s="282"/>
      <c r="F21" s="282"/>
    </row>
    <row r="22" spans="1:7" ht="14.25">
      <c r="A22" s="413"/>
      <c r="B22" s="950" t="s">
        <v>136</v>
      </c>
      <c r="C22" s="14"/>
      <c r="D22" s="1575" t="s">
        <v>1565</v>
      </c>
      <c r="E22" s="1575"/>
      <c r="F22" s="1575"/>
    </row>
    <row r="23" spans="1:7" ht="14.25">
      <c r="A23" s="413"/>
      <c r="B23" s="413"/>
      <c r="C23" s="14"/>
      <c r="D23" s="1575"/>
      <c r="E23" s="1575"/>
      <c r="F23" s="1575"/>
    </row>
    <row r="24" spans="1:7" ht="14.25">
      <c r="A24" s="413"/>
      <c r="B24" s="413"/>
      <c r="C24" s="14"/>
      <c r="D24" s="287"/>
      <c r="E24" s="282"/>
      <c r="F24" s="282"/>
    </row>
    <row r="25" spans="1:7" ht="14.25" customHeight="1">
      <c r="A25" s="570"/>
      <c r="B25" s="950" t="s">
        <v>1531</v>
      </c>
      <c r="D25" s="1608" t="s">
        <v>1567</v>
      </c>
      <c r="E25" s="1608"/>
      <c r="F25" s="1608"/>
    </row>
    <row r="26" spans="1:7" ht="14.25">
      <c r="A26" s="570"/>
      <c r="B26" s="570"/>
      <c r="D26" s="1608"/>
      <c r="E26" s="1608"/>
      <c r="F26" s="1608"/>
    </row>
    <row r="27" spans="1:7" ht="14.25">
      <c r="A27" s="570"/>
      <c r="B27" s="570"/>
      <c r="D27" s="1608"/>
      <c r="E27" s="1608"/>
      <c r="F27" s="1608"/>
    </row>
    <row r="28" spans="1:7" ht="14.25">
      <c r="A28" s="570"/>
      <c r="B28" s="570"/>
      <c r="D28" s="1608"/>
      <c r="E28" s="1608"/>
      <c r="F28" s="1608"/>
    </row>
    <row r="29" spans="1:7" ht="14.25">
      <c r="A29" s="570"/>
      <c r="B29" s="570"/>
      <c r="D29" s="1608"/>
      <c r="E29" s="1608"/>
      <c r="F29" s="1608"/>
    </row>
    <row r="30" spans="1:7" ht="14.25">
      <c r="A30" s="570"/>
      <c r="B30" s="570"/>
      <c r="D30" s="910"/>
      <c r="F30" s="955"/>
    </row>
    <row r="31" spans="1:7" ht="14.45" customHeight="1">
      <c r="A31" s="570"/>
      <c r="B31" s="950" t="s">
        <v>1531</v>
      </c>
      <c r="D31" s="1619" t="s">
        <v>1566</v>
      </c>
      <c r="E31" s="1619"/>
      <c r="F31" s="1619"/>
    </row>
    <row r="32" spans="1:7" ht="14.25">
      <c r="A32" s="570"/>
      <c r="B32" s="570"/>
      <c r="D32" s="1619"/>
      <c r="E32" s="1619"/>
      <c r="F32" s="1619"/>
    </row>
    <row r="33" spans="1:6" ht="14.25">
      <c r="A33" s="413"/>
      <c r="B33" s="413"/>
      <c r="C33" s="14"/>
      <c r="D33" s="954"/>
      <c r="E33" s="954"/>
      <c r="F33" s="954"/>
    </row>
    <row r="34" spans="1:6" ht="14.25">
      <c r="A34" s="413"/>
      <c r="B34" s="1544" t="s">
        <v>1531</v>
      </c>
      <c r="C34" s="14"/>
      <c r="D34" s="1620" t="s">
        <v>1979</v>
      </c>
      <c r="E34" s="1619"/>
      <c r="F34" s="1619"/>
    </row>
    <row r="35" spans="1:6" ht="14.25">
      <c r="A35" s="413"/>
      <c r="B35" s="413"/>
      <c r="C35" s="14"/>
      <c r="D35" s="1619"/>
      <c r="E35" s="1619"/>
      <c r="F35" s="1619"/>
    </row>
    <row r="36" spans="1:6" ht="14.25">
      <c r="A36" s="413"/>
      <c r="B36" s="413"/>
      <c r="C36" s="14"/>
      <c r="D36" s="1619"/>
      <c r="E36" s="1619"/>
      <c r="F36" s="1619"/>
    </row>
    <row r="37" spans="1:6" ht="14.25">
      <c r="A37" s="413"/>
      <c r="B37" s="413"/>
      <c r="C37" s="14"/>
      <c r="D37" s="1619"/>
      <c r="E37" s="1619"/>
      <c r="F37" s="1619"/>
    </row>
    <row r="38" spans="1:6" ht="14.25">
      <c r="A38" s="413"/>
      <c r="B38" s="413"/>
      <c r="C38" s="14"/>
      <c r="D38" s="1619"/>
      <c r="E38" s="1619"/>
      <c r="F38" s="1619"/>
    </row>
    <row r="39" spans="1:6" ht="14.25">
      <c r="A39" s="413"/>
      <c r="B39" s="413"/>
      <c r="C39" s="14"/>
      <c r="D39" s="1619"/>
      <c r="E39" s="1619"/>
      <c r="F39" s="1619"/>
    </row>
    <row r="40" spans="1:6" ht="14.25">
      <c r="A40" s="413"/>
      <c r="B40" s="413"/>
      <c r="C40" s="14"/>
      <c r="D40" s="1619"/>
      <c r="E40" s="1619"/>
      <c r="F40" s="1619"/>
    </row>
    <row r="41" spans="1:6" ht="14.25">
      <c r="A41" s="413"/>
      <c r="B41" s="413"/>
      <c r="C41" s="14"/>
      <c r="D41" s="1619"/>
      <c r="E41" s="1619"/>
      <c r="F41" s="1619"/>
    </row>
    <row r="42" spans="1:6" ht="14.25">
      <c r="A42" s="413"/>
      <c r="B42" s="413"/>
      <c r="C42" s="14"/>
      <c r="D42" s="957"/>
      <c r="E42" s="957"/>
      <c r="F42" s="957"/>
    </row>
    <row r="43" spans="1:6" ht="14.45" customHeight="1">
      <c r="A43" s="413"/>
      <c r="B43" s="1544" t="s">
        <v>1531</v>
      </c>
      <c r="C43" s="14"/>
      <c r="D43" s="1619" t="s">
        <v>1608</v>
      </c>
      <c r="E43" s="1619"/>
      <c r="F43" s="1619"/>
    </row>
    <row r="44" spans="1:6" ht="14.25">
      <c r="A44" s="413"/>
      <c r="B44" s="413"/>
      <c r="C44" s="14"/>
      <c r="D44" s="1619"/>
      <c r="E44" s="1619"/>
      <c r="F44" s="1619"/>
    </row>
    <row r="45" spans="1:6" ht="14.25">
      <c r="A45" s="413"/>
      <c r="B45" s="413"/>
      <c r="C45" s="14"/>
      <c r="D45" s="1619"/>
      <c r="E45" s="1619"/>
      <c r="F45" s="1619"/>
    </row>
    <row r="46" spans="1:6" ht="14.25">
      <c r="A46" s="413"/>
      <c r="B46" s="413"/>
      <c r="C46" s="14"/>
      <c r="D46" s="1619"/>
      <c r="E46" s="1619"/>
      <c r="F46" s="1619"/>
    </row>
    <row r="47" spans="1:6" ht="14.25">
      <c r="A47" s="413"/>
      <c r="B47" s="413"/>
      <c r="C47" s="14"/>
      <c r="D47" s="1619"/>
      <c r="E47" s="1619"/>
      <c r="F47" s="1619"/>
    </row>
    <row r="48" spans="1:6" ht="14.25">
      <c r="A48" s="413"/>
      <c r="B48" s="413"/>
      <c r="C48" s="14"/>
      <c r="D48" s="403"/>
    </row>
    <row r="49" spans="1:6" ht="14.25">
      <c r="A49" s="413"/>
      <c r="B49" s="1544" t="s">
        <v>136</v>
      </c>
      <c r="C49" s="14"/>
      <c r="D49" s="1620" t="s">
        <v>2148</v>
      </c>
      <c r="E49" s="1619"/>
      <c r="F49" s="1619"/>
    </row>
    <row r="50" spans="1:6" ht="14.25">
      <c r="A50" s="413"/>
      <c r="B50" s="413"/>
      <c r="C50" s="14"/>
      <c r="D50" s="1619"/>
      <c r="E50" s="1619"/>
      <c r="F50" s="1619"/>
    </row>
    <row r="51" spans="1:6" ht="14.25">
      <c r="A51" s="413"/>
      <c r="B51" s="413"/>
      <c r="C51" s="14"/>
      <c r="D51" s="1619"/>
      <c r="E51" s="1619"/>
      <c r="F51" s="1619"/>
    </row>
    <row r="52" spans="1:6" ht="14.25">
      <c r="A52" s="413"/>
      <c r="B52" s="413"/>
      <c r="C52" s="14"/>
      <c r="D52" s="1619"/>
      <c r="E52" s="1619"/>
      <c r="F52" s="1619"/>
    </row>
    <row r="53" spans="1:6" ht="14.25">
      <c r="A53" s="413"/>
      <c r="B53" s="413"/>
      <c r="C53" s="14"/>
      <c r="D53" s="1619"/>
      <c r="E53" s="1619"/>
      <c r="F53" s="1619"/>
    </row>
    <row r="54" spans="1:6" ht="15" customHeight="1">
      <c r="A54" s="413"/>
      <c r="B54" s="413"/>
      <c r="C54" s="14"/>
      <c r="D54" s="1619"/>
      <c r="E54" s="1619"/>
      <c r="F54" s="1619"/>
    </row>
    <row r="55" spans="1:6" ht="14.25">
      <c r="A55" s="413"/>
      <c r="B55" s="413"/>
      <c r="C55" s="14"/>
      <c r="D55" s="2"/>
    </row>
    <row r="56" spans="1:6" ht="14.25">
      <c r="A56" s="413"/>
      <c r="B56" s="1544" t="s">
        <v>136</v>
      </c>
      <c r="C56" s="14"/>
      <c r="D56" s="1620" t="s">
        <v>2201</v>
      </c>
      <c r="E56" s="1619"/>
      <c r="F56" s="1619"/>
    </row>
    <row r="57" spans="1:6" ht="14.25">
      <c r="A57" s="413"/>
      <c r="B57" s="413"/>
      <c r="C57" s="14"/>
      <c r="D57" s="1619"/>
      <c r="E57" s="1619"/>
      <c r="F57" s="1619"/>
    </row>
    <row r="58" spans="1:6" ht="14.25">
      <c r="A58" s="413"/>
      <c r="B58" s="413"/>
      <c r="C58" s="14"/>
      <c r="D58" s="1619"/>
      <c r="E58" s="1619"/>
      <c r="F58" s="1619"/>
    </row>
    <row r="59" spans="1:6" ht="14.25">
      <c r="A59" s="413"/>
      <c r="B59" s="413"/>
      <c r="C59" s="14"/>
      <c r="D59" s="1619"/>
      <c r="E59" s="1619"/>
      <c r="F59" s="1619"/>
    </row>
    <row r="60" spans="1:6" ht="17.25" customHeight="1">
      <c r="A60" s="413"/>
      <c r="B60" s="413"/>
      <c r="C60" s="14"/>
      <c r="D60" s="1619"/>
      <c r="E60" s="1619"/>
      <c r="F60" s="1619"/>
    </row>
    <row r="61" spans="1:6" ht="14.25" customHeight="1">
      <c r="A61" s="413"/>
      <c r="B61" s="1544" t="s">
        <v>136</v>
      </c>
      <c r="C61" s="14"/>
      <c r="D61" s="1573" t="s">
        <v>1613</v>
      </c>
      <c r="E61" s="1573"/>
      <c r="F61" s="1573"/>
    </row>
    <row r="62" spans="1:6" ht="15" customHeight="1">
      <c r="A62" s="413"/>
      <c r="B62" s="413"/>
      <c r="C62" s="14"/>
      <c r="D62" s="1573"/>
      <c r="E62" s="1573"/>
      <c r="F62" s="1573"/>
    </row>
    <row r="63" spans="1:6" ht="21.6" customHeight="1">
      <c r="A63" s="413"/>
      <c r="B63" s="413"/>
      <c r="C63" s="14"/>
      <c r="D63" s="1573"/>
      <c r="E63" s="1573"/>
      <c r="F63" s="1573"/>
    </row>
    <row r="64" spans="1:6" ht="14.25">
      <c r="A64" s="413"/>
      <c r="B64" s="413"/>
      <c r="C64" s="14"/>
      <c r="D64" s="136"/>
    </row>
    <row r="65" spans="1:6" ht="14.25">
      <c r="A65" s="570"/>
      <c r="B65" s="950" t="s">
        <v>1531</v>
      </c>
      <c r="D65" s="1619" t="s">
        <v>1614</v>
      </c>
      <c r="E65" s="1619"/>
      <c r="F65" s="1619"/>
    </row>
    <row r="66" spans="1:6" ht="14.25">
      <c r="A66" s="570"/>
      <c r="B66" s="570"/>
      <c r="D66" s="1619"/>
      <c r="E66" s="1619"/>
      <c r="F66" s="1619"/>
    </row>
    <row r="67" spans="1:6" ht="14.25">
      <c r="A67" s="413"/>
      <c r="B67" s="413"/>
      <c r="C67" s="14"/>
      <c r="D67" s="136"/>
    </row>
    <row r="68" spans="1:6" ht="14.25">
      <c r="A68" s="413"/>
      <c r="B68" s="1544" t="s">
        <v>136</v>
      </c>
      <c r="C68" s="14"/>
      <c r="D68" s="1619" t="s">
        <v>1733</v>
      </c>
      <c r="E68" s="1619"/>
      <c r="F68" s="1619"/>
    </row>
    <row r="69" spans="1:6" ht="12.75">
      <c r="A69" s="140"/>
      <c r="B69" s="140"/>
      <c r="C69" s="14"/>
      <c r="D69" s="1619"/>
      <c r="E69" s="1619"/>
      <c r="F69" s="1619"/>
    </row>
    <row r="70" spans="1:6" ht="12.75">
      <c r="A70" s="140"/>
      <c r="B70" s="140"/>
      <c r="C70" s="14"/>
      <c r="D70" s="1619"/>
      <c r="E70" s="1619"/>
      <c r="F70" s="1619"/>
    </row>
    <row r="71" spans="1:6" ht="12.75">
      <c r="A71" s="140"/>
      <c r="B71" s="140"/>
      <c r="C71" s="14"/>
      <c r="D71" s="282"/>
      <c r="E71" s="282"/>
      <c r="F71" s="282"/>
    </row>
    <row r="72" spans="1:6" ht="14.25">
      <c r="A72" s="413" t="s">
        <v>255</v>
      </c>
      <c r="B72" s="1544" t="s">
        <v>136</v>
      </c>
      <c r="C72" s="14"/>
      <c r="D72" s="1619" t="s">
        <v>1615</v>
      </c>
      <c r="E72" s="1619"/>
      <c r="F72" s="1619"/>
    </row>
    <row r="73" spans="1:6" ht="12.75">
      <c r="A73" s="140"/>
      <c r="B73" s="140"/>
      <c r="C73" s="14"/>
      <c r="D73" s="1619"/>
      <c r="E73" s="1619"/>
      <c r="F73" s="1619"/>
    </row>
    <row r="74" spans="1:6" ht="12.75">
      <c r="A74" s="140"/>
      <c r="B74" s="140"/>
      <c r="C74" s="14"/>
      <c r="D74" s="282"/>
      <c r="E74" s="282"/>
      <c r="F74" s="282"/>
    </row>
    <row r="75" spans="1:6" ht="14.25">
      <c r="A75" s="413" t="s">
        <v>255</v>
      </c>
      <c r="B75" s="950" t="s">
        <v>1531</v>
      </c>
      <c r="C75" s="14"/>
      <c r="D75" s="1619" t="s">
        <v>1616</v>
      </c>
      <c r="E75" s="1619"/>
      <c r="F75" s="1619"/>
    </row>
    <row r="76" spans="1:6" ht="12.75">
      <c r="A76" s="140"/>
      <c r="B76" s="140"/>
      <c r="C76" s="14"/>
      <c r="D76" s="1619"/>
      <c r="E76" s="1619"/>
      <c r="F76" s="1619"/>
    </row>
    <row r="77" spans="1:6" ht="12.75">
      <c r="A77" s="140"/>
      <c r="B77" s="140"/>
      <c r="C77" s="14"/>
      <c r="D77" s="1619"/>
      <c r="E77" s="1619"/>
      <c r="F77" s="1619"/>
    </row>
    <row r="78" spans="1:6" ht="12.75">
      <c r="A78" s="140"/>
      <c r="B78" s="140"/>
      <c r="C78" s="14"/>
      <c r="D78" s="403"/>
      <c r="E78" s="282"/>
      <c r="F78" s="282"/>
    </row>
    <row r="79" spans="1:6" ht="14.25">
      <c r="A79" s="413" t="s">
        <v>255</v>
      </c>
      <c r="B79" s="950" t="s">
        <v>1531</v>
      </c>
      <c r="C79" s="14"/>
      <c r="D79" s="1575" t="s">
        <v>1617</v>
      </c>
      <c r="E79" s="1575"/>
      <c r="F79" s="1575"/>
    </row>
    <row r="80" spans="1:6" ht="12.75">
      <c r="A80" s="140"/>
      <c r="B80" s="140"/>
      <c r="C80" s="14"/>
      <c r="D80" s="1575"/>
      <c r="E80" s="1575"/>
      <c r="F80" s="1575"/>
    </row>
    <row r="81" spans="1:7" ht="12.75">
      <c r="A81" s="140"/>
      <c r="B81" s="140"/>
      <c r="C81" s="14"/>
      <c r="D81" s="282"/>
      <c r="E81" s="282"/>
      <c r="F81" s="282"/>
    </row>
    <row r="82" spans="1:7" ht="12.75">
      <c r="A82" s="1591" t="s">
        <v>1536</v>
      </c>
      <c r="B82" s="1591"/>
      <c r="C82" s="1591"/>
      <c r="D82" s="1591"/>
      <c r="E82" s="1591"/>
      <c r="F82" s="1591"/>
      <c r="G82" s="1591"/>
    </row>
    <row r="83" spans="1:7" ht="12.75">
      <c r="A83" s="140"/>
      <c r="B83" s="140"/>
      <c r="C83" s="14"/>
      <c r="D83" s="282"/>
      <c r="E83" s="2"/>
      <c r="F83" s="2"/>
      <c r="G83" s="2"/>
    </row>
    <row r="84" spans="1:7" ht="13.7" customHeight="1">
      <c r="A84" s="140"/>
      <c r="B84" s="140"/>
      <c r="C84" s="926"/>
      <c r="D84" s="1610" t="s">
        <v>1537</v>
      </c>
      <c r="E84" s="1610"/>
      <c r="F84" s="1610"/>
      <c r="G84" s="2"/>
    </row>
    <row r="85" spans="1:7" ht="13.7" customHeight="1">
      <c r="A85" s="143"/>
      <c r="B85" s="143"/>
      <c r="C85" s="14"/>
      <c r="D85" s="1575" t="s">
        <v>1736</v>
      </c>
      <c r="E85" s="1575"/>
      <c r="F85" s="1575"/>
      <c r="G85" s="2"/>
    </row>
    <row r="86" spans="1:7" ht="12.75">
      <c r="A86" s="143"/>
      <c r="B86" s="143"/>
      <c r="C86" s="14"/>
      <c r="D86" s="282"/>
      <c r="E86" s="2"/>
      <c r="F86" s="2"/>
      <c r="G86" s="2"/>
    </row>
    <row r="87" spans="1:7" ht="14.25" customHeight="1">
      <c r="A87" s="413"/>
      <c r="B87" s="950" t="s">
        <v>1531</v>
      </c>
      <c r="C87" s="14"/>
      <c r="D87" s="1574" t="s">
        <v>2117</v>
      </c>
      <c r="E87" s="1574"/>
      <c r="F87" s="1574"/>
      <c r="G87" s="2"/>
    </row>
    <row r="88" spans="1:7" ht="14.45" customHeight="1">
      <c r="A88" s="413"/>
      <c r="B88" s="14"/>
      <c r="C88" s="14"/>
      <c r="D88" s="1574"/>
      <c r="E88" s="1574"/>
      <c r="F88" s="1574"/>
      <c r="G88" s="2"/>
    </row>
    <row r="89" spans="1:7" ht="14.25">
      <c r="A89" s="413"/>
      <c r="B89" s="413"/>
      <c r="C89" s="14"/>
      <c r="D89" s="1574"/>
      <c r="E89" s="1574"/>
      <c r="F89" s="1574"/>
      <c r="G89" s="2"/>
    </row>
    <row r="90" spans="1:7" ht="14.25">
      <c r="A90" s="413"/>
      <c r="B90" s="413"/>
      <c r="C90" s="14"/>
      <c r="D90" s="1574"/>
      <c r="E90" s="1574"/>
      <c r="F90" s="1574"/>
      <c r="G90" s="2"/>
    </row>
    <row r="91" spans="1:7" ht="14.25">
      <c r="A91" s="413"/>
      <c r="B91" s="413"/>
      <c r="C91" s="14"/>
      <c r="D91" s="1574"/>
      <c r="E91" s="1574"/>
      <c r="F91" s="1574"/>
      <c r="G91" s="2"/>
    </row>
    <row r="92" spans="1:7" ht="14.25">
      <c r="A92" s="413"/>
      <c r="B92" s="413"/>
      <c r="C92" s="14"/>
      <c r="D92" s="1574"/>
      <c r="E92" s="1574"/>
      <c r="F92" s="1574"/>
      <c r="G92" s="2"/>
    </row>
    <row r="93" spans="1:7" ht="14.25">
      <c r="A93" s="413"/>
      <c r="B93" s="413"/>
      <c r="C93" s="14"/>
      <c r="D93" s="1574"/>
      <c r="E93" s="1574"/>
      <c r="F93" s="1574"/>
      <c r="G93" s="2"/>
    </row>
    <row r="94" spans="1:7" ht="14.25">
      <c r="A94" s="413"/>
      <c r="B94" s="413"/>
      <c r="C94" s="14"/>
      <c r="D94" s="1574"/>
      <c r="E94" s="1574"/>
      <c r="F94" s="1574"/>
      <c r="G94" s="2"/>
    </row>
    <row r="95" spans="1:7" ht="14.25">
      <c r="A95" s="413"/>
      <c r="B95" s="413"/>
      <c r="C95" s="14"/>
      <c r="D95" s="1574"/>
      <c r="E95" s="1574"/>
      <c r="F95" s="1574"/>
      <c r="G95" s="2"/>
    </row>
    <row r="96" spans="1:7" ht="14.45" customHeight="1">
      <c r="A96" s="413"/>
      <c r="B96" s="1544" t="s">
        <v>136</v>
      </c>
      <c r="C96" s="14"/>
      <c r="D96" s="1580" t="s">
        <v>2118</v>
      </c>
      <c r="E96" s="1580"/>
      <c r="F96" s="1580"/>
      <c r="G96" s="2"/>
    </row>
    <row r="97" spans="1:7" ht="14.25">
      <c r="A97" s="413"/>
      <c r="B97" s="413"/>
      <c r="C97" s="14"/>
      <c r="D97" s="1580"/>
      <c r="E97" s="1580"/>
      <c r="F97" s="1580"/>
      <c r="G97" s="2"/>
    </row>
    <row r="98" spans="1:7" ht="14.25">
      <c r="A98" s="413"/>
      <c r="B98" s="413"/>
      <c r="C98" s="14"/>
      <c r="D98" s="1580"/>
      <c r="E98" s="1580"/>
      <c r="F98" s="1580"/>
      <c r="G98" s="2"/>
    </row>
    <row r="99" spans="1:7" ht="14.25">
      <c r="A99" s="413"/>
      <c r="B99" s="413"/>
      <c r="C99" s="14"/>
      <c r="D99" s="1580"/>
      <c r="E99" s="1580"/>
      <c r="F99" s="1580"/>
      <c r="G99" s="2"/>
    </row>
    <row r="100" spans="1:7" ht="14.25">
      <c r="A100" s="413"/>
      <c r="B100" s="413"/>
      <c r="C100" s="14"/>
      <c r="D100" s="1580"/>
      <c r="E100" s="1580"/>
      <c r="F100" s="1580"/>
      <c r="G100" s="2"/>
    </row>
    <row r="101" spans="1:7" ht="14.25">
      <c r="A101" s="413"/>
      <c r="B101" s="413"/>
      <c r="C101" s="14"/>
      <c r="D101" s="1580"/>
      <c r="E101" s="1580"/>
      <c r="F101" s="1580"/>
      <c r="G101" s="2"/>
    </row>
    <row r="102" spans="1:7" ht="14.25">
      <c r="A102" s="413"/>
      <c r="B102" s="413"/>
      <c r="C102" s="14"/>
      <c r="D102" s="1580"/>
      <c r="E102" s="1580"/>
      <c r="F102" s="1580"/>
      <c r="G102" s="2"/>
    </row>
    <row r="103" spans="1:7" ht="14.25">
      <c r="A103" s="413"/>
      <c r="B103" s="413"/>
      <c r="C103" s="14"/>
      <c r="D103" s="1580"/>
      <c r="E103" s="1580"/>
      <c r="F103" s="1580"/>
      <c r="G103" s="2"/>
    </row>
    <row r="104" spans="1:7" ht="14.25">
      <c r="A104" s="413"/>
      <c r="B104" s="413"/>
      <c r="C104" s="14"/>
      <c r="D104" s="1580"/>
      <c r="E104" s="1580"/>
      <c r="F104" s="1580"/>
      <c r="G104" s="2"/>
    </row>
    <row r="105" spans="1:7" ht="14.25">
      <c r="A105" s="413"/>
      <c r="B105" s="413"/>
      <c r="C105" s="14"/>
      <c r="D105" s="1580"/>
      <c r="E105" s="1580"/>
      <c r="F105" s="1580"/>
      <c r="G105" s="2"/>
    </row>
    <row r="106" spans="1:7" ht="14.25">
      <c r="A106" s="413"/>
      <c r="B106" s="413"/>
      <c r="C106" s="14"/>
      <c r="D106" s="1580"/>
      <c r="E106" s="1580"/>
      <c r="F106" s="1580"/>
      <c r="G106" s="2"/>
    </row>
    <row r="107" spans="1:7" ht="14.25">
      <c r="A107" s="413"/>
      <c r="B107" s="413"/>
      <c r="C107" s="14"/>
      <c r="D107" s="1580"/>
      <c r="E107" s="1580"/>
      <c r="F107" s="1580"/>
      <c r="G107" s="2"/>
    </row>
    <row r="108" spans="1:7" ht="14.25">
      <c r="A108" s="413"/>
      <c r="B108" s="413"/>
      <c r="C108" s="14"/>
      <c r="D108" s="1580"/>
      <c r="E108" s="1580"/>
      <c r="F108" s="1580"/>
      <c r="G108" s="2"/>
    </row>
    <row r="109" spans="1:7" ht="14.25">
      <c r="A109" s="413"/>
      <c r="B109" s="1544" t="s">
        <v>136</v>
      </c>
      <c r="C109" s="14"/>
      <c r="D109" s="1575" t="s">
        <v>1737</v>
      </c>
      <c r="E109" s="1575"/>
      <c r="F109" s="1575"/>
      <c r="G109" s="2"/>
    </row>
    <row r="110" spans="1:7" ht="14.25">
      <c r="A110" s="413"/>
      <c r="B110" s="413"/>
      <c r="C110" s="14"/>
      <c r="D110" s="1575"/>
      <c r="E110" s="1575"/>
      <c r="F110" s="1575"/>
      <c r="G110" s="2"/>
    </row>
    <row r="111" spans="1:7" ht="14.25">
      <c r="A111" s="413"/>
      <c r="B111" s="413"/>
      <c r="C111" s="14"/>
      <c r="D111" s="1575"/>
      <c r="E111" s="1575"/>
      <c r="F111" s="1575"/>
      <c r="G111" s="2"/>
    </row>
    <row r="112" spans="1:7" ht="14.25">
      <c r="A112" s="413"/>
      <c r="B112" s="413"/>
      <c r="C112" s="14"/>
      <c r="D112" s="1575"/>
      <c r="E112" s="1575"/>
      <c r="F112" s="1575"/>
      <c r="G112" s="2"/>
    </row>
    <row r="113" spans="1:7" ht="14.25">
      <c r="A113" s="413"/>
      <c r="B113" s="413"/>
      <c r="C113" s="14"/>
      <c r="D113" s="1575"/>
      <c r="E113" s="1575"/>
      <c r="F113" s="1575"/>
      <c r="G113" s="2"/>
    </row>
    <row r="114" spans="1:7" ht="14.25">
      <c r="A114" s="413"/>
      <c r="B114" s="413"/>
      <c r="C114" s="14"/>
      <c r="D114" s="1575"/>
      <c r="E114" s="1575"/>
      <c r="F114" s="1575"/>
      <c r="G114" s="2"/>
    </row>
    <row r="115" spans="1:7" ht="14.25">
      <c r="A115" s="413"/>
      <c r="B115" s="413"/>
      <c r="C115" s="14"/>
      <c r="D115" s="1575"/>
      <c r="E115" s="1575"/>
      <c r="F115" s="1575"/>
      <c r="G115" s="2"/>
    </row>
    <row r="116" spans="1:7" ht="14.25">
      <c r="A116" s="413"/>
      <c r="B116" s="413"/>
      <c r="C116" s="14"/>
      <c r="D116" s="1575"/>
      <c r="E116" s="1575"/>
      <c r="F116" s="1575"/>
      <c r="G116" s="2"/>
    </row>
    <row r="117" spans="1:7" ht="12.75" customHeight="1">
      <c r="A117" s="413"/>
      <c r="B117" s="950" t="s">
        <v>1531</v>
      </c>
      <c r="C117" s="14"/>
      <c r="D117" s="1575" t="s">
        <v>1738</v>
      </c>
      <c r="E117" s="1575"/>
      <c r="F117" s="1575"/>
    </row>
    <row r="118" spans="1:7" ht="12.75">
      <c r="A118" s="140"/>
      <c r="B118" s="140"/>
      <c r="C118" s="14"/>
      <c r="D118" s="1575"/>
      <c r="E118" s="1575"/>
      <c r="F118" s="1575"/>
    </row>
    <row r="119" spans="1:7" ht="12.75">
      <c r="A119" s="140"/>
      <c r="B119" s="140"/>
      <c r="C119" s="14"/>
      <c r="D119" s="1575"/>
      <c r="E119" s="1575"/>
      <c r="F119" s="1575"/>
    </row>
    <row r="120" spans="1:7" ht="12.75">
      <c r="A120" s="140"/>
      <c r="B120" s="140"/>
      <c r="C120" s="14"/>
      <c r="D120" s="1575"/>
      <c r="E120" s="1575"/>
      <c r="F120" s="1575"/>
    </row>
    <row r="121" spans="1:7" ht="26.85" customHeight="1">
      <c r="A121" s="140"/>
      <c r="B121" s="140"/>
      <c r="C121" s="14"/>
      <c r="D121" s="1575"/>
      <c r="E121" s="1575"/>
      <c r="F121" s="1575"/>
    </row>
    <row r="122" spans="1:7" ht="12.75">
      <c r="A122" s="140"/>
      <c r="B122" s="140"/>
      <c r="C122" s="14"/>
      <c r="D122" s="282"/>
      <c r="E122" s="282"/>
      <c r="F122" s="282"/>
    </row>
    <row r="123" spans="1:7" ht="14.25">
      <c r="A123" s="413"/>
      <c r="B123" s="950" t="s">
        <v>1531</v>
      </c>
      <c r="C123" s="14"/>
      <c r="D123" s="1619" t="s">
        <v>1739</v>
      </c>
      <c r="E123" s="1619"/>
      <c r="F123" s="1619"/>
    </row>
    <row r="124" spans="1:7" s="515" customFormat="1" ht="13.9" customHeight="1">
      <c r="A124" s="505"/>
      <c r="B124" s="505"/>
      <c r="C124" s="506"/>
      <c r="D124" s="1619"/>
      <c r="E124" s="1619"/>
      <c r="F124" s="1619"/>
      <c r="G124" s="576"/>
    </row>
    <row r="125" spans="1:7" ht="13.9" customHeight="1">
      <c r="A125" s="140"/>
      <c r="B125" s="140"/>
      <c r="C125" s="14"/>
      <c r="D125" s="1619"/>
      <c r="E125" s="1619"/>
      <c r="F125" s="1619"/>
    </row>
    <row r="126" spans="1:7" ht="13.9" customHeight="1">
      <c r="A126" s="140"/>
      <c r="B126" s="140"/>
      <c r="C126" s="14"/>
      <c r="D126" s="1619"/>
      <c r="E126" s="1619"/>
      <c r="F126" s="1619"/>
    </row>
    <row r="127" spans="1:7" ht="13.9" customHeight="1">
      <c r="A127" s="140"/>
      <c r="B127" s="140"/>
      <c r="C127" s="14"/>
      <c r="D127" s="1619"/>
      <c r="E127" s="1619"/>
      <c r="F127" s="1619"/>
    </row>
    <row r="128" spans="1:7" ht="13.9" customHeight="1">
      <c r="A128" s="140"/>
      <c r="B128" s="140"/>
      <c r="C128" s="14"/>
      <c r="D128" s="1619"/>
      <c r="E128" s="1619"/>
      <c r="F128" s="1619"/>
    </row>
    <row r="129" spans="1:7" ht="13.9" customHeight="1">
      <c r="A129" s="983"/>
      <c r="B129" s="983"/>
      <c r="C129" s="14"/>
      <c r="D129" s="1619"/>
      <c r="E129" s="1619"/>
      <c r="F129" s="1619"/>
      <c r="G129" s="2"/>
    </row>
    <row r="130" spans="1:7" ht="13.9" customHeight="1">
      <c r="A130" s="983"/>
      <c r="B130" s="983"/>
      <c r="C130" s="14"/>
      <c r="D130" s="1619"/>
      <c r="E130" s="1619"/>
      <c r="F130" s="1619"/>
      <c r="G130" s="2"/>
    </row>
    <row r="131" spans="1:7" ht="13.9" customHeight="1">
      <c r="A131" s="983"/>
      <c r="B131" s="983"/>
      <c r="C131" s="14"/>
      <c r="D131" s="1619"/>
      <c r="E131" s="1619"/>
      <c r="F131" s="1619"/>
      <c r="G131" s="2"/>
    </row>
    <row r="132" spans="1:7" ht="13.9" customHeight="1">
      <c r="A132" s="983"/>
      <c r="B132" s="983"/>
      <c r="C132" s="14"/>
      <c r="D132" s="1619"/>
      <c r="E132" s="1619"/>
      <c r="F132" s="1619"/>
      <c r="G132" s="2"/>
    </row>
    <row r="133" spans="1:7" ht="17.25" customHeight="1">
      <c r="A133" s="983"/>
      <c r="B133" s="983"/>
      <c r="C133" s="14"/>
      <c r="D133" s="1619"/>
      <c r="E133" s="1619"/>
      <c r="F133" s="1619"/>
      <c r="G133" s="2"/>
    </row>
    <row r="134" spans="1:7" ht="25.5" hidden="1" customHeight="1">
      <c r="A134" s="983"/>
      <c r="B134" s="983"/>
      <c r="C134" s="14"/>
      <c r="D134" s="1619"/>
      <c r="E134" s="1619"/>
      <c r="F134" s="1619"/>
      <c r="G134" s="2"/>
    </row>
    <row r="135" spans="1:7" ht="13.9" customHeight="1">
      <c r="A135" s="983"/>
      <c r="B135" s="983"/>
      <c r="C135" s="14"/>
      <c r="D135" s="282"/>
      <c r="E135" s="282"/>
      <c r="F135" s="282"/>
      <c r="G135" s="2"/>
    </row>
    <row r="136" spans="1:7" ht="13.9" customHeight="1">
      <c r="A136" s="140"/>
      <c r="B136" s="1544" t="s">
        <v>136</v>
      </c>
      <c r="C136" s="14"/>
      <c r="D136" s="1574" t="s">
        <v>1953</v>
      </c>
      <c r="E136" s="1575"/>
      <c r="F136" s="1575"/>
      <c r="G136" s="2"/>
    </row>
    <row r="137" spans="1:7" ht="13.9" customHeight="1">
      <c r="A137" s="140"/>
      <c r="B137" s="140"/>
      <c r="C137" s="14"/>
      <c r="D137" s="1575"/>
      <c r="E137" s="1575"/>
      <c r="F137" s="1575"/>
      <c r="G137" s="2"/>
    </row>
    <row r="138" spans="1:7" ht="13.9" customHeight="1">
      <c r="A138" s="140"/>
      <c r="B138" s="140"/>
      <c r="C138" s="14"/>
      <c r="D138" s="1575"/>
      <c r="E138" s="1575"/>
      <c r="F138" s="1575"/>
      <c r="G138" s="2"/>
    </row>
    <row r="139" spans="1:7" ht="13.9" customHeight="1">
      <c r="A139" s="150"/>
      <c r="B139" s="150"/>
      <c r="D139" s="1575"/>
      <c r="E139" s="1575"/>
      <c r="F139" s="1575"/>
      <c r="G139" s="2"/>
    </row>
    <row r="140" spans="1:7" ht="13.9" customHeight="1">
      <c r="A140" s="140"/>
      <c r="B140" s="140"/>
      <c r="C140" s="14"/>
      <c r="D140" s="1575"/>
      <c r="E140" s="1575"/>
      <c r="F140" s="1575"/>
      <c r="G140" s="2"/>
    </row>
    <row r="141" spans="1:7" ht="13.9" customHeight="1">
      <c r="A141" s="33"/>
      <c r="B141" s="33"/>
      <c r="C141" s="14"/>
      <c r="D141" s="1575"/>
      <c r="E141" s="1575"/>
      <c r="F141" s="1575"/>
      <c r="G141" s="2"/>
    </row>
    <row r="142" spans="1:7" ht="13.9" customHeight="1">
      <c r="A142" s="33"/>
      <c r="B142" s="33"/>
      <c r="C142" s="14"/>
      <c r="D142" s="1575"/>
      <c r="E142" s="1575"/>
      <c r="F142" s="1575"/>
      <c r="G142" s="2"/>
    </row>
    <row r="143" spans="1:7" ht="13.9" customHeight="1">
      <c r="A143" s="984"/>
      <c r="B143" s="984"/>
      <c r="C143" s="14"/>
      <c r="D143" s="1575"/>
      <c r="E143" s="1575"/>
      <c r="F143" s="1575"/>
      <c r="G143" s="2"/>
    </row>
    <row r="144" spans="1:7" ht="13.9" customHeight="1">
      <c r="A144" s="984"/>
      <c r="B144" s="984"/>
      <c r="C144" s="14"/>
      <c r="D144" s="1575"/>
      <c r="E144" s="1575"/>
      <c r="F144" s="1575"/>
      <c r="G144" s="2"/>
    </row>
    <row r="145" spans="1:7" ht="13.9" customHeight="1">
      <c r="A145" s="984"/>
      <c r="B145" s="984"/>
      <c r="C145" s="14"/>
      <c r="D145" s="1575"/>
      <c r="E145" s="1575"/>
      <c r="F145" s="1575"/>
      <c r="G145" s="2"/>
    </row>
    <row r="146" spans="1:7" ht="13.9" customHeight="1">
      <c r="A146" s="1083"/>
      <c r="B146" s="1083"/>
      <c r="C146" s="14"/>
      <c r="D146" s="1575"/>
      <c r="E146" s="1575"/>
      <c r="F146" s="1575"/>
      <c r="G146" s="2"/>
    </row>
    <row r="147" spans="1:7" ht="13.9" customHeight="1">
      <c r="A147" s="1083"/>
      <c r="B147" s="1083"/>
      <c r="C147" s="14"/>
      <c r="D147" s="1575"/>
      <c r="E147" s="1575"/>
      <c r="F147" s="1575"/>
      <c r="G147" s="2"/>
    </row>
    <row r="148" spans="1:7" ht="13.9" customHeight="1">
      <c r="A148" s="984"/>
      <c r="B148" s="984"/>
      <c r="C148" s="14"/>
      <c r="D148" s="1575"/>
      <c r="E148" s="1575"/>
      <c r="F148" s="1575"/>
      <c r="G148" s="2"/>
    </row>
    <row r="149" spans="1:7" ht="13.9" customHeight="1">
      <c r="A149" s="984"/>
      <c r="B149" s="984"/>
      <c r="C149" s="14"/>
      <c r="D149" s="1575"/>
      <c r="E149" s="1575"/>
      <c r="F149" s="1575"/>
      <c r="G149" s="2"/>
    </row>
    <row r="150" spans="1:7" ht="13.9" customHeight="1">
      <c r="A150" s="984"/>
      <c r="B150" s="984"/>
      <c r="C150" s="14"/>
      <c r="D150" s="1575"/>
      <c r="E150" s="1575"/>
      <c r="F150" s="1575"/>
      <c r="G150" s="2"/>
    </row>
    <row r="151" spans="1:7" ht="13.9" customHeight="1">
      <c r="A151" s="984"/>
      <c r="B151" s="984"/>
      <c r="C151" s="14"/>
      <c r="D151" s="1575"/>
      <c r="E151" s="1575"/>
      <c r="F151" s="1575"/>
      <c r="G151" s="2"/>
    </row>
    <row r="152" spans="1:7" ht="13.9" customHeight="1">
      <c r="A152" s="984"/>
      <c r="B152" s="984"/>
      <c r="C152" s="14"/>
      <c r="D152" s="1575"/>
      <c r="E152" s="1575"/>
      <c r="F152" s="1575"/>
      <c r="G152" s="2"/>
    </row>
    <row r="153" spans="1:7" ht="13.9" customHeight="1">
      <c r="A153" s="984"/>
      <c r="B153" s="984"/>
      <c r="C153" s="14"/>
      <c r="D153" s="1575"/>
      <c r="E153" s="1575"/>
      <c r="F153" s="1575"/>
      <c r="G153" s="2"/>
    </row>
    <row r="154" spans="1:7" ht="13.9" customHeight="1">
      <c r="A154" s="1097"/>
      <c r="B154" s="1097"/>
      <c r="C154" s="14"/>
      <c r="D154" s="1651" t="s">
        <v>1954</v>
      </c>
      <c r="E154" s="1651"/>
      <c r="F154" s="1651"/>
      <c r="G154" s="2"/>
    </row>
    <row r="155" spans="1:7" ht="13.9" customHeight="1">
      <c r="A155" s="984"/>
      <c r="B155" s="984"/>
      <c r="C155" s="14"/>
      <c r="D155" s="981"/>
      <c r="E155" s="282"/>
      <c r="F155" s="282"/>
      <c r="G155" s="2"/>
    </row>
    <row r="156" spans="1:7" ht="13.9" customHeight="1">
      <c r="A156" s="413"/>
      <c r="B156" s="1544" t="s">
        <v>136</v>
      </c>
      <c r="C156" s="14"/>
      <c r="D156" s="1653" t="s">
        <v>1987</v>
      </c>
      <c r="E156" s="1654"/>
      <c r="F156" s="1654"/>
      <c r="G156" s="2"/>
    </row>
    <row r="157" spans="1:7" ht="13.9" customHeight="1">
      <c r="A157" s="413"/>
      <c r="B157" s="1124"/>
      <c r="C157" s="14"/>
      <c r="D157" s="1654"/>
      <c r="E157" s="1654"/>
      <c r="F157" s="1654"/>
      <c r="G157" s="2"/>
    </row>
    <row r="158" spans="1:7" ht="13.9" customHeight="1">
      <c r="A158" s="33"/>
      <c r="B158" s="33"/>
      <c r="C158" s="14"/>
      <c r="D158" s="1654"/>
      <c r="E158" s="1654"/>
      <c r="F158" s="1654"/>
      <c r="G158" s="2"/>
    </row>
    <row r="159" spans="1:7" ht="13.9" customHeight="1">
      <c r="A159" s="33"/>
      <c r="B159" s="33"/>
      <c r="C159" s="14"/>
      <c r="D159" s="287"/>
      <c r="E159" s="282"/>
      <c r="F159" s="282"/>
      <c r="G159" s="2"/>
    </row>
    <row r="160" spans="1:7" ht="13.9" customHeight="1">
      <c r="A160" s="413"/>
      <c r="B160" s="1544" t="s">
        <v>136</v>
      </c>
      <c r="C160" s="14"/>
      <c r="D160" s="1655" t="s">
        <v>1740</v>
      </c>
      <c r="E160" s="1655"/>
      <c r="F160" s="1655"/>
      <c r="G160" s="2"/>
    </row>
    <row r="161" spans="1:7" ht="13.9" customHeight="1">
      <c r="A161" s="33"/>
      <c r="B161" s="33"/>
      <c r="C161" s="14"/>
      <c r="D161" s="1655"/>
      <c r="E161" s="1655"/>
      <c r="F161" s="1655"/>
    </row>
    <row r="162" spans="1:7" ht="13.9" customHeight="1">
      <c r="A162" s="33"/>
      <c r="B162" s="33"/>
      <c r="C162" s="14"/>
      <c r="D162" s="1655"/>
      <c r="E162" s="1655"/>
      <c r="F162" s="1655"/>
    </row>
    <row r="163" spans="1:7" ht="13.9" customHeight="1">
      <c r="A163" s="33"/>
      <c r="B163" s="33"/>
      <c r="C163" s="14"/>
      <c r="D163" s="1655"/>
      <c r="E163" s="1655"/>
      <c r="F163" s="1655"/>
    </row>
    <row r="164" spans="1:7" ht="13.9" customHeight="1">
      <c r="A164" s="33"/>
      <c r="B164" s="33"/>
      <c r="C164" s="14"/>
      <c r="D164" s="287"/>
      <c r="E164" s="282"/>
      <c r="F164" s="282"/>
    </row>
    <row r="165" spans="1:7" ht="13.9" customHeight="1">
      <c r="A165" s="592"/>
      <c r="B165" s="1544" t="s">
        <v>136</v>
      </c>
      <c r="C165" s="591"/>
      <c r="D165" s="1647" t="s">
        <v>1741</v>
      </c>
      <c r="E165" s="1647"/>
      <c r="F165" s="1647"/>
      <c r="G165" s="714"/>
    </row>
    <row r="166" spans="1:7" ht="13.9" customHeight="1">
      <c r="A166" s="592"/>
      <c r="B166" s="592"/>
      <c r="C166" s="591"/>
      <c r="D166" s="1647"/>
      <c r="E166" s="1647"/>
      <c r="F166" s="1647"/>
      <c r="G166" s="714"/>
    </row>
    <row r="167" spans="1:7" ht="13.9" customHeight="1">
      <c r="A167" s="592"/>
      <c r="B167" s="592"/>
      <c r="C167" s="591"/>
      <c r="D167" s="1647"/>
      <c r="E167" s="1647"/>
      <c r="F167" s="1647"/>
      <c r="G167" s="714"/>
    </row>
    <row r="168" spans="1:7" ht="12.75">
      <c r="A168" s="592"/>
      <c r="B168" s="592"/>
      <c r="C168" s="591"/>
      <c r="D168" s="594"/>
      <c r="E168" s="582"/>
      <c r="F168" s="582"/>
      <c r="G168" s="714"/>
    </row>
    <row r="169" spans="1:7" ht="12.75">
      <c r="A169" s="1591" t="s">
        <v>1539</v>
      </c>
      <c r="B169" s="1591"/>
      <c r="C169" s="1591"/>
      <c r="D169" s="1591"/>
      <c r="E169" s="1591"/>
      <c r="F169" s="1591"/>
      <c r="G169" s="1591"/>
    </row>
    <row r="170" spans="1:7" ht="12.75">
      <c r="A170" s="140"/>
      <c r="B170" s="140"/>
      <c r="C170" s="14"/>
      <c r="D170" s="287"/>
      <c r="E170" s="282"/>
      <c r="F170" s="282"/>
    </row>
    <row r="171" spans="1:7" ht="12.75">
      <c r="A171" s="140"/>
      <c r="B171" s="140"/>
      <c r="C171" s="926"/>
      <c r="D171" s="1641" t="s">
        <v>1538</v>
      </c>
      <c r="E171" s="1641"/>
      <c r="F171" s="1641"/>
    </row>
    <row r="172" spans="1:7" ht="12.75">
      <c r="A172" s="414"/>
      <c r="B172" s="414"/>
      <c r="C172" s="298"/>
      <c r="D172" s="1648" t="s">
        <v>1574</v>
      </c>
      <c r="E172" s="1648"/>
      <c r="F172" s="1648"/>
    </row>
    <row r="173" spans="1:7" ht="12.75">
      <c r="A173" s="415"/>
      <c r="B173" s="415"/>
      <c r="C173" s="299"/>
      <c r="D173" s="282"/>
      <c r="E173" s="282"/>
      <c r="F173" s="282"/>
    </row>
    <row r="174" spans="1:7" ht="14.25">
      <c r="A174" s="413"/>
      <c r="B174" s="950" t="s">
        <v>1531</v>
      </c>
      <c r="C174" s="302"/>
      <c r="D174" s="1649" t="s">
        <v>1956</v>
      </c>
      <c r="E174" s="1631"/>
      <c r="F174" s="1631"/>
      <c r="G174" s="288"/>
    </row>
    <row r="175" spans="1:7" ht="14.25">
      <c r="A175" s="413"/>
      <c r="B175" s="417"/>
      <c r="C175" s="302"/>
      <c r="D175" s="1286"/>
      <c r="E175" s="1285"/>
      <c r="F175" s="1285"/>
      <c r="G175" s="288"/>
    </row>
    <row r="176" spans="1:7" ht="14.25">
      <c r="A176" s="413"/>
      <c r="B176" s="1544" t="s">
        <v>136</v>
      </c>
      <c r="C176" s="302"/>
      <c r="D176" s="1631" t="s">
        <v>1742</v>
      </c>
      <c r="E176" s="1631"/>
      <c r="F176" s="1631"/>
      <c r="G176" s="288"/>
    </row>
    <row r="177" spans="1:7" ht="14.25">
      <c r="A177" s="413"/>
      <c r="B177" s="417"/>
      <c r="C177" s="302"/>
      <c r="D177" s="1285"/>
      <c r="E177" s="1285"/>
      <c r="F177" s="1285"/>
      <c r="G177" s="288"/>
    </row>
    <row r="178" spans="1:7" ht="14.25">
      <c r="A178" s="413"/>
      <c r="B178" s="1544" t="s">
        <v>136</v>
      </c>
      <c r="C178" s="302"/>
      <c r="D178" s="1652" t="s">
        <v>2044</v>
      </c>
      <c r="E178" s="1652"/>
      <c r="F178" s="1652"/>
      <c r="G178" s="288"/>
    </row>
    <row r="179" spans="1:7" ht="13.7" customHeight="1">
      <c r="A179" s="413"/>
      <c r="B179" s="417"/>
      <c r="C179" s="302"/>
      <c r="D179" s="1288" t="s">
        <v>1004</v>
      </c>
      <c r="E179" s="1551" t="s">
        <v>2046</v>
      </c>
      <c r="F179" s="1551"/>
      <c r="G179" s="288"/>
    </row>
    <row r="180" spans="1:7" ht="14.25">
      <c r="A180" s="413"/>
      <c r="B180" s="417"/>
      <c r="C180" s="302"/>
      <c r="D180" s="1287"/>
      <c r="E180" s="1551"/>
      <c r="F180" s="1551"/>
      <c r="G180" s="288"/>
    </row>
    <row r="181" spans="1:7" ht="14.25">
      <c r="A181" s="413"/>
      <c r="B181" s="417"/>
      <c r="C181" s="302"/>
      <c r="D181" s="1287"/>
      <c r="E181" s="1551"/>
      <c r="F181" s="1551"/>
      <c r="G181" s="288"/>
    </row>
    <row r="182" spans="1:7" ht="14.25">
      <c r="A182" s="413"/>
      <c r="B182" s="417"/>
      <c r="C182" s="302"/>
      <c r="D182" s="2"/>
      <c r="E182" s="1551"/>
      <c r="F182" s="1551"/>
      <c r="G182" s="288"/>
    </row>
    <row r="183" spans="1:7" ht="13.7" customHeight="1">
      <c r="A183" s="413"/>
      <c r="B183" s="417"/>
      <c r="C183" s="302"/>
      <c r="D183" s="1287" t="s">
        <v>1005</v>
      </c>
      <c r="E183" s="1574" t="s">
        <v>2045</v>
      </c>
      <c r="F183" s="1574"/>
      <c r="G183" s="288"/>
    </row>
    <row r="184" spans="1:7" ht="13.7" customHeight="1">
      <c r="A184" s="413"/>
      <c r="B184" s="417"/>
      <c r="C184" s="302"/>
      <c r="D184" s="1287"/>
      <c r="E184" s="1574"/>
      <c r="F184" s="1574"/>
      <c r="G184" s="288"/>
    </row>
    <row r="185" spans="1:7" ht="13.7" customHeight="1">
      <c r="A185" s="413"/>
      <c r="B185" s="417"/>
      <c r="C185" s="302"/>
      <c r="D185" s="1287"/>
      <c r="E185" s="1574"/>
      <c r="F185" s="1574"/>
      <c r="G185" s="288"/>
    </row>
    <row r="186" spans="1:7" ht="13.7" customHeight="1">
      <c r="A186" s="413"/>
      <c r="B186" s="417"/>
      <c r="C186" s="302"/>
      <c r="D186" s="1287"/>
      <c r="E186" s="1574"/>
      <c r="F186" s="1574"/>
      <c r="G186" s="288"/>
    </row>
    <row r="187" spans="1:7" ht="13.7" customHeight="1">
      <c r="A187" s="413"/>
      <c r="B187" s="417"/>
      <c r="C187" s="302"/>
      <c r="D187" s="1287"/>
      <c r="E187" s="1574"/>
      <c r="F187" s="1574"/>
      <c r="G187" s="288"/>
    </row>
    <row r="188" spans="1:7" ht="14.25">
      <c r="A188" s="413"/>
      <c r="B188" s="417"/>
      <c r="C188" s="302"/>
      <c r="D188" s="2"/>
      <c r="E188" s="1574"/>
      <c r="F188" s="1574"/>
      <c r="G188" s="288"/>
    </row>
    <row r="189" spans="1:7" ht="14.25">
      <c r="A189" s="413"/>
      <c r="B189" s="417"/>
      <c r="C189" s="302"/>
      <c r="D189" s="2"/>
      <c r="E189" s="1574"/>
      <c r="F189" s="1574"/>
      <c r="G189" s="288"/>
    </row>
    <row r="190" spans="1:7" ht="12.75">
      <c r="A190" s="417"/>
      <c r="B190" s="417"/>
      <c r="C190" s="302"/>
      <c r="D190" s="282"/>
      <c r="E190" s="283"/>
      <c r="F190" s="283"/>
      <c r="G190" s="288"/>
    </row>
    <row r="191" spans="1:7" ht="14.25">
      <c r="A191" s="413"/>
      <c r="B191" s="1544" t="s">
        <v>136</v>
      </c>
      <c r="C191" s="302"/>
      <c r="D191" s="1558" t="s">
        <v>1743</v>
      </c>
      <c r="E191" s="1558"/>
      <c r="F191" s="1558"/>
      <c r="G191" s="288"/>
    </row>
    <row r="192" spans="1:7" ht="14.25">
      <c r="A192" s="413"/>
      <c r="B192" s="413"/>
      <c r="C192" s="302"/>
      <c r="D192" s="1558"/>
      <c r="E192" s="1558"/>
      <c r="F192" s="1558"/>
      <c r="G192" s="288"/>
    </row>
    <row r="193" spans="1:7" ht="14.25">
      <c r="A193" s="413"/>
      <c r="B193" s="413"/>
      <c r="C193" s="302"/>
      <c r="D193" s="1558"/>
      <c r="E193" s="1558"/>
      <c r="F193" s="1558"/>
      <c r="G193" s="288"/>
    </row>
    <row r="194" spans="1:7" ht="14.25">
      <c r="A194" s="413"/>
      <c r="B194" s="413"/>
      <c r="C194" s="302"/>
      <c r="D194" s="1558"/>
      <c r="E194" s="1558"/>
      <c r="F194" s="1558"/>
      <c r="G194" s="288"/>
    </row>
    <row r="195" spans="1:7" ht="12.75">
      <c r="A195" s="417"/>
      <c r="B195" s="417"/>
      <c r="C195" s="302"/>
      <c r="D195" s="1651" t="s">
        <v>2043</v>
      </c>
      <c r="E195" s="1651"/>
      <c r="F195" s="1651"/>
      <c r="G195" s="288"/>
    </row>
    <row r="196" spans="1:7" ht="12.75">
      <c r="A196" s="417"/>
      <c r="B196" s="417"/>
      <c r="C196" s="302"/>
      <c r="D196" s="986"/>
      <c r="E196" s="986"/>
      <c r="F196" s="986"/>
      <c r="G196" s="288"/>
    </row>
    <row r="197" spans="1:7" ht="14.25">
      <c r="A197" s="413"/>
      <c r="B197" s="1544" t="s">
        <v>136</v>
      </c>
      <c r="C197" s="302"/>
      <c r="D197" s="1650" t="s">
        <v>1744</v>
      </c>
      <c r="E197" s="1650"/>
      <c r="F197" s="1650"/>
      <c r="G197" s="288"/>
    </row>
    <row r="198" spans="1:7" ht="12.75">
      <c r="A198" s="417"/>
      <c r="B198" s="417"/>
      <c r="C198" s="302"/>
      <c r="D198" s="283"/>
      <c r="E198" s="283"/>
      <c r="F198" s="283"/>
      <c r="G198" s="288"/>
    </row>
    <row r="199" spans="1:7" ht="12.75">
      <c r="A199" s="1591" t="s">
        <v>1541</v>
      </c>
      <c r="B199" s="1591"/>
      <c r="C199" s="1591"/>
      <c r="D199" s="1591"/>
      <c r="E199" s="1591"/>
      <c r="F199" s="1591"/>
      <c r="G199" s="1591"/>
    </row>
    <row r="200" spans="1:7" ht="12.75">
      <c r="A200" s="417"/>
      <c r="B200" s="417"/>
      <c r="C200" s="302"/>
      <c r="D200" s="282"/>
      <c r="E200" s="283"/>
      <c r="F200" s="283"/>
      <c r="G200" s="288"/>
    </row>
    <row r="201" spans="1:7" ht="12.75">
      <c r="A201" s="140"/>
      <c r="B201" s="140"/>
      <c r="C201" s="927"/>
      <c r="D201" s="1597" t="s">
        <v>1540</v>
      </c>
      <c r="E201" s="1597"/>
      <c r="F201" s="1597"/>
      <c r="G201" s="288"/>
    </row>
    <row r="202" spans="1:7" ht="12.75">
      <c r="A202" s="928"/>
      <c r="B202" s="928"/>
      <c r="C202" s="927"/>
      <c r="D202" s="1597" t="s">
        <v>763</v>
      </c>
      <c r="E202" s="1597"/>
      <c r="F202" s="1597"/>
      <c r="G202" s="288"/>
    </row>
    <row r="203" spans="1:7" ht="12.75">
      <c r="A203" s="414"/>
      <c r="B203" s="414"/>
      <c r="C203" s="298"/>
      <c r="D203" s="1631" t="s">
        <v>1575</v>
      </c>
      <c r="E203" s="1631"/>
      <c r="F203" s="1631"/>
      <c r="G203" s="288"/>
    </row>
    <row r="204" spans="1:7" ht="12.75">
      <c r="A204" s="414"/>
      <c r="B204" s="414"/>
      <c r="C204" s="298"/>
      <c r="D204" s="283"/>
      <c r="E204" s="283"/>
      <c r="F204" s="283"/>
      <c r="G204" s="288"/>
    </row>
    <row r="205" spans="1:7" ht="12.75">
      <c r="A205" s="414"/>
      <c r="B205" s="414"/>
      <c r="C205" s="298"/>
      <c r="D205" s="1606" t="s">
        <v>1585</v>
      </c>
      <c r="E205" s="1606"/>
      <c r="F205" s="1606"/>
      <c r="G205" s="288"/>
    </row>
    <row r="206" spans="1:7" ht="12.75">
      <c r="A206" s="414"/>
      <c r="B206" s="414"/>
      <c r="C206" s="298"/>
      <c r="D206" s="1606"/>
      <c r="E206" s="1606"/>
      <c r="F206" s="1606"/>
      <c r="G206" s="288"/>
    </row>
    <row r="207" spans="1:7" ht="12.75">
      <c r="A207" s="414"/>
      <c r="B207" s="414"/>
      <c r="C207" s="298"/>
      <c r="D207" s="1606"/>
      <c r="E207" s="1606"/>
      <c r="F207" s="1606"/>
      <c r="G207" s="288"/>
    </row>
    <row r="208" spans="1:7" ht="12.75">
      <c r="A208" s="414"/>
      <c r="B208" s="414"/>
      <c r="C208" s="298"/>
      <c r="D208" s="1606"/>
      <c r="E208" s="1606"/>
      <c r="F208" s="1606"/>
      <c r="G208" s="288"/>
    </row>
    <row r="209" spans="1:7" ht="12.75">
      <c r="A209" s="414"/>
      <c r="B209" s="414"/>
      <c r="C209" s="298"/>
      <c r="D209" s="288"/>
      <c r="E209" s="283"/>
      <c r="F209" s="283"/>
      <c r="G209" s="288"/>
    </row>
    <row r="210" spans="1:7" ht="12.75">
      <c r="A210" s="414"/>
      <c r="B210" s="414"/>
      <c r="C210" s="298"/>
      <c r="D210" s="1605" t="s">
        <v>2048</v>
      </c>
      <c r="E210" s="1606"/>
      <c r="F210" s="1606"/>
      <c r="G210" s="288"/>
    </row>
    <row r="211" spans="1:7" ht="12.75">
      <c r="A211" s="414"/>
      <c r="B211" s="414"/>
      <c r="C211" s="298"/>
      <c r="D211" s="1606"/>
      <c r="E211" s="1606"/>
      <c r="F211" s="1606"/>
      <c r="G211" s="288"/>
    </row>
    <row r="212" spans="1:7" ht="12.75">
      <c r="A212" s="414"/>
      <c r="B212" s="414"/>
      <c r="C212" s="298"/>
      <c r="D212" s="1606"/>
      <c r="E212" s="1606"/>
      <c r="F212" s="1606"/>
      <c r="G212" s="288"/>
    </row>
    <row r="213" spans="1:7" ht="12.75">
      <c r="A213" s="414"/>
      <c r="B213" s="414"/>
      <c r="C213" s="298"/>
      <c r="D213" s="1606"/>
      <c r="E213" s="1606"/>
      <c r="F213" s="1606"/>
      <c r="G213" s="288"/>
    </row>
    <row r="214" spans="1:7" ht="12.75">
      <c r="A214" s="414"/>
      <c r="B214" s="414"/>
      <c r="C214" s="298"/>
      <c r="D214" s="1606"/>
      <c r="E214" s="1606"/>
      <c r="F214" s="1606"/>
      <c r="G214" s="288"/>
    </row>
    <row r="215" spans="1:7" ht="12.75">
      <c r="A215" s="414"/>
      <c r="B215" s="414"/>
      <c r="C215" s="298"/>
      <c r="D215" s="1606"/>
      <c r="E215" s="1606"/>
      <c r="F215" s="1606"/>
      <c r="G215" s="288"/>
    </row>
    <row r="216" spans="1:7" ht="12.75">
      <c r="A216" s="415"/>
      <c r="B216" s="415"/>
      <c r="C216" s="299"/>
      <c r="D216" s="282"/>
      <c r="E216" s="283"/>
      <c r="F216" s="283"/>
      <c r="G216" s="288"/>
    </row>
    <row r="217" spans="1:7" ht="14.45" customHeight="1">
      <c r="A217" s="413"/>
      <c r="B217" s="1544" t="s">
        <v>136</v>
      </c>
      <c r="C217" s="299"/>
      <c r="D217" s="1577" t="s">
        <v>322</v>
      </c>
      <c r="E217" s="1577"/>
      <c r="F217" s="1577"/>
      <c r="G217" s="288"/>
    </row>
    <row r="218" spans="1:7" ht="14.25">
      <c r="A218" s="413"/>
      <c r="B218" s="14"/>
      <c r="C218" s="299"/>
      <c r="D218" s="1584" t="s">
        <v>1230</v>
      </c>
      <c r="E218" s="1584"/>
      <c r="F218" s="1584"/>
      <c r="G218" s="288"/>
    </row>
    <row r="219" spans="1:7" ht="14.25">
      <c r="A219" s="413"/>
      <c r="B219" s="413"/>
      <c r="C219" s="299"/>
      <c r="D219" s="956" t="s">
        <v>1593</v>
      </c>
      <c r="E219" s="1607" t="s">
        <v>1592</v>
      </c>
      <c r="F219" s="1607"/>
      <c r="G219" s="288"/>
    </row>
    <row r="220" spans="1:7" ht="12.75">
      <c r="A220" s="417"/>
      <c r="B220" s="417"/>
      <c r="C220" s="302"/>
      <c r="D220" s="1583" t="s">
        <v>1568</v>
      </c>
      <c r="E220" s="1584"/>
      <c r="F220" s="1584"/>
      <c r="G220" s="288"/>
    </row>
    <row r="221" spans="1:7" ht="12.75">
      <c r="A221" s="417"/>
      <c r="B221" s="417"/>
      <c r="C221" s="302"/>
      <c r="D221" s="283"/>
      <c r="E221" s="283"/>
      <c r="F221" s="283"/>
      <c r="G221" s="288"/>
    </row>
    <row r="222" spans="1:7" ht="14.25">
      <c r="A222" s="413"/>
      <c r="B222" s="950" t="s">
        <v>1531</v>
      </c>
      <c r="C222" s="302"/>
      <c r="D222" s="1584" t="s">
        <v>323</v>
      </c>
      <c r="E222" s="1584"/>
      <c r="F222" s="1584"/>
      <c r="G222" s="288"/>
    </row>
    <row r="223" spans="1:7" ht="14.25">
      <c r="A223" s="413"/>
      <c r="B223" s="14"/>
      <c r="C223" s="302"/>
      <c r="D223" s="1577" t="s">
        <v>1230</v>
      </c>
      <c r="E223" s="1577"/>
      <c r="F223" s="1577"/>
      <c r="G223" s="288"/>
    </row>
    <row r="224" spans="1:7" ht="14.25">
      <c r="A224" s="413"/>
      <c r="B224" s="413"/>
      <c r="C224" s="302"/>
      <c r="D224" s="300" t="s">
        <v>1594</v>
      </c>
      <c r="E224" s="1592" t="s">
        <v>1595</v>
      </c>
      <c r="F224" s="1592"/>
      <c r="G224" s="288"/>
    </row>
    <row r="225" spans="1:7" ht="12.75">
      <c r="A225" s="417"/>
      <c r="B225" s="417"/>
      <c r="C225" s="302"/>
      <c r="D225" s="1584" t="s">
        <v>1569</v>
      </c>
      <c r="E225" s="1584"/>
      <c r="F225" s="1584"/>
      <c r="G225" s="288"/>
    </row>
    <row r="226" spans="1:7" ht="12.75">
      <c r="A226" s="417"/>
      <c r="B226" s="417"/>
      <c r="C226" s="302"/>
      <c r="D226" s="283"/>
      <c r="E226" s="283"/>
      <c r="F226" s="283"/>
      <c r="G226" s="288"/>
    </row>
    <row r="227" spans="1:7" ht="14.25">
      <c r="A227" s="413"/>
      <c r="B227" s="1544" t="s">
        <v>136</v>
      </c>
      <c r="C227" s="302"/>
      <c r="D227" s="1584" t="s">
        <v>707</v>
      </c>
      <c r="E227" s="1584"/>
      <c r="F227" s="1584"/>
      <c r="G227" s="288"/>
    </row>
    <row r="228" spans="1:7" ht="14.25">
      <c r="A228" s="413"/>
      <c r="B228" s="14"/>
      <c r="C228" s="302"/>
      <c r="D228" s="287" t="s">
        <v>1230</v>
      </c>
      <c r="E228" s="283"/>
      <c r="F228" s="283"/>
      <c r="G228" s="288"/>
    </row>
    <row r="229" spans="1:7" ht="14.25">
      <c r="A229" s="413"/>
      <c r="B229" s="413"/>
      <c r="C229" s="302"/>
      <c r="D229" s="300" t="s">
        <v>1593</v>
      </c>
      <c r="E229" s="1592" t="s">
        <v>1596</v>
      </c>
      <c r="F229" s="1592"/>
      <c r="G229" s="288"/>
    </row>
    <row r="230" spans="1:7" ht="14.25">
      <c r="A230" s="413"/>
      <c r="B230" s="413"/>
      <c r="C230" s="302"/>
      <c r="D230" s="1575" t="s">
        <v>1598</v>
      </c>
      <c r="E230" s="1575"/>
      <c r="F230" s="1575"/>
      <c r="G230" s="288"/>
    </row>
    <row r="231" spans="1:7" ht="12.75">
      <c r="A231" s="417"/>
      <c r="B231" s="417"/>
      <c r="C231" s="302"/>
      <c r="D231" s="1575"/>
      <c r="E231" s="1575"/>
      <c r="F231" s="1575"/>
      <c r="G231" s="288"/>
    </row>
    <row r="232" spans="1:7" ht="12.75">
      <c r="A232" s="417"/>
      <c r="B232" s="417"/>
      <c r="C232" s="302"/>
      <c r="D232" s="1575"/>
      <c r="E232" s="1575"/>
      <c r="F232" s="1575"/>
      <c r="G232" s="288"/>
    </row>
    <row r="233" spans="1:7" ht="12.75">
      <c r="A233" s="417"/>
      <c r="B233" s="417"/>
      <c r="C233" s="302"/>
      <c r="D233" s="1575"/>
      <c r="E233" s="1575"/>
      <c r="F233" s="1575"/>
      <c r="G233" s="288"/>
    </row>
    <row r="234" spans="1:7" ht="12.75">
      <c r="A234" s="417"/>
      <c r="B234" s="417"/>
      <c r="C234" s="302"/>
      <c r="D234" s="1575"/>
      <c r="E234" s="1575"/>
      <c r="F234" s="1575"/>
      <c r="G234" s="288"/>
    </row>
    <row r="235" spans="1:7" ht="12.75">
      <c r="A235" s="417"/>
      <c r="B235" s="417"/>
      <c r="C235" s="302"/>
      <c r="D235" s="1575" t="s">
        <v>1570</v>
      </c>
      <c r="E235" s="1575"/>
      <c r="F235" s="1575"/>
      <c r="G235" s="288"/>
    </row>
    <row r="236" spans="1:7" ht="12.75">
      <c r="A236" s="417"/>
      <c r="B236" s="417"/>
      <c r="C236" s="302"/>
      <c r="D236" s="287"/>
      <c r="E236" s="283"/>
      <c r="F236" s="283"/>
      <c r="G236" s="288"/>
    </row>
    <row r="237" spans="1:7" ht="14.25">
      <c r="A237" s="413"/>
      <c r="B237" s="1544" t="s">
        <v>136</v>
      </c>
      <c r="C237" s="302"/>
      <c r="D237" s="1584" t="s">
        <v>708</v>
      </c>
      <c r="E237" s="1584"/>
      <c r="F237" s="1584"/>
      <c r="G237" s="288"/>
    </row>
    <row r="238" spans="1:7" ht="14.25">
      <c r="A238" s="413"/>
      <c r="B238" s="14"/>
      <c r="C238" s="302"/>
      <c r="D238" s="1584" t="s">
        <v>1230</v>
      </c>
      <c r="E238" s="1584"/>
      <c r="F238" s="1584"/>
      <c r="G238" s="288"/>
    </row>
    <row r="239" spans="1:7" ht="14.25">
      <c r="A239" s="413"/>
      <c r="B239" s="413"/>
      <c r="C239" s="302"/>
      <c r="D239" s="300" t="s">
        <v>1593</v>
      </c>
      <c r="E239" s="1592" t="s">
        <v>1599</v>
      </c>
      <c r="F239" s="1592"/>
      <c r="G239" s="288"/>
    </row>
    <row r="240" spans="1:7" ht="12.75">
      <c r="A240" s="417"/>
      <c r="B240" s="417"/>
      <c r="C240" s="302"/>
      <c r="D240" s="1583" t="s">
        <v>2205</v>
      </c>
      <c r="E240" s="1584"/>
      <c r="F240" s="1584"/>
      <c r="G240" s="288"/>
    </row>
    <row r="241" spans="1:7" ht="12.75">
      <c r="A241" s="417"/>
      <c r="B241" s="417"/>
      <c r="C241" s="302"/>
      <c r="D241" s="1365"/>
      <c r="E241" s="1365"/>
      <c r="F241" s="1365"/>
      <c r="G241" s="288"/>
    </row>
    <row r="242" spans="1:7" ht="14.25">
      <c r="A242" s="413"/>
      <c r="B242" s="1544" t="s">
        <v>136</v>
      </c>
      <c r="C242" s="302"/>
      <c r="D242" s="1583" t="s">
        <v>2204</v>
      </c>
      <c r="E242" s="1584"/>
      <c r="F242" s="1584"/>
      <c r="G242" s="288"/>
    </row>
    <row r="243" spans="1:7" ht="14.25">
      <c r="A243" s="413"/>
      <c r="B243" s="14"/>
      <c r="C243" s="302"/>
      <c r="D243" s="1584" t="s">
        <v>1230</v>
      </c>
      <c r="E243" s="1584"/>
      <c r="F243" s="1584"/>
      <c r="G243" s="288"/>
    </row>
    <row r="244" spans="1:7" ht="14.25">
      <c r="A244" s="413"/>
      <c r="B244" s="413"/>
      <c r="C244" s="302"/>
      <c r="D244" s="1366" t="s">
        <v>1593</v>
      </c>
      <c r="E244" s="1592" t="s">
        <v>2206</v>
      </c>
      <c r="F244" s="1592"/>
      <c r="G244" s="288"/>
    </row>
    <row r="245" spans="1:7" ht="12.75">
      <c r="A245" s="417"/>
      <c r="B245" s="417"/>
      <c r="C245" s="302"/>
      <c r="D245" s="1583" t="s">
        <v>2207</v>
      </c>
      <c r="E245" s="1584"/>
      <c r="F245" s="1584"/>
      <c r="G245" s="288"/>
    </row>
    <row r="246" spans="1:7" ht="12.75">
      <c r="A246" s="417"/>
      <c r="B246" s="417"/>
      <c r="C246" s="302"/>
      <c r="D246" s="403"/>
      <c r="E246" s="288"/>
      <c r="F246" s="288"/>
      <c r="G246" s="288"/>
    </row>
    <row r="247" spans="1:7" ht="14.25">
      <c r="A247" s="413"/>
      <c r="B247" s="1544" t="s">
        <v>136</v>
      </c>
      <c r="D247" s="960" t="s">
        <v>1624</v>
      </c>
      <c r="E247" s="960"/>
      <c r="F247" s="960"/>
    </row>
    <row r="248" spans="1:7" ht="14.25">
      <c r="A248" s="413"/>
      <c r="B248" s="2"/>
      <c r="D248" s="1574" t="s">
        <v>1980</v>
      </c>
      <c r="E248" s="1575"/>
      <c r="F248" s="1575"/>
    </row>
    <row r="249" spans="1:7" ht="14.25">
      <c r="A249" s="413"/>
      <c r="B249" s="417"/>
      <c r="D249" s="1575"/>
      <c r="E249" s="1575"/>
      <c r="F249" s="1575"/>
    </row>
    <row r="250" spans="1:7" ht="14.25">
      <c r="A250" s="413"/>
      <c r="B250" s="417"/>
      <c r="D250" s="1575"/>
      <c r="E250" s="1575"/>
      <c r="F250" s="1575"/>
    </row>
    <row r="251" spans="1:7" ht="14.25">
      <c r="A251" s="413"/>
      <c r="B251" s="417"/>
      <c r="D251" s="959"/>
      <c r="E251" s="959"/>
      <c r="F251" s="959"/>
    </row>
    <row r="252" spans="1:7" ht="14.25">
      <c r="A252" s="413"/>
      <c r="B252" s="1544" t="s">
        <v>136</v>
      </c>
      <c r="D252" s="1632" t="s">
        <v>1134</v>
      </c>
      <c r="E252" s="1632"/>
      <c r="F252" s="1632"/>
    </row>
    <row r="253" spans="1:7" ht="14.25">
      <c r="A253" s="413"/>
      <c r="B253" s="417"/>
      <c r="D253" s="960"/>
      <c r="E253" s="960"/>
      <c r="F253" s="960"/>
    </row>
    <row r="254" spans="1:7" ht="12.75">
      <c r="A254" s="1591" t="s">
        <v>1543</v>
      </c>
      <c r="B254" s="1591"/>
      <c r="C254" s="1591"/>
      <c r="D254" s="1591"/>
      <c r="E254" s="1591"/>
      <c r="F254" s="1591"/>
      <c r="G254" s="1591"/>
    </row>
    <row r="255" spans="1:7" ht="12.75">
      <c r="A255" s="140"/>
      <c r="B255" s="140"/>
      <c r="C255" s="14"/>
      <c r="D255" s="287"/>
      <c r="E255" s="282"/>
      <c r="F255" s="282"/>
    </row>
    <row r="256" spans="1:7" ht="12.75">
      <c r="A256" s="140"/>
      <c r="B256" s="140"/>
      <c r="C256" s="926"/>
      <c r="D256" s="1582" t="s">
        <v>1542</v>
      </c>
      <c r="E256" s="1582"/>
      <c r="F256" s="1582"/>
    </row>
    <row r="257" spans="1:7" ht="12.75">
      <c r="A257" s="414"/>
      <c r="B257" s="414"/>
      <c r="C257" s="298"/>
      <c r="D257" s="1577" t="s">
        <v>1576</v>
      </c>
      <c r="E257" s="1577"/>
      <c r="F257" s="1577"/>
    </row>
    <row r="258" spans="1:7" ht="12.75">
      <c r="A258" s="33"/>
      <c r="B258" s="33"/>
      <c r="C258" s="320"/>
      <c r="D258" s="6"/>
      <c r="E258" s="282"/>
      <c r="F258" s="282"/>
    </row>
    <row r="259" spans="1:7" ht="12.75">
      <c r="A259" s="33"/>
      <c r="B259" s="14"/>
      <c r="C259" s="320"/>
      <c r="D259" s="1582" t="s">
        <v>232</v>
      </c>
      <c r="E259" s="1582"/>
      <c r="F259" s="1582"/>
      <c r="G259" s="2"/>
    </row>
    <row r="260" spans="1:7" ht="14.45" customHeight="1">
      <c r="A260" s="413"/>
      <c r="B260" s="1382" t="s">
        <v>1531</v>
      </c>
      <c r="C260" s="1476"/>
      <c r="D260" s="1599" t="s">
        <v>2305</v>
      </c>
      <c r="E260" s="1599"/>
      <c r="F260" s="1599"/>
      <c r="G260" s="2"/>
    </row>
    <row r="261" spans="1:7" ht="14.25">
      <c r="A261" s="413"/>
      <c r="B261" s="1477"/>
      <c r="C261" s="1476"/>
      <c r="D261" s="1599"/>
      <c r="E261" s="1599"/>
      <c r="F261" s="1599"/>
      <c r="G261" s="2"/>
    </row>
    <row r="262" spans="1:7" ht="14.25">
      <c r="A262" s="413"/>
      <c r="B262" s="1477"/>
      <c r="C262" s="1476"/>
      <c r="D262" s="1599"/>
      <c r="E262" s="1599"/>
      <c r="F262" s="1599"/>
      <c r="G262" s="2"/>
    </row>
    <row r="263" spans="1:7" ht="14.45" customHeight="1">
      <c r="A263" s="413"/>
      <c r="B263" s="1477"/>
      <c r="C263" s="1476"/>
      <c r="D263" s="1599"/>
      <c r="E263" s="1599"/>
      <c r="F263" s="1599"/>
      <c r="G263" s="2"/>
    </row>
    <row r="264" spans="1:7" ht="14.25">
      <c r="A264" s="413"/>
      <c r="B264" s="1477"/>
      <c r="C264" s="1476"/>
      <c r="D264" s="1478"/>
      <c r="E264" s="1478"/>
      <c r="F264" s="1478"/>
      <c r="G264" s="2"/>
    </row>
    <row r="265" spans="1:7" ht="14.25">
      <c r="A265" s="413"/>
      <c r="B265" s="1382" t="s">
        <v>1531</v>
      </c>
      <c r="C265" s="1476"/>
      <c r="D265" s="1599" t="s">
        <v>2306</v>
      </c>
      <c r="E265" s="1599"/>
      <c r="F265" s="1599"/>
      <c r="G265" s="2"/>
    </row>
    <row r="266" spans="1:7" ht="14.25">
      <c r="A266" s="413"/>
      <c r="B266" s="1477"/>
      <c r="C266" s="1476"/>
      <c r="D266" s="1599"/>
      <c r="E266" s="1599"/>
      <c r="F266" s="1599"/>
      <c r="G266" s="2"/>
    </row>
    <row r="267" spans="1:7" ht="14.25">
      <c r="A267" s="413"/>
      <c r="B267" s="1477"/>
      <c r="C267" s="1476"/>
      <c r="D267" s="1599"/>
      <c r="E267" s="1599"/>
      <c r="F267" s="1599"/>
      <c r="G267" s="2"/>
    </row>
    <row r="268" spans="1:7" ht="14.25">
      <c r="A268" s="413"/>
      <c r="B268" s="1477"/>
      <c r="C268" s="1476"/>
      <c r="D268" s="1599"/>
      <c r="E268" s="1599"/>
      <c r="F268" s="1599"/>
      <c r="G268" s="2"/>
    </row>
    <row r="269" spans="1:7" ht="14.25">
      <c r="A269" s="413"/>
      <c r="B269" s="1477"/>
      <c r="C269" s="1476"/>
      <c r="D269" s="1599"/>
      <c r="E269" s="1599"/>
      <c r="F269" s="1599"/>
      <c r="G269" s="2"/>
    </row>
    <row r="270" spans="1:7" ht="14.25">
      <c r="A270" s="413"/>
      <c r="B270" s="1477"/>
      <c r="C270" s="1476"/>
      <c r="D270" s="1478"/>
      <c r="E270" s="1478"/>
      <c r="F270" s="1478"/>
      <c r="G270" s="2"/>
    </row>
    <row r="271" spans="1:7" ht="14.25">
      <c r="A271" s="413"/>
      <c r="B271" s="1477"/>
      <c r="C271" s="1476"/>
      <c r="D271" s="1599" t="s">
        <v>1755</v>
      </c>
      <c r="E271" s="1599"/>
      <c r="F271" s="1599"/>
      <c r="G271" s="2"/>
    </row>
    <row r="272" spans="1:7" ht="14.25">
      <c r="A272" s="413"/>
      <c r="B272" s="1477"/>
      <c r="C272" s="1476"/>
      <c r="D272" s="1599"/>
      <c r="E272" s="1599"/>
      <c r="F272" s="1599"/>
      <c r="G272" s="2"/>
    </row>
    <row r="273" spans="1:7" ht="14.25">
      <c r="A273" s="413"/>
      <c r="B273" s="1477"/>
      <c r="C273" s="1476"/>
      <c r="D273" s="1599"/>
      <c r="E273" s="1599"/>
      <c r="F273" s="1599"/>
      <c r="G273" s="2"/>
    </row>
    <row r="274" spans="1:7" ht="14.25">
      <c r="A274" s="413"/>
      <c r="B274" s="1477"/>
      <c r="C274" s="1476"/>
      <c r="D274" s="1599"/>
      <c r="E274" s="1599"/>
      <c r="F274" s="1599"/>
      <c r="G274" s="2"/>
    </row>
    <row r="275" spans="1:7" ht="14.25">
      <c r="A275" s="413"/>
      <c r="B275" s="1477"/>
      <c r="C275" s="1476"/>
      <c r="D275" s="1599"/>
      <c r="E275" s="1599"/>
      <c r="F275" s="1599"/>
      <c r="G275" s="2"/>
    </row>
    <row r="276" spans="1:7" ht="14.25">
      <c r="A276" s="413"/>
      <c r="B276" s="413"/>
      <c r="C276" s="14"/>
      <c r="D276" s="980"/>
      <c r="E276" s="980"/>
      <c r="F276" s="980"/>
      <c r="G276" s="2"/>
    </row>
    <row r="277" spans="1:7" s="770" customFormat="1" ht="14.45" customHeight="1">
      <c r="A277" s="1353"/>
      <c r="B277" s="1544" t="s">
        <v>136</v>
      </c>
      <c r="C277" s="1354"/>
      <c r="D277" s="1593" t="s">
        <v>2197</v>
      </c>
      <c r="E277" s="1593"/>
      <c r="F277" s="1593"/>
      <c r="G277" s="1355"/>
    </row>
    <row r="278" spans="1:7" s="770" customFormat="1" ht="14.25">
      <c r="A278" s="1353"/>
      <c r="B278" s="1354"/>
      <c r="C278" s="1354"/>
      <c r="D278" s="1593"/>
      <c r="E278" s="1593"/>
      <c r="F278" s="1593"/>
      <c r="G278" s="1355"/>
    </row>
    <row r="279" spans="1:7" s="770" customFormat="1" ht="14.25">
      <c r="A279" s="1353"/>
      <c r="B279" s="1354"/>
      <c r="C279" s="1354"/>
      <c r="D279" s="1593"/>
      <c r="E279" s="1593"/>
      <c r="F279" s="1593"/>
      <c r="G279" s="1355"/>
    </row>
    <row r="280" spans="1:7" s="770" customFormat="1" ht="12.75">
      <c r="A280" s="1354"/>
      <c r="B280" s="1354"/>
      <c r="C280" s="1354"/>
      <c r="D280" s="1594" t="s">
        <v>2198</v>
      </c>
      <c r="E280" s="1594"/>
      <c r="F280" s="1594"/>
      <c r="G280" s="1355"/>
    </row>
    <row r="281" spans="1:7" ht="14.25">
      <c r="A281" s="413"/>
      <c r="B281" s="413"/>
      <c r="C281" s="14"/>
      <c r="D281" s="287"/>
      <c r="E281" s="2"/>
      <c r="F281" s="2"/>
      <c r="G281" s="2"/>
    </row>
    <row r="282" spans="1:7" ht="14.25">
      <c r="A282" s="413"/>
      <c r="B282" s="950" t="s">
        <v>1531</v>
      </c>
      <c r="C282" s="14"/>
      <c r="D282" s="1577" t="s">
        <v>1231</v>
      </c>
      <c r="E282" s="1577"/>
      <c r="F282" s="1577"/>
      <c r="G282" s="2"/>
    </row>
    <row r="283" spans="1:7" ht="14.25">
      <c r="A283" s="413"/>
      <c r="B283" s="413"/>
      <c r="C283" s="14"/>
      <c r="D283" s="1577" t="s">
        <v>1756</v>
      </c>
      <c r="E283" s="1577"/>
      <c r="F283" s="1577"/>
      <c r="G283" s="2"/>
    </row>
    <row r="284" spans="1:7" ht="14.25">
      <c r="A284" s="413"/>
      <c r="B284" s="413"/>
      <c r="C284" s="14"/>
      <c r="D284" s="988" t="s">
        <v>1159</v>
      </c>
      <c r="E284" s="988"/>
      <c r="F284" s="988"/>
    </row>
    <row r="285" spans="1:7" ht="12.75">
      <c r="A285" s="140"/>
      <c r="B285" s="140"/>
      <c r="C285" s="14"/>
      <c r="D285" s="321"/>
      <c r="E285" s="282"/>
      <c r="F285" s="282"/>
    </row>
    <row r="286" spans="1:7" ht="14.25">
      <c r="A286" s="413"/>
      <c r="B286" s="950" t="s">
        <v>1531</v>
      </c>
      <c r="C286" s="14"/>
      <c r="D286" s="1575" t="s">
        <v>1757</v>
      </c>
      <c r="E286" s="1575"/>
      <c r="F286" s="1575"/>
    </row>
    <row r="287" spans="1:7" ht="14.25">
      <c r="A287" s="413"/>
      <c r="B287" s="413"/>
      <c r="C287" s="14"/>
      <c r="D287" s="1575"/>
      <c r="E287" s="1575"/>
      <c r="F287" s="1575"/>
    </row>
    <row r="288" spans="1:7" ht="12.75">
      <c r="A288" s="140"/>
      <c r="B288" s="140"/>
      <c r="C288" s="14"/>
      <c r="D288" s="321"/>
      <c r="E288" s="282"/>
      <c r="F288" s="282"/>
    </row>
    <row r="289" spans="1:7" ht="12.75">
      <c r="A289" s="1591" t="s">
        <v>1545</v>
      </c>
      <c r="B289" s="1591"/>
      <c r="C289" s="1591"/>
      <c r="D289" s="1591"/>
      <c r="E289" s="1591"/>
      <c r="F289" s="1591"/>
      <c r="G289" s="1591"/>
    </row>
    <row r="290" spans="1:7" ht="12.75">
      <c r="A290" s="140"/>
      <c r="B290" s="140"/>
      <c r="C290" s="14"/>
      <c r="D290" s="321"/>
      <c r="E290" s="282"/>
      <c r="F290" s="282"/>
    </row>
    <row r="291" spans="1:7" ht="12.75">
      <c r="A291" s="140"/>
      <c r="B291" s="140"/>
      <c r="C291" s="926"/>
      <c r="D291" s="1582" t="s">
        <v>1544</v>
      </c>
      <c r="E291" s="1582"/>
      <c r="F291" s="1582"/>
    </row>
    <row r="292" spans="1:7" ht="12.75">
      <c r="A292" s="414"/>
      <c r="B292" s="414"/>
      <c r="C292" s="298"/>
      <c r="D292" s="287"/>
      <c r="E292" s="282"/>
      <c r="F292" s="282"/>
    </row>
    <row r="293" spans="1:7" ht="12.75">
      <c r="A293" s="415"/>
      <c r="B293" s="415"/>
      <c r="C293" s="299"/>
      <c r="D293" s="1582" t="s">
        <v>234</v>
      </c>
      <c r="E293" s="1582"/>
      <c r="F293" s="1582"/>
    </row>
    <row r="294" spans="1:7" ht="14.45" customHeight="1">
      <c r="A294" s="413"/>
      <c r="B294" s="950" t="s">
        <v>136</v>
      </c>
      <c r="C294" s="14"/>
      <c r="D294" s="1574" t="s">
        <v>2145</v>
      </c>
      <c r="E294" s="1575"/>
      <c r="F294" s="1575"/>
    </row>
    <row r="295" spans="1:7" ht="12.75">
      <c r="A295" s="140"/>
      <c r="B295" s="140"/>
      <c r="C295" s="14"/>
      <c r="D295" s="1575"/>
      <c r="E295" s="1575"/>
      <c r="F295" s="1575"/>
    </row>
    <row r="296" spans="1:7" ht="12.75">
      <c r="A296" s="140"/>
      <c r="B296" s="140"/>
      <c r="C296" s="14"/>
      <c r="D296" s="1575"/>
      <c r="E296" s="1575"/>
      <c r="F296" s="1575"/>
    </row>
    <row r="297" spans="1:7" ht="12.75">
      <c r="A297" s="1024"/>
      <c r="B297" s="1024"/>
      <c r="C297" s="14"/>
      <c r="D297" s="1352"/>
      <c r="E297" s="1352"/>
      <c r="F297" s="1352"/>
    </row>
    <row r="298" spans="1:7" s="770" customFormat="1" ht="14.45" customHeight="1">
      <c r="A298" s="1353"/>
      <c r="B298" s="1544" t="s">
        <v>136</v>
      </c>
      <c r="C298" s="1354"/>
      <c r="D298" s="1593" t="s">
        <v>2199</v>
      </c>
      <c r="E298" s="1593"/>
      <c r="F298" s="1593"/>
      <c r="G298" s="1355"/>
    </row>
    <row r="299" spans="1:7" s="770" customFormat="1" ht="12.75">
      <c r="A299" s="1354"/>
      <c r="B299" s="1354"/>
      <c r="C299" s="1354"/>
      <c r="D299" s="1593"/>
      <c r="E299" s="1593"/>
      <c r="F299" s="1593"/>
      <c r="G299" s="1355"/>
    </row>
    <row r="300" spans="1:7" s="770" customFormat="1" ht="12.75">
      <c r="A300" s="1354"/>
      <c r="B300" s="1354"/>
      <c r="C300" s="1354"/>
      <c r="D300" s="1593"/>
      <c r="E300" s="1593"/>
      <c r="F300" s="1593"/>
      <c r="G300" s="1355"/>
    </row>
    <row r="301" spans="1:7" s="770" customFormat="1" ht="12.75">
      <c r="A301" s="1354"/>
      <c r="B301" s="1354"/>
      <c r="C301" s="1354"/>
      <c r="D301" s="1595" t="s">
        <v>2200</v>
      </c>
      <c r="E301" s="1595"/>
      <c r="F301" s="1595"/>
      <c r="G301" s="1355"/>
    </row>
    <row r="302" spans="1:7" ht="12.75">
      <c r="A302" s="140"/>
      <c r="B302" s="140"/>
      <c r="C302" s="14"/>
      <c r="D302" s="332"/>
      <c r="E302" s="282"/>
      <c r="F302" s="282"/>
    </row>
    <row r="303" spans="1:7" ht="12.75">
      <c r="A303" s="1591" t="s">
        <v>1546</v>
      </c>
      <c r="B303" s="1591"/>
      <c r="C303" s="1591"/>
      <c r="D303" s="1591"/>
      <c r="E303" s="1591"/>
      <c r="F303" s="1591"/>
      <c r="G303" s="1591"/>
    </row>
    <row r="304" spans="1:7" ht="12.75">
      <c r="A304" s="140"/>
      <c r="B304" s="140"/>
      <c r="C304" s="14"/>
      <c r="D304" s="332"/>
      <c r="E304" s="282"/>
      <c r="F304" s="282"/>
    </row>
    <row r="305" spans="1:7" ht="12.75">
      <c r="A305" s="140"/>
      <c r="B305" s="140"/>
      <c r="C305" s="298"/>
      <c r="D305" s="1610" t="s">
        <v>1758</v>
      </c>
      <c r="E305" s="1610"/>
      <c r="F305" s="1610"/>
    </row>
    <row r="306" spans="1:7" ht="12.75">
      <c r="A306" s="140"/>
      <c r="B306" s="140"/>
      <c r="C306" s="298"/>
      <c r="D306" s="1610"/>
      <c r="E306" s="1610"/>
      <c r="F306" s="1610"/>
    </row>
    <row r="307" spans="1:7" ht="12.75">
      <c r="A307" s="415"/>
      <c r="B307" s="415"/>
      <c r="C307" s="299"/>
      <c r="D307" s="6"/>
      <c r="E307" s="282"/>
      <c r="F307" s="282"/>
    </row>
    <row r="308" spans="1:7" ht="12.75">
      <c r="A308" s="140"/>
      <c r="B308" s="140"/>
      <c r="C308" s="299"/>
      <c r="D308" s="1582" t="s">
        <v>179</v>
      </c>
      <c r="E308" s="1582"/>
      <c r="F308" s="1582"/>
    </row>
    <row r="309" spans="1:7" ht="14.25">
      <c r="A309" s="413"/>
      <c r="B309" s="413"/>
      <c r="C309" s="14"/>
      <c r="D309" s="1601" t="s">
        <v>1759</v>
      </c>
      <c r="E309" s="1601"/>
      <c r="F309" s="1601"/>
    </row>
    <row r="310" spans="1:7" ht="12" customHeight="1">
      <c r="A310" s="140"/>
      <c r="B310" s="140"/>
      <c r="C310" s="14"/>
      <c r="D310" s="282"/>
      <c r="E310" s="282"/>
      <c r="F310" s="282"/>
    </row>
    <row r="311" spans="1:7" ht="14.45" customHeight="1">
      <c r="A311" s="413"/>
      <c r="B311" s="1544" t="s">
        <v>136</v>
      </c>
      <c r="C311" s="14"/>
      <c r="D311" s="1575" t="s">
        <v>1760</v>
      </c>
      <c r="E311" s="1575"/>
      <c r="F311" s="1575"/>
    </row>
    <row r="312" spans="1:7" ht="14.25">
      <c r="A312" s="413"/>
      <c r="B312" s="413"/>
      <c r="C312" s="14"/>
      <c r="D312" s="1575"/>
      <c r="E312" s="1575"/>
      <c r="F312" s="1575"/>
    </row>
    <row r="313" spans="1:7" ht="12.75">
      <c r="A313" s="140"/>
      <c r="B313" s="140"/>
      <c r="C313" s="14"/>
      <c r="D313" s="282"/>
      <c r="E313" s="282"/>
      <c r="F313" s="282"/>
    </row>
    <row r="314" spans="1:7" ht="14.45" customHeight="1">
      <c r="A314" s="413"/>
      <c r="B314" s="1544" t="s">
        <v>136</v>
      </c>
      <c r="C314" s="14"/>
      <c r="D314" s="1573" t="s">
        <v>1761</v>
      </c>
      <c r="E314" s="1573"/>
      <c r="F314" s="1573"/>
    </row>
    <row r="315" spans="1:7" ht="14.25">
      <c r="A315" s="413"/>
      <c r="B315" s="413"/>
      <c r="C315" s="14"/>
      <c r="D315" s="1573"/>
      <c r="E315" s="1573"/>
      <c r="F315" s="1573"/>
    </row>
    <row r="316" spans="1:7" ht="14.25">
      <c r="A316" s="413"/>
      <c r="B316" s="413"/>
      <c r="C316" s="14"/>
      <c r="D316" s="1573"/>
      <c r="E316" s="1573"/>
      <c r="F316" s="1573"/>
    </row>
    <row r="317" spans="1:7" ht="12.75">
      <c r="A317" s="140"/>
      <c r="B317" s="140"/>
      <c r="C317" s="14"/>
      <c r="D317" s="143"/>
      <c r="E317"/>
      <c r="F317"/>
      <c r="G317"/>
    </row>
    <row r="318" spans="1:7" ht="14.25">
      <c r="A318" s="413"/>
      <c r="B318" s="1544" t="s">
        <v>136</v>
      </c>
      <c r="C318" s="14"/>
      <c r="D318" s="1575" t="s">
        <v>1762</v>
      </c>
      <c r="E318" s="1575"/>
      <c r="F318" s="1575"/>
    </row>
    <row r="319" spans="1:7" ht="14.25">
      <c r="A319" s="413"/>
      <c r="B319" s="413"/>
      <c r="C319" s="14"/>
      <c r="D319" s="1575"/>
      <c r="E319" s="1575"/>
      <c r="F319" s="1575"/>
    </row>
    <row r="320" spans="1:7" ht="12.75">
      <c r="A320" s="33"/>
      <c r="B320" s="33"/>
      <c r="C320" s="14"/>
      <c r="D320" s="287"/>
      <c r="E320" s="282"/>
      <c r="F320" s="282"/>
    </row>
    <row r="321" spans="1:7" ht="12.75">
      <c r="A321" s="1591" t="s">
        <v>1533</v>
      </c>
      <c r="B321" s="1591"/>
      <c r="C321" s="1591"/>
      <c r="D321" s="1591"/>
      <c r="E321" s="1591"/>
      <c r="F321" s="1591"/>
      <c r="G321" s="1591"/>
    </row>
    <row r="322" spans="1:7" ht="12.75">
      <c r="A322" s="33"/>
      <c r="B322" s="33"/>
      <c r="C322" s="14"/>
      <c r="D322" s="287"/>
      <c r="E322" s="282"/>
      <c r="F322" s="282"/>
      <c r="G322" s="2"/>
    </row>
    <row r="323" spans="1:7" ht="12.75">
      <c r="A323" s="140"/>
      <c r="B323" s="140"/>
      <c r="C323" s="320"/>
      <c r="D323" s="1582" t="s">
        <v>180</v>
      </c>
      <c r="E323" s="1582"/>
      <c r="F323" s="1582"/>
      <c r="G323" s="2"/>
    </row>
    <row r="324" spans="1:7" ht="12.75">
      <c r="A324" s="140"/>
      <c r="B324" s="140"/>
      <c r="C324" s="320"/>
      <c r="D324" s="1577" t="s">
        <v>1577</v>
      </c>
      <c r="E324" s="1577"/>
      <c r="F324" s="1577"/>
      <c r="G324" s="2"/>
    </row>
    <row r="325" spans="1:7" ht="12.75">
      <c r="A325" s="140"/>
      <c r="B325" s="140"/>
      <c r="C325" s="320"/>
      <c r="D325" s="290"/>
      <c r="E325" s="282"/>
      <c r="F325" s="282"/>
      <c r="G325" s="2"/>
    </row>
    <row r="326" spans="1:7" ht="12.75">
      <c r="A326" s="140"/>
      <c r="B326" s="1544" t="s">
        <v>136</v>
      </c>
      <c r="C326" s="14"/>
      <c r="D326" s="1577" t="s">
        <v>1763</v>
      </c>
      <c r="E326" s="1577"/>
      <c r="F326" s="1577"/>
      <c r="G326" s="2"/>
    </row>
    <row r="327" spans="1:7" ht="14.25">
      <c r="A327" s="570"/>
      <c r="B327" s="570"/>
      <c r="D327" s="702"/>
      <c r="G327" s="2"/>
    </row>
    <row r="328" spans="1:7" ht="14.25">
      <c r="A328" s="413"/>
      <c r="B328" s="1544" t="s">
        <v>136</v>
      </c>
      <c r="C328" s="14"/>
      <c r="D328" s="1577" t="s">
        <v>1764</v>
      </c>
      <c r="E328" s="1577"/>
      <c r="F328" s="1577"/>
      <c r="G328" s="2"/>
    </row>
    <row r="329" spans="1:7" ht="12.75">
      <c r="A329" s="140"/>
      <c r="B329" s="140"/>
      <c r="C329" s="14"/>
      <c r="D329" s="282"/>
      <c r="E329" s="282"/>
      <c r="F329" s="282"/>
      <c r="G329" s="2"/>
    </row>
    <row r="330" spans="1:7" ht="14.45" customHeight="1">
      <c r="A330" s="413"/>
      <c r="B330" s="1544" t="s">
        <v>136</v>
      </c>
      <c r="C330" s="14"/>
      <c r="D330" s="1573" t="s">
        <v>1770</v>
      </c>
      <c r="E330" s="1573"/>
      <c r="F330" s="1573"/>
      <c r="G330" s="2"/>
    </row>
    <row r="331" spans="1:7" ht="14.25">
      <c r="A331" s="413"/>
      <c r="B331" s="413"/>
      <c r="C331" s="14"/>
      <c r="D331" s="1573"/>
      <c r="E331" s="1573"/>
      <c r="F331" s="1573"/>
      <c r="G331" s="2"/>
    </row>
    <row r="332" spans="1:7" ht="14.25">
      <c r="A332" s="413"/>
      <c r="B332" s="413"/>
      <c r="C332" s="14"/>
      <c r="D332" s="1573"/>
      <c r="E332" s="1573"/>
      <c r="F332" s="1573"/>
      <c r="G332" s="2"/>
    </row>
    <row r="333" spans="1:7" ht="14.25">
      <c r="A333" s="413"/>
      <c r="B333" s="413"/>
      <c r="C333" s="14"/>
      <c r="D333" s="1573"/>
      <c r="E333" s="1573"/>
      <c r="F333" s="1573"/>
      <c r="G333" s="2"/>
    </row>
    <row r="334" spans="1:7" ht="14.25">
      <c r="A334" s="413"/>
      <c r="B334" s="413"/>
      <c r="C334" s="14"/>
      <c r="D334" s="1573"/>
      <c r="E334" s="1573"/>
      <c r="F334" s="1573"/>
      <c r="G334" s="2"/>
    </row>
    <row r="335" spans="1:7" ht="14.25">
      <c r="A335" s="413"/>
      <c r="B335" s="413"/>
      <c r="C335" s="14"/>
      <c r="D335" s="1573"/>
      <c r="E335" s="1573"/>
      <c r="F335" s="1573"/>
      <c r="G335" s="2"/>
    </row>
    <row r="336" spans="1:7" ht="14.25">
      <c r="A336" s="413"/>
      <c r="B336" s="413"/>
      <c r="C336" s="14"/>
      <c r="D336" s="1573"/>
      <c r="E336" s="1573"/>
      <c r="F336" s="1573"/>
      <c r="G336" s="2"/>
    </row>
    <row r="337" spans="1:8" ht="14.25">
      <c r="A337" s="413"/>
      <c r="B337" s="413"/>
      <c r="C337" s="14"/>
      <c r="D337" s="1573"/>
      <c r="E337" s="1573"/>
      <c r="F337" s="1573"/>
      <c r="G337" s="2"/>
    </row>
    <row r="338" spans="1:8" ht="14.25">
      <c r="A338" s="413"/>
      <c r="B338" s="413"/>
      <c r="C338" s="14"/>
      <c r="D338" s="1573"/>
      <c r="E338" s="1573"/>
      <c r="F338" s="1573"/>
    </row>
    <row r="339" spans="1:8" ht="14.25">
      <c r="A339" s="413"/>
      <c r="B339" s="413"/>
      <c r="C339" s="14"/>
      <c r="D339" s="1573"/>
      <c r="E339" s="1573"/>
      <c r="F339" s="1573"/>
    </row>
    <row r="340" spans="1:8" ht="14.25">
      <c r="A340" s="413"/>
      <c r="B340" s="413"/>
      <c r="C340" s="14"/>
      <c r="D340" s="1573"/>
      <c r="E340" s="1573"/>
      <c r="F340" s="1573"/>
    </row>
    <row r="341" spans="1:8" ht="14.25">
      <c r="A341" s="413"/>
      <c r="B341" s="413"/>
      <c r="C341" s="14"/>
      <c r="D341" s="1573"/>
      <c r="E341" s="1573"/>
      <c r="F341" s="1573"/>
    </row>
    <row r="342" spans="1:8" ht="14.25">
      <c r="A342" s="413"/>
      <c r="B342" s="413"/>
      <c r="C342" s="14"/>
      <c r="D342" s="1573"/>
      <c r="E342" s="1573"/>
      <c r="F342" s="1573"/>
    </row>
    <row r="343" spans="1:8" ht="14.25">
      <c r="A343" s="413"/>
      <c r="B343" s="413"/>
      <c r="C343" s="14"/>
      <c r="D343" s="1573"/>
      <c r="E343" s="1573"/>
      <c r="F343" s="1573"/>
    </row>
    <row r="344" spans="1:8" ht="14.25">
      <c r="A344" s="413"/>
      <c r="B344" s="413"/>
      <c r="C344" s="14"/>
      <c r="D344" s="1573"/>
      <c r="E344" s="1573"/>
      <c r="F344" s="1573"/>
    </row>
    <row r="345" spans="1:8" ht="12.75">
      <c r="A345" s="140"/>
      <c r="B345" s="140"/>
      <c r="C345" s="14"/>
      <c r="D345" s="282"/>
      <c r="E345" s="282"/>
      <c r="F345" s="282"/>
    </row>
    <row r="346" spans="1:8" s="50" customFormat="1" ht="14.45" customHeight="1">
      <c r="A346" s="413"/>
      <c r="B346" s="1544" t="s">
        <v>136</v>
      </c>
      <c r="C346" s="140"/>
      <c r="D346" s="1573" t="s">
        <v>1765</v>
      </c>
      <c r="E346" s="1573"/>
      <c r="F346" s="1573"/>
      <c r="G346" s="8"/>
      <c r="H346" s="16"/>
    </row>
    <row r="347" spans="1:8" s="50" customFormat="1" ht="12.75">
      <c r="A347" s="140"/>
      <c r="B347" s="140"/>
      <c r="C347" s="140"/>
      <c r="D347" s="1573"/>
      <c r="E347" s="1573"/>
      <c r="F347" s="1573"/>
      <c r="G347" s="8"/>
      <c r="H347" s="16"/>
    </row>
    <row r="348" spans="1:8" s="50" customFormat="1" ht="12.75">
      <c r="A348" s="140"/>
      <c r="B348" s="140"/>
      <c r="C348" s="140"/>
      <c r="D348" s="1573"/>
      <c r="E348" s="1573"/>
      <c r="F348" s="1573"/>
      <c r="G348" s="8"/>
      <c r="H348" s="16"/>
    </row>
    <row r="349" spans="1:8" s="50" customFormat="1" ht="12.75">
      <c r="A349" s="140"/>
      <c r="B349" s="140"/>
      <c r="C349" s="140"/>
      <c r="D349" s="1573"/>
      <c r="E349" s="1573"/>
      <c r="F349" s="1573"/>
      <c r="G349" s="8"/>
      <c r="H349" s="16"/>
    </row>
    <row r="350" spans="1:8" s="50" customFormat="1" ht="12.75">
      <c r="A350" s="140"/>
      <c r="B350" s="140"/>
      <c r="C350" s="140"/>
      <c r="D350" s="1573"/>
      <c r="E350" s="1573"/>
      <c r="F350" s="1573"/>
      <c r="G350" s="8"/>
      <c r="H350" s="16"/>
    </row>
    <row r="351" spans="1:8" s="50" customFormat="1" ht="12.75">
      <c r="A351" s="140"/>
      <c r="B351" s="140"/>
      <c r="C351" s="140"/>
      <c r="D351" s="1573"/>
      <c r="E351" s="1573"/>
      <c r="F351" s="1573"/>
      <c r="G351" s="8"/>
      <c r="H351" s="16"/>
    </row>
    <row r="352" spans="1:8" s="50" customFormat="1" ht="12.75">
      <c r="A352" s="140"/>
      <c r="B352" s="140"/>
      <c r="C352" s="140"/>
      <c r="D352" s="1573"/>
      <c r="E352" s="1573"/>
      <c r="F352" s="1573"/>
      <c r="G352" s="8"/>
      <c r="H352" s="16"/>
    </row>
    <row r="353" spans="1:8" s="50" customFormat="1" ht="12.75">
      <c r="A353" s="140"/>
      <c r="B353" s="140"/>
      <c r="C353" s="140"/>
      <c r="D353" s="1573"/>
      <c r="E353" s="1573"/>
      <c r="F353" s="1573"/>
      <c r="G353" s="8"/>
      <c r="H353" s="16"/>
    </row>
    <row r="354" spans="1:8" s="50" customFormat="1" ht="12.75">
      <c r="A354" s="140"/>
      <c r="B354" s="140"/>
      <c r="C354" s="140"/>
      <c r="D354" s="1573"/>
      <c r="E354" s="1573"/>
      <c r="F354" s="1573"/>
      <c r="G354" s="8"/>
      <c r="H354" s="16"/>
    </row>
    <row r="355" spans="1:8" ht="12.75">
      <c r="A355" s="150"/>
      <c r="B355" s="150"/>
      <c r="E355" s="403"/>
      <c r="F355" s="403"/>
    </row>
    <row r="356" spans="1:8" ht="14.25">
      <c r="A356" s="413"/>
      <c r="B356" s="1544" t="s">
        <v>136</v>
      </c>
      <c r="C356" s="14"/>
      <c r="D356" s="1574" t="s">
        <v>2137</v>
      </c>
      <c r="E356" s="1575"/>
      <c r="F356" s="1575"/>
    </row>
    <row r="357" spans="1:8" ht="12.75">
      <c r="A357" s="140"/>
      <c r="B357" s="140"/>
      <c r="C357" s="14"/>
      <c r="D357" s="1575"/>
      <c r="E357" s="1575"/>
      <c r="F357" s="1575"/>
    </row>
    <row r="358" spans="1:8" ht="12.75">
      <c r="A358" s="140"/>
      <c r="B358" s="140"/>
      <c r="C358" s="14"/>
      <c r="D358" s="1575"/>
      <c r="E358" s="1575"/>
      <c r="F358" s="1575"/>
    </row>
    <row r="359" spans="1:8" ht="12.75">
      <c r="A359" s="140"/>
      <c r="B359" s="140"/>
      <c r="C359" s="14"/>
      <c r="D359" s="1575"/>
      <c r="E359" s="1575"/>
      <c r="F359" s="1575"/>
    </row>
    <row r="360" spans="1:8" ht="12.75">
      <c r="A360" s="985"/>
      <c r="B360" s="985"/>
      <c r="C360" s="14"/>
      <c r="D360" s="1575"/>
      <c r="E360" s="1575"/>
      <c r="F360" s="1575"/>
    </row>
    <row r="361" spans="1:8" ht="12.75">
      <c r="A361" s="140"/>
      <c r="B361" s="140"/>
      <c r="C361" s="14"/>
      <c r="D361" s="1575"/>
      <c r="E361" s="1575"/>
      <c r="F361" s="1575"/>
    </row>
    <row r="362" spans="1:8" ht="13.5" thickBot="1">
      <c r="A362" s="140"/>
      <c r="B362" s="140"/>
      <c r="C362" s="14"/>
      <c r="D362" s="1289"/>
      <c r="E362" s="811"/>
      <c r="F362" s="811"/>
      <c r="G362" s="288"/>
    </row>
    <row r="363" spans="1:8" ht="14.25" thickTop="1" thickBot="1">
      <c r="A363" s="140"/>
      <c r="B363" s="140"/>
      <c r="C363" s="140"/>
      <c r="D363" s="1600" t="s">
        <v>1400</v>
      </c>
      <c r="E363" s="1600"/>
      <c r="F363" s="1600"/>
      <c r="G363" s="71"/>
    </row>
    <row r="364" spans="1:8" ht="13.5" thickTop="1">
      <c r="A364" s="140"/>
      <c r="B364" s="140"/>
      <c r="C364" s="140"/>
      <c r="D364" s="1604" t="s">
        <v>1766</v>
      </c>
      <c r="E364" s="1604"/>
      <c r="F364" s="1604"/>
      <c r="G364" s="8"/>
    </row>
    <row r="365" spans="1:8" ht="12.75">
      <c r="A365" s="140"/>
      <c r="B365" s="140"/>
      <c r="C365" s="140"/>
      <c r="D365" s="287"/>
      <c r="E365" s="8"/>
      <c r="F365" s="8"/>
      <c r="G365" s="8"/>
    </row>
    <row r="366" spans="1:8" ht="14.25">
      <c r="A366" s="413"/>
      <c r="B366" s="1544" t="s">
        <v>136</v>
      </c>
      <c r="C366" s="597"/>
      <c r="D366" s="1598" t="s">
        <v>1771</v>
      </c>
      <c r="E366" s="1598"/>
      <c r="F366" s="1598"/>
      <c r="G366" s="8"/>
    </row>
    <row r="367" spans="1:8" ht="14.25">
      <c r="A367" s="413"/>
      <c r="B367" s="413"/>
      <c r="C367" s="597"/>
      <c r="D367" s="666"/>
      <c r="E367" s="8"/>
      <c r="F367" s="8"/>
      <c r="G367" s="8"/>
    </row>
    <row r="368" spans="1:8" ht="14.25">
      <c r="A368" s="413"/>
      <c r="B368" s="1544" t="s">
        <v>136</v>
      </c>
      <c r="C368" s="597"/>
      <c r="D368" s="1602" t="s">
        <v>1774</v>
      </c>
      <c r="E368" s="1603"/>
      <c r="F368" s="1603"/>
      <c r="G368" s="8"/>
    </row>
    <row r="369" spans="1:7" ht="14.25">
      <c r="A369" s="413"/>
      <c r="B369" s="413"/>
      <c r="C369" s="597"/>
      <c r="D369" s="1603"/>
      <c r="E369" s="1603"/>
      <c r="F369" s="1603"/>
      <c r="G369" s="8"/>
    </row>
    <row r="370" spans="1:7" ht="14.25">
      <c r="A370" s="413"/>
      <c r="B370" s="413"/>
      <c r="C370" s="597"/>
      <c r="D370" s="1603"/>
      <c r="E370" s="1603"/>
      <c r="F370" s="1603"/>
      <c r="G370" s="8"/>
    </row>
    <row r="371" spans="1:7" ht="14.25">
      <c r="A371" s="413"/>
      <c r="B371" s="413"/>
      <c r="C371" s="597"/>
      <c r="D371" s="1603"/>
      <c r="E371" s="1603"/>
      <c r="F371" s="1603"/>
      <c r="G371" s="8"/>
    </row>
    <row r="372" spans="1:7" ht="14.25">
      <c r="A372" s="413"/>
      <c r="B372" s="413"/>
      <c r="C372" s="597"/>
      <c r="D372" s="1603"/>
      <c r="E372" s="1603"/>
      <c r="F372" s="1603"/>
      <c r="G372" s="8"/>
    </row>
    <row r="373" spans="1:7" ht="14.25">
      <c r="A373" s="413"/>
      <c r="B373" s="413"/>
      <c r="C373" s="597"/>
      <c r="D373" s="1603"/>
      <c r="E373" s="1603"/>
      <c r="F373" s="1603"/>
      <c r="G373" s="8"/>
    </row>
    <row r="374" spans="1:7" ht="14.25">
      <c r="A374" s="413"/>
      <c r="B374" s="413"/>
      <c r="C374" s="597"/>
      <c r="D374" s="1603"/>
      <c r="E374" s="1603"/>
      <c r="F374" s="1603"/>
      <c r="G374" s="8"/>
    </row>
    <row r="375" spans="1:7" ht="14.25">
      <c r="A375" s="413"/>
      <c r="B375" s="413"/>
      <c r="C375" s="597"/>
      <c r="D375" s="1603"/>
      <c r="E375" s="1603"/>
      <c r="F375" s="1603"/>
      <c r="G375" s="8"/>
    </row>
    <row r="376" spans="1:7" ht="14.25">
      <c r="A376" s="413"/>
      <c r="B376" s="413"/>
      <c r="C376" s="597"/>
      <c r="D376" s="1603"/>
      <c r="E376" s="1603"/>
      <c r="F376" s="1603"/>
      <c r="G376" s="8"/>
    </row>
    <row r="377" spans="1:7" ht="14.25">
      <c r="A377" s="413"/>
      <c r="B377" s="413"/>
      <c r="C377" s="597"/>
      <c r="D377" s="1603"/>
      <c r="E377" s="1603"/>
      <c r="F377" s="1603"/>
      <c r="G377" s="8"/>
    </row>
    <row r="378" spans="1:7" ht="14.25">
      <c r="A378" s="413"/>
      <c r="B378" s="413"/>
      <c r="C378" s="597"/>
      <c r="D378" s="990"/>
      <c r="E378" s="990"/>
      <c r="F378" s="990"/>
      <c r="G378" s="8"/>
    </row>
    <row r="379" spans="1:7" ht="14.25">
      <c r="A379" s="413"/>
      <c r="B379" s="1544" t="s">
        <v>136</v>
      </c>
      <c r="C379" s="597"/>
      <c r="D379" s="1596" t="s">
        <v>1767</v>
      </c>
      <c r="E379" s="1596"/>
      <c r="F379" s="1596"/>
      <c r="G379" s="8"/>
    </row>
    <row r="380" spans="1:7" ht="12.75">
      <c r="A380" s="597"/>
      <c r="B380" s="597"/>
      <c r="C380" s="597"/>
      <c r="D380" s="1596"/>
      <c r="E380" s="1596"/>
      <c r="F380" s="1596"/>
      <c r="G380" s="8"/>
    </row>
    <row r="381" spans="1:7" ht="12.75">
      <c r="A381" s="597"/>
      <c r="B381" s="597"/>
      <c r="C381" s="597"/>
      <c r="D381" s="1596"/>
      <c r="E381" s="1596"/>
      <c r="F381" s="1596"/>
      <c r="G381" s="8"/>
    </row>
    <row r="382" spans="1:7" ht="12.75">
      <c r="A382" s="597"/>
      <c r="B382" s="597"/>
      <c r="C382" s="597"/>
      <c r="D382" s="1596"/>
      <c r="E382" s="1596"/>
      <c r="F382" s="1596"/>
      <c r="G382" s="8"/>
    </row>
    <row r="383" spans="1:7" ht="12.75">
      <c r="A383" s="597"/>
      <c r="B383" s="597"/>
      <c r="C383" s="597"/>
      <c r="D383" s="993"/>
      <c r="E383" s="993"/>
      <c r="F383" s="993"/>
      <c r="G383" s="8"/>
    </row>
    <row r="384" spans="1:7" ht="12.75">
      <c r="A384" s="597"/>
      <c r="B384" s="597"/>
      <c r="C384" s="597"/>
      <c r="D384" s="1596" t="s">
        <v>1768</v>
      </c>
      <c r="E384" s="1596"/>
      <c r="F384" s="1596"/>
      <c r="G384" s="8"/>
    </row>
    <row r="385" spans="1:7" ht="12.75">
      <c r="A385" s="597"/>
      <c r="B385" s="597"/>
      <c r="C385" s="597"/>
      <c r="D385" s="1596"/>
      <c r="E385" s="1596"/>
      <c r="F385" s="1596"/>
      <c r="G385" s="8"/>
    </row>
    <row r="386" spans="1:7" ht="12.75">
      <c r="A386" s="597"/>
      <c r="B386" s="597"/>
      <c r="C386" s="597"/>
      <c r="D386" s="1596"/>
      <c r="E386" s="1596"/>
      <c r="F386" s="1596"/>
      <c r="G386" s="8"/>
    </row>
    <row r="387" spans="1:7" ht="12.75">
      <c r="A387" s="597"/>
      <c r="B387" s="597"/>
      <c r="C387" s="597"/>
      <c r="D387" s="1596"/>
      <c r="E387" s="1596"/>
      <c r="F387" s="1596"/>
      <c r="G387" s="8"/>
    </row>
    <row r="388" spans="1:7" ht="12.75">
      <c r="A388" s="597"/>
      <c r="B388" s="597"/>
      <c r="C388" s="597"/>
      <c r="D388" s="1596"/>
      <c r="E388" s="1596"/>
      <c r="F388" s="1596"/>
      <c r="G388" s="8"/>
    </row>
    <row r="389" spans="1:7" ht="12.75">
      <c r="A389" s="597"/>
      <c r="B389" s="597"/>
      <c r="C389" s="597"/>
      <c r="D389" s="1596"/>
      <c r="E389" s="1596"/>
      <c r="F389" s="1596"/>
      <c r="G389" s="8"/>
    </row>
    <row r="390" spans="1:7" ht="12.75">
      <c r="A390" s="597"/>
      <c r="B390" s="597"/>
      <c r="C390" s="597"/>
      <c r="D390" s="1596"/>
      <c r="E390" s="1596"/>
      <c r="F390" s="1596"/>
      <c r="G390" s="8"/>
    </row>
    <row r="391" spans="1:7" ht="12.75">
      <c r="A391" s="597"/>
      <c r="B391" s="597"/>
      <c r="C391" s="597"/>
      <c r="D391" s="1596"/>
      <c r="E391" s="1596"/>
      <c r="F391" s="1596"/>
      <c r="G391" s="8"/>
    </row>
    <row r="392" spans="1:7" ht="12.75">
      <c r="A392" s="597"/>
      <c r="B392" s="597"/>
      <c r="C392" s="597"/>
      <c r="D392" s="1596"/>
      <c r="E392" s="1596"/>
      <c r="F392" s="1596"/>
      <c r="G392" s="8"/>
    </row>
    <row r="393" spans="1:7" ht="13.7" customHeight="1">
      <c r="A393" s="597"/>
      <c r="B393" s="597"/>
      <c r="C393" s="597"/>
      <c r="D393" s="1576" t="s">
        <v>1772</v>
      </c>
      <c r="E393" s="1576"/>
      <c r="F393" s="1576"/>
      <c r="G393" s="8"/>
    </row>
    <row r="394" spans="1:7" ht="13.7" customHeight="1">
      <c r="A394" s="597"/>
      <c r="B394" s="597"/>
      <c r="C394" s="597"/>
      <c r="D394" s="1576"/>
      <c r="E394" s="1576"/>
      <c r="F394" s="1576"/>
      <c r="G394" s="8"/>
    </row>
    <row r="395" spans="1:7" ht="13.7" customHeight="1">
      <c r="A395" s="597"/>
      <c r="B395" s="597"/>
      <c r="C395" s="597"/>
      <c r="D395" s="1576"/>
      <c r="E395" s="1576"/>
      <c r="F395" s="1576"/>
      <c r="G395" s="8"/>
    </row>
    <row r="396" spans="1:7" ht="13.7" customHeight="1">
      <c r="A396" s="597"/>
      <c r="B396" s="597"/>
      <c r="C396" s="597"/>
      <c r="D396" s="1576"/>
      <c r="E396" s="1576"/>
      <c r="F396" s="1576"/>
      <c r="G396" s="8"/>
    </row>
    <row r="397" spans="1:7" ht="13.7" customHeight="1">
      <c r="A397" s="597"/>
      <c r="B397" s="597"/>
      <c r="C397" s="597"/>
      <c r="D397" s="1576"/>
      <c r="E397" s="1576"/>
      <c r="F397" s="1576"/>
      <c r="G397" s="8"/>
    </row>
    <row r="398" spans="1:7" ht="13.7" customHeight="1">
      <c r="A398" s="597"/>
      <c r="B398" s="597"/>
      <c r="C398" s="597"/>
      <c r="D398" s="1576"/>
      <c r="E398" s="1576"/>
      <c r="F398" s="1576"/>
      <c r="G398" s="8"/>
    </row>
    <row r="399" spans="1:7" ht="13.7" customHeight="1">
      <c r="A399" s="597"/>
      <c r="B399" s="597"/>
      <c r="C399" s="597"/>
      <c r="D399" s="1576"/>
      <c r="E399" s="1576"/>
      <c r="F399" s="1576"/>
      <c r="G399" s="8"/>
    </row>
    <row r="400" spans="1:7" ht="13.7" customHeight="1">
      <c r="A400" s="597"/>
      <c r="B400" s="597"/>
      <c r="C400" s="597"/>
      <c r="D400" s="1576"/>
      <c r="E400" s="1576"/>
      <c r="F400" s="1576"/>
      <c r="G400" s="8"/>
    </row>
    <row r="401" spans="1:7" ht="13.7" customHeight="1">
      <c r="A401" s="597"/>
      <c r="B401" s="597"/>
      <c r="C401" s="597"/>
      <c r="D401" s="1576"/>
      <c r="E401" s="1576"/>
      <c r="F401" s="1576"/>
      <c r="G401" s="8"/>
    </row>
    <row r="402" spans="1:7" ht="13.7" customHeight="1">
      <c r="A402" s="597"/>
      <c r="B402" s="597"/>
      <c r="C402" s="597"/>
      <c r="D402" s="1576"/>
      <c r="E402" s="1576"/>
      <c r="F402" s="1576"/>
      <c r="G402" s="8"/>
    </row>
    <row r="403" spans="1:7" ht="13.7" customHeight="1">
      <c r="A403" s="597"/>
      <c r="B403" s="597"/>
      <c r="C403" s="597"/>
      <c r="D403" s="1576"/>
      <c r="E403" s="1576"/>
      <c r="F403" s="1576"/>
      <c r="G403" s="8"/>
    </row>
    <row r="404" spans="1:7" ht="13.7" customHeight="1">
      <c r="A404" s="597"/>
      <c r="B404" s="597"/>
      <c r="C404" s="597"/>
      <c r="D404" s="1576"/>
      <c r="E404" s="1576"/>
      <c r="F404" s="1576"/>
      <c r="G404" s="8"/>
    </row>
    <row r="405" spans="1:7" ht="13.7" customHeight="1">
      <c r="A405" s="597"/>
      <c r="B405" s="597"/>
      <c r="C405" s="597"/>
      <c r="D405" s="1576"/>
      <c r="E405" s="1576"/>
      <c r="F405" s="1576"/>
      <c r="G405" s="8"/>
    </row>
    <row r="406" spans="1:7" ht="13.7" customHeight="1">
      <c r="A406" s="597"/>
      <c r="B406" s="597"/>
      <c r="C406" s="597"/>
      <c r="D406" s="1576"/>
      <c r="E406" s="1576"/>
      <c r="F406" s="1576"/>
      <c r="G406" s="8"/>
    </row>
    <row r="407" spans="1:7" ht="13.7" customHeight="1">
      <c r="A407" s="597"/>
      <c r="B407" s="597"/>
      <c r="C407" s="597"/>
      <c r="D407" s="1576"/>
      <c r="E407" s="1576"/>
      <c r="F407" s="1576"/>
      <c r="G407" s="8"/>
    </row>
    <row r="408" spans="1:7" ht="13.7" customHeight="1">
      <c r="A408" s="597"/>
      <c r="B408" s="597"/>
      <c r="C408" s="597"/>
      <c r="D408" s="1576"/>
      <c r="E408" s="1576"/>
      <c r="F408" s="1576"/>
      <c r="G408" s="8"/>
    </row>
    <row r="409" spans="1:7" ht="13.7" customHeight="1">
      <c r="A409" s="597"/>
      <c r="B409" s="597"/>
      <c r="C409" s="597"/>
      <c r="D409" s="1576"/>
      <c r="E409" s="1576"/>
      <c r="F409" s="1576"/>
      <c r="G409" s="8"/>
    </row>
    <row r="410" spans="1:7" ht="13.7" customHeight="1">
      <c r="A410" s="597"/>
      <c r="B410" s="597"/>
      <c r="C410" s="597"/>
      <c r="D410" s="1576"/>
      <c r="E410" s="1576"/>
      <c r="F410" s="1576"/>
      <c r="G410" s="8"/>
    </row>
    <row r="411" spans="1:7" ht="12.75">
      <c r="A411" s="597"/>
      <c r="B411" s="597"/>
      <c r="C411" s="597"/>
      <c r="D411" s="808"/>
      <c r="E411" s="8"/>
      <c r="F411" s="8"/>
      <c r="G411" s="8"/>
    </row>
    <row r="412" spans="1:7" ht="13.7" customHeight="1">
      <c r="A412" s="597"/>
      <c r="B412" s="1544" t="s">
        <v>136</v>
      </c>
      <c r="C412" s="597"/>
      <c r="D412" s="1576" t="s">
        <v>1769</v>
      </c>
      <c r="E412" s="1576"/>
      <c r="F412" s="1576"/>
      <c r="G412" s="8"/>
    </row>
    <row r="413" spans="1:7" ht="12.75">
      <c r="A413" s="597"/>
      <c r="B413" s="597"/>
      <c r="C413" s="597"/>
      <c r="D413" s="1576"/>
      <c r="E413" s="1576"/>
      <c r="F413" s="1576"/>
      <c r="G413" s="8"/>
    </row>
    <row r="414" spans="1:7" ht="12.75">
      <c r="A414" s="597"/>
      <c r="B414" s="597"/>
      <c r="C414" s="597"/>
      <c r="D414" s="1342"/>
      <c r="E414" s="1342"/>
      <c r="F414" s="1342"/>
      <c r="G414" s="8"/>
    </row>
    <row r="415" spans="1:7" ht="12.75">
      <c r="A415" s="597"/>
      <c r="B415" s="1544" t="s">
        <v>136</v>
      </c>
      <c r="C415" s="597"/>
      <c r="D415" s="1580" t="s">
        <v>2142</v>
      </c>
      <c r="E415" s="1580"/>
      <c r="F415" s="1580"/>
      <c r="G415" s="8"/>
    </row>
    <row r="416" spans="1:7" ht="12.75">
      <c r="A416" s="597"/>
      <c r="B416" s="597"/>
      <c r="C416" s="597"/>
      <c r="D416" s="1580"/>
      <c r="E416" s="1580"/>
      <c r="F416" s="1580"/>
      <c r="G416" s="8"/>
    </row>
    <row r="417" spans="1:7" ht="12.75">
      <c r="A417" s="597"/>
      <c r="B417" s="597"/>
      <c r="C417" s="597"/>
      <c r="D417" s="1580"/>
      <c r="E417" s="1580"/>
      <c r="F417" s="1580"/>
      <c r="G417" s="8"/>
    </row>
    <row r="418" spans="1:7" ht="12.75">
      <c r="A418" s="597"/>
      <c r="B418" s="597"/>
      <c r="C418" s="597"/>
      <c r="D418" s="1580"/>
      <c r="E418" s="1580"/>
      <c r="F418" s="1580"/>
      <c r="G418" s="8"/>
    </row>
    <row r="419" spans="1:7" ht="12.75">
      <c r="A419" s="597"/>
      <c r="B419" s="597"/>
      <c r="C419" s="597"/>
      <c r="D419" s="1580"/>
      <c r="E419" s="1580"/>
      <c r="F419" s="1580"/>
      <c r="G419" s="8"/>
    </row>
    <row r="420" spans="1:7" ht="12.75">
      <c r="A420" s="597"/>
      <c r="B420" s="597"/>
      <c r="C420" s="597"/>
      <c r="D420" s="1580"/>
      <c r="E420" s="1580"/>
      <c r="F420" s="1580"/>
      <c r="G420" s="8"/>
    </row>
    <row r="421" spans="1:7" ht="14.45" customHeight="1">
      <c r="A421" s="413"/>
      <c r="B421" s="1544" t="s">
        <v>136</v>
      </c>
      <c r="C421" s="597"/>
      <c r="D421" s="1580" t="s">
        <v>2119</v>
      </c>
      <c r="E421" s="1580"/>
      <c r="F421" s="1580"/>
      <c r="G421" s="8"/>
    </row>
    <row r="422" spans="1:7" ht="14.25">
      <c r="A422" s="809"/>
      <c r="B422" s="809"/>
      <c r="C422" s="597"/>
      <c r="D422" s="1580"/>
      <c r="E422" s="1580"/>
      <c r="F422" s="1580"/>
      <c r="G422" s="8"/>
    </row>
    <row r="423" spans="1:7" ht="14.25">
      <c r="A423" s="809"/>
      <c r="B423" s="809"/>
      <c r="C423" s="597"/>
      <c r="D423" s="1580"/>
      <c r="E423" s="1580"/>
      <c r="F423" s="1580"/>
      <c r="G423" s="8"/>
    </row>
    <row r="424" spans="1:7" ht="14.25">
      <c r="A424" s="809"/>
      <c r="B424" s="809"/>
      <c r="C424" s="597"/>
      <c r="D424" s="1580"/>
      <c r="E424" s="1580"/>
      <c r="F424" s="1580"/>
      <c r="G424" s="8"/>
    </row>
    <row r="425" spans="1:7" ht="14.25" customHeight="1">
      <c r="A425" s="809"/>
      <c r="B425" s="809"/>
      <c r="C425" s="597"/>
      <c r="D425" s="1581" t="s">
        <v>2138</v>
      </c>
      <c r="E425" s="1581"/>
      <c r="F425" s="1581"/>
      <c r="G425" s="8"/>
    </row>
    <row r="426" spans="1:7" ht="12.75">
      <c r="A426" s="140"/>
      <c r="B426" s="140"/>
      <c r="C426" s="140"/>
      <c r="D426" s="143"/>
      <c r="E426" s="8"/>
      <c r="F426" s="8"/>
      <c r="G426" s="8"/>
    </row>
    <row r="427" spans="1:7" ht="14.45" customHeight="1">
      <c r="A427" s="413"/>
      <c r="B427" s="1544" t="s">
        <v>136</v>
      </c>
      <c r="C427" s="355"/>
      <c r="D427" s="1575" t="s">
        <v>1775</v>
      </c>
      <c r="E427" s="1575"/>
      <c r="F427" s="1575"/>
      <c r="G427" s="8"/>
    </row>
    <row r="428" spans="1:7" ht="14.25">
      <c r="A428" s="413"/>
      <c r="B428" s="413"/>
      <c r="C428" s="140"/>
      <c r="D428" s="1575"/>
      <c r="E428" s="1575"/>
      <c r="F428" s="1575"/>
      <c r="G428" s="8"/>
    </row>
    <row r="429" spans="1:7" ht="14.25">
      <c r="A429" s="413"/>
      <c r="B429" s="413"/>
      <c r="C429" s="991"/>
      <c r="D429" s="1575"/>
      <c r="E429" s="1575"/>
      <c r="F429" s="1575"/>
      <c r="G429" s="8"/>
    </row>
    <row r="430" spans="1:7" ht="14.25">
      <c r="A430" s="413"/>
      <c r="B430" s="413"/>
      <c r="C430" s="991"/>
      <c r="D430" s="1575"/>
      <c r="E430" s="1575"/>
      <c r="F430" s="1575"/>
      <c r="G430" s="8"/>
    </row>
    <row r="431" spans="1:7" ht="14.25">
      <c r="A431" s="413"/>
      <c r="B431" s="413"/>
      <c r="C431" s="991"/>
      <c r="D431" s="1575"/>
      <c r="E431" s="1575"/>
      <c r="F431" s="1575"/>
      <c r="G431" s="8"/>
    </row>
    <row r="432" spans="1:7" ht="14.25">
      <c r="A432" s="413"/>
      <c r="B432" s="413"/>
      <c r="C432" s="991"/>
      <c r="D432" s="1575"/>
      <c r="E432" s="1575"/>
      <c r="F432" s="1575"/>
      <c r="G432" s="8"/>
    </row>
    <row r="433" spans="1:7" ht="14.25">
      <c r="A433" s="413"/>
      <c r="B433" s="413"/>
      <c r="C433" s="991"/>
      <c r="D433" s="1575"/>
      <c r="E433" s="1575"/>
      <c r="F433" s="1575"/>
      <c r="G433" s="8"/>
    </row>
    <row r="434" spans="1:7" ht="14.25">
      <c r="A434" s="413"/>
      <c r="B434" s="413"/>
      <c r="C434" s="991"/>
      <c r="D434" s="1575"/>
      <c r="E434" s="1575"/>
      <c r="F434" s="1575"/>
      <c r="G434" s="8"/>
    </row>
    <row r="435" spans="1:7" ht="14.25">
      <c r="A435" s="413"/>
      <c r="B435" s="413"/>
      <c r="C435" s="991"/>
      <c r="D435" s="1575"/>
      <c r="E435" s="1575"/>
      <c r="F435" s="1575"/>
      <c r="G435" s="8"/>
    </row>
    <row r="436" spans="1:7" ht="14.25">
      <c r="A436" s="413"/>
      <c r="B436" s="413"/>
      <c r="C436" s="991"/>
      <c r="D436" s="1575"/>
      <c r="E436" s="1575"/>
      <c r="F436" s="1575"/>
      <c r="G436" s="8"/>
    </row>
    <row r="437" spans="1:7" ht="14.25">
      <c r="A437" s="413"/>
      <c r="B437" s="413"/>
      <c r="C437" s="991"/>
      <c r="D437" s="1575"/>
      <c r="E437" s="1575"/>
      <c r="F437" s="1575"/>
      <c r="G437" s="8"/>
    </row>
    <row r="438" spans="1:7" ht="14.25">
      <c r="A438" s="413"/>
      <c r="B438" s="413"/>
      <c r="C438" s="991"/>
      <c r="D438" s="1575"/>
      <c r="E438" s="1575"/>
      <c r="F438" s="1575"/>
      <c r="G438" s="8"/>
    </row>
    <row r="439" spans="1:7" ht="14.25">
      <c r="A439" s="413"/>
      <c r="B439" s="413"/>
      <c r="C439" s="991"/>
      <c r="D439" s="1575"/>
      <c r="E439" s="1575"/>
      <c r="F439" s="1575"/>
      <c r="G439" s="8"/>
    </row>
    <row r="440" spans="1:7" ht="14.25">
      <c r="A440" s="413"/>
      <c r="B440" s="413"/>
      <c r="C440" s="991"/>
      <c r="D440" s="1575"/>
      <c r="E440" s="1575"/>
      <c r="F440" s="1575"/>
      <c r="G440" s="8"/>
    </row>
    <row r="441" spans="1:7" ht="14.25">
      <c r="A441" s="413"/>
      <c r="B441" s="413"/>
      <c r="C441" s="991"/>
      <c r="D441" s="1575"/>
      <c r="E441" s="1575"/>
      <c r="F441" s="1575"/>
      <c r="G441" s="8"/>
    </row>
    <row r="442" spans="1:7" ht="14.25">
      <c r="A442" s="413"/>
      <c r="B442" s="413"/>
      <c r="C442" s="991"/>
      <c r="D442" s="1575"/>
      <c r="E442" s="1575"/>
      <c r="F442" s="1575"/>
      <c r="G442" s="8"/>
    </row>
    <row r="443" spans="1:7" ht="14.25">
      <c r="A443" s="413"/>
      <c r="B443" s="413"/>
      <c r="C443" s="991"/>
      <c r="D443" s="1575"/>
      <c r="E443" s="1575"/>
      <c r="F443" s="1575"/>
      <c r="G443" s="8"/>
    </row>
    <row r="444" spans="1:7" ht="14.25">
      <c r="A444" s="413"/>
      <c r="B444" s="413"/>
      <c r="C444" s="991"/>
      <c r="D444" s="1575"/>
      <c r="E444" s="1575"/>
      <c r="F444" s="1575"/>
      <c r="G444" s="8"/>
    </row>
    <row r="445" spans="1:7" ht="14.25">
      <c r="A445" s="413"/>
      <c r="B445" s="413"/>
      <c r="C445" s="991"/>
      <c r="D445" s="1575"/>
      <c r="E445" s="1575"/>
      <c r="F445" s="1575"/>
      <c r="G445" s="8"/>
    </row>
    <row r="446" spans="1:7" ht="14.25">
      <c r="A446" s="413"/>
      <c r="B446" s="413"/>
      <c r="C446" s="991"/>
      <c r="D446" s="1575"/>
      <c r="E446" s="1575"/>
      <c r="F446" s="1575"/>
      <c r="G446" s="8"/>
    </row>
    <row r="447" spans="1:7" ht="14.25">
      <c r="A447" s="413"/>
      <c r="B447" s="413"/>
      <c r="C447" s="991"/>
      <c r="D447" s="1575"/>
      <c r="E447" s="1575"/>
      <c r="F447" s="1575"/>
      <c r="G447" s="8"/>
    </row>
    <row r="448" spans="1:7" ht="14.25">
      <c r="A448" s="413"/>
      <c r="B448" s="413"/>
      <c r="C448" s="991"/>
      <c r="D448" s="1575"/>
      <c r="E448" s="1575"/>
      <c r="F448" s="1575"/>
      <c r="G448" s="8"/>
    </row>
    <row r="449" spans="1:7" ht="14.25">
      <c r="A449" s="413"/>
      <c r="B449" s="413"/>
      <c r="C449" s="991"/>
      <c r="D449" s="1575"/>
      <c r="E449" s="1575"/>
      <c r="F449" s="1575"/>
      <c r="G449" s="8"/>
    </row>
    <row r="450" spans="1:7" ht="14.25">
      <c r="A450" s="413"/>
      <c r="B450" s="413"/>
      <c r="C450" s="991"/>
      <c r="D450" s="1575"/>
      <c r="E450" s="1575"/>
      <c r="F450" s="1575"/>
      <c r="G450" s="8"/>
    </row>
    <row r="451" spans="1:7" ht="14.25">
      <c r="A451" s="413"/>
      <c r="B451" s="413"/>
      <c r="C451" s="991"/>
      <c r="D451" s="1575"/>
      <c r="E451" s="1575"/>
      <c r="F451" s="1575"/>
      <c r="G451" s="8"/>
    </row>
    <row r="452" spans="1:7" ht="14.25">
      <c r="A452" s="413"/>
      <c r="B452" s="413"/>
      <c r="C452" s="991"/>
      <c r="D452" s="1575"/>
      <c r="E452" s="1575"/>
      <c r="F452" s="1575"/>
      <c r="G452" s="8"/>
    </row>
    <row r="453" spans="1:7" ht="14.25">
      <c r="A453" s="413"/>
      <c r="B453" s="413"/>
      <c r="C453" s="991"/>
      <c r="D453" s="1575"/>
      <c r="E453" s="1575"/>
      <c r="F453" s="1575"/>
      <c r="G453" s="8"/>
    </row>
    <row r="454" spans="1:7" ht="14.25">
      <c r="A454" s="413"/>
      <c r="B454" s="413"/>
      <c r="C454" s="991"/>
      <c r="D454" s="1575"/>
      <c r="E454" s="1575"/>
      <c r="F454" s="1575"/>
      <c r="G454" s="8"/>
    </row>
    <row r="455" spans="1:7" ht="14.25">
      <c r="A455" s="413"/>
      <c r="B455" s="413"/>
      <c r="C455" s="991"/>
      <c r="D455" s="1575"/>
      <c r="E455" s="1575"/>
      <c r="F455" s="1575"/>
      <c r="G455" s="8"/>
    </row>
    <row r="456" spans="1:7" ht="14.25">
      <c r="A456" s="413"/>
      <c r="B456" s="413"/>
      <c r="C456" s="991"/>
      <c r="D456" s="1575"/>
      <c r="E456" s="1575"/>
      <c r="F456" s="1575"/>
      <c r="G456" s="8"/>
    </row>
    <row r="457" spans="1:7" ht="12.75" hidden="1">
      <c r="A457" s="140"/>
      <c r="B457" s="140"/>
      <c r="C457" s="140"/>
      <c r="D457" s="1575"/>
      <c r="E457" s="1575"/>
      <c r="F457" s="1575"/>
      <c r="G457" s="8"/>
    </row>
    <row r="458" spans="1:7" ht="12.75" hidden="1">
      <c r="A458" s="140"/>
      <c r="B458" s="140"/>
      <c r="C458" s="140"/>
      <c r="D458" s="143"/>
      <c r="E458" s="40"/>
      <c r="F458" s="40"/>
      <c r="G458" s="40"/>
    </row>
    <row r="459" spans="1:7" ht="14.25">
      <c r="A459" s="413"/>
      <c r="B459" s="1544" t="s">
        <v>136</v>
      </c>
      <c r="C459" s="355"/>
      <c r="D459" s="1577" t="s">
        <v>1773</v>
      </c>
      <c r="E459" s="1577"/>
      <c r="F459" s="1577"/>
      <c r="G459" s="8"/>
    </row>
    <row r="460" spans="1:7" ht="12.75">
      <c r="A460" s="140"/>
      <c r="B460" s="140"/>
      <c r="C460" s="140"/>
      <c r="D460" s="1578" t="s">
        <v>2115</v>
      </c>
      <c r="E460" s="1578"/>
      <c r="F460" s="1578"/>
      <c r="G460" s="8"/>
    </row>
    <row r="461" spans="1:7" ht="13.7" customHeight="1">
      <c r="A461" s="140"/>
      <c r="B461" s="140"/>
      <c r="C461" s="140"/>
      <c r="D461" s="1579" t="s">
        <v>2116</v>
      </c>
      <c r="E461" s="1573"/>
      <c r="F461" s="1573"/>
      <c r="G461" s="8"/>
    </row>
    <row r="462" spans="1:7" ht="13.7" customHeight="1">
      <c r="A462" s="991"/>
      <c r="B462" s="991"/>
      <c r="C462" s="991"/>
      <c r="D462" s="1573"/>
      <c r="E462" s="1573"/>
      <c r="F462" s="1573"/>
      <c r="G462" s="8"/>
    </row>
    <row r="463" spans="1:7" ht="13.7" customHeight="1">
      <c r="A463" s="991"/>
      <c r="B463" s="991"/>
      <c r="C463" s="991"/>
      <c r="D463" s="1573"/>
      <c r="E463" s="1573"/>
      <c r="F463" s="1573"/>
      <c r="G463" s="8"/>
    </row>
    <row r="464" spans="1:7" ht="12.75">
      <c r="A464" s="140"/>
      <c r="B464" s="140"/>
      <c r="C464" s="140"/>
      <c r="D464" s="143"/>
      <c r="E464" s="8"/>
      <c r="F464" s="8"/>
      <c r="G464" s="8"/>
    </row>
    <row r="465" spans="1:7" ht="14.45" customHeight="1">
      <c r="A465" s="413"/>
      <c r="B465" s="1544" t="s">
        <v>136</v>
      </c>
      <c r="C465" s="355"/>
      <c r="D465" s="1575" t="s">
        <v>1776</v>
      </c>
      <c r="E465" s="1575"/>
      <c r="F465" s="1575"/>
      <c r="G465" s="8"/>
    </row>
    <row r="466" spans="1:7" ht="12.75">
      <c r="A466" s="140"/>
      <c r="B466" s="140"/>
      <c r="C466" s="140"/>
      <c r="D466" s="1575"/>
      <c r="E466" s="1575"/>
      <c r="F466" s="1575"/>
      <c r="G466" s="8"/>
    </row>
    <row r="467" spans="1:7" ht="12.75">
      <c r="A467" s="140"/>
      <c r="B467" s="140"/>
      <c r="C467" s="140"/>
      <c r="D467" s="1575"/>
      <c r="E467" s="1575"/>
      <c r="F467" s="1575"/>
      <c r="G467" s="8"/>
    </row>
    <row r="468" spans="1:7" ht="12.75">
      <c r="A468" s="991"/>
      <c r="B468" s="991"/>
      <c r="C468" s="991"/>
      <c r="D468" s="989"/>
      <c r="E468" s="989"/>
      <c r="F468" s="989"/>
      <c r="G468" s="8"/>
    </row>
    <row r="469" spans="1:7" ht="14.25">
      <c r="A469" s="140"/>
      <c r="B469" s="1544" t="s">
        <v>136</v>
      </c>
      <c r="C469" s="413"/>
      <c r="D469" s="1579" t="s">
        <v>1935</v>
      </c>
      <c r="E469" s="1573"/>
      <c r="F469" s="1573"/>
      <c r="G469" s="8"/>
    </row>
    <row r="470" spans="1:7" ht="12.75">
      <c r="A470" s="140"/>
      <c r="B470" s="140"/>
      <c r="C470" s="140"/>
      <c r="D470" s="1573"/>
      <c r="E470" s="1573"/>
      <c r="F470" s="1573"/>
      <c r="G470" s="8"/>
    </row>
    <row r="471" spans="1:7" ht="12.75">
      <c r="A471" s="140"/>
      <c r="B471" s="140"/>
      <c r="C471" s="140"/>
      <c r="D471" s="143"/>
      <c r="E471" s="701"/>
      <c r="F471" s="8"/>
      <c r="G471" s="8"/>
    </row>
    <row r="472" spans="1:7" ht="14.25">
      <c r="A472" s="140"/>
      <c r="B472" s="1544" t="s">
        <v>136</v>
      </c>
      <c r="C472" s="413"/>
      <c r="D472" s="1573" t="s">
        <v>1777</v>
      </c>
      <c r="E472" s="1573"/>
      <c r="F472" s="1573"/>
      <c r="G472" s="8"/>
    </row>
    <row r="473" spans="1:7" ht="12.75">
      <c r="A473" s="140"/>
      <c r="B473" s="140"/>
      <c r="C473" s="140"/>
      <c r="D473" s="1573"/>
      <c r="E473" s="1573"/>
      <c r="F473" s="1573"/>
      <c r="G473" s="8"/>
    </row>
    <row r="474" spans="1:7" ht="12.75">
      <c r="A474" s="140"/>
      <c r="B474" s="140"/>
      <c r="C474" s="140"/>
      <c r="D474" s="1573"/>
      <c r="E474" s="1573"/>
      <c r="F474" s="1573"/>
      <c r="G474" s="8"/>
    </row>
    <row r="475" spans="1:7" ht="12.75">
      <c r="A475" s="991"/>
      <c r="B475" s="991"/>
      <c r="C475" s="991"/>
      <c r="D475" s="1573"/>
      <c r="E475" s="1573"/>
      <c r="F475" s="1573"/>
      <c r="G475" s="8"/>
    </row>
    <row r="476" spans="1:7" ht="12.75">
      <c r="A476" s="991"/>
      <c r="B476" s="1544" t="s">
        <v>136</v>
      </c>
      <c r="C476" s="991"/>
      <c r="D476" s="1573"/>
      <c r="E476" s="1573"/>
      <c r="F476" s="1573"/>
      <c r="G476" s="8"/>
    </row>
    <row r="477" spans="1:7" ht="12.75">
      <c r="A477" s="991"/>
      <c r="B477" s="991"/>
      <c r="C477" s="991"/>
      <c r="D477" s="1573"/>
      <c r="E477" s="1573"/>
      <c r="F477" s="1573"/>
      <c r="G477" s="8"/>
    </row>
    <row r="478" spans="1:7" ht="12.75">
      <c r="A478" s="991"/>
      <c r="B478" s="991"/>
      <c r="C478" s="991"/>
      <c r="D478" s="1573"/>
      <c r="E478" s="1573"/>
      <c r="F478" s="1573"/>
      <c r="G478" s="8"/>
    </row>
    <row r="479" spans="1:7" ht="12.75">
      <c r="A479" s="991"/>
      <c r="B479" s="1544" t="s">
        <v>136</v>
      </c>
      <c r="C479" s="991"/>
      <c r="D479" s="1573"/>
      <c r="E479" s="1573"/>
      <c r="F479" s="1573"/>
      <c r="G479" s="8"/>
    </row>
    <row r="480" spans="1:7" ht="12.75">
      <c r="A480" s="991"/>
      <c r="B480" s="991"/>
      <c r="C480" s="991"/>
      <c r="D480" s="1573"/>
      <c r="E480" s="1573"/>
      <c r="F480" s="1573"/>
      <c r="G480" s="8"/>
    </row>
    <row r="481" spans="1:7" ht="12.75">
      <c r="A481" s="991"/>
      <c r="B481" s="991"/>
      <c r="C481" s="991"/>
      <c r="D481" s="1573"/>
      <c r="E481" s="1573"/>
      <c r="F481" s="1573"/>
      <c r="G481" s="8"/>
    </row>
    <row r="482" spans="1:7" ht="12.75">
      <c r="A482" s="991"/>
      <c r="B482" s="991"/>
      <c r="C482" s="991"/>
      <c r="D482" s="1573"/>
      <c r="E482" s="1573"/>
      <c r="F482" s="1573"/>
      <c r="G482" s="8"/>
    </row>
    <row r="483" spans="1:7" ht="12.75">
      <c r="A483" s="991"/>
      <c r="B483" s="1544" t="s">
        <v>136</v>
      </c>
      <c r="C483" s="991"/>
      <c r="D483" s="1573"/>
      <c r="E483" s="1573"/>
      <c r="F483" s="1573"/>
      <c r="G483" s="8"/>
    </row>
    <row r="484" spans="1:7" ht="12.75">
      <c r="A484" s="991"/>
      <c r="B484" s="991"/>
      <c r="C484" s="991"/>
      <c r="D484" s="1573"/>
      <c r="E484" s="1573"/>
      <c r="F484" s="1573"/>
      <c r="G484" s="8"/>
    </row>
    <row r="485" spans="1:7" ht="12.75">
      <c r="A485" s="991"/>
      <c r="B485" s="1544" t="s">
        <v>136</v>
      </c>
      <c r="C485" s="991"/>
      <c r="D485" s="1573"/>
      <c r="E485" s="1573"/>
      <c r="F485" s="1573"/>
      <c r="G485" s="8"/>
    </row>
    <row r="486" spans="1:7" ht="12.75">
      <c r="A486" s="991"/>
      <c r="B486" s="14"/>
      <c r="C486" s="991"/>
      <c r="D486" s="1573"/>
      <c r="E486" s="1573"/>
      <c r="F486" s="1573"/>
      <c r="G486" s="8"/>
    </row>
    <row r="487" spans="1:7" ht="13.7" customHeight="1">
      <c r="A487" s="140"/>
      <c r="B487" s="1544" t="s">
        <v>136</v>
      </c>
      <c r="C487" s="140"/>
      <c r="D487" s="1573" t="s">
        <v>1778</v>
      </c>
      <c r="E487" s="1573"/>
      <c r="F487" s="1573"/>
      <c r="G487" s="8"/>
    </row>
    <row r="488" spans="1:7" ht="12.75">
      <c r="A488" s="140"/>
      <c r="B488" s="140"/>
      <c r="C488" s="140"/>
      <c r="D488" s="1573"/>
      <c r="E488" s="1573"/>
      <c r="F488" s="1573"/>
      <c r="G488" s="8"/>
    </row>
    <row r="489" spans="1:7" ht="12.75">
      <c r="A489" s="140"/>
      <c r="B489" s="140"/>
      <c r="C489" s="140"/>
      <c r="D489" s="1573"/>
      <c r="E489" s="1573"/>
      <c r="F489" s="1573"/>
      <c r="G489" s="8"/>
    </row>
    <row r="490" spans="1:7" ht="12.75">
      <c r="A490" s="140"/>
      <c r="B490" s="140"/>
      <c r="C490" s="140"/>
      <c r="D490" s="1573"/>
      <c r="E490" s="1573"/>
      <c r="F490" s="1573"/>
      <c r="G490" s="8"/>
    </row>
    <row r="491" spans="1:7" ht="12.75">
      <c r="A491" s="140"/>
      <c r="B491" s="140"/>
      <c r="C491" s="140"/>
      <c r="D491" s="1573"/>
      <c r="E491" s="1573"/>
      <c r="F491" s="1573"/>
      <c r="G491" s="8"/>
    </row>
    <row r="492" spans="1:7" ht="12.75">
      <c r="A492" s="140"/>
      <c r="B492" s="140"/>
      <c r="C492" s="140"/>
      <c r="D492" s="143"/>
      <c r="E492" s="8"/>
      <c r="F492" s="8"/>
      <c r="G492" s="8"/>
    </row>
    <row r="493" spans="1:7" ht="12.75">
      <c r="A493" s="140"/>
      <c r="B493" s="1544" t="s">
        <v>136</v>
      </c>
      <c r="C493" s="140"/>
      <c r="D493" s="1585" t="s">
        <v>1578</v>
      </c>
      <c r="E493" s="1585"/>
      <c r="F493" s="1585"/>
      <c r="G493" s="8"/>
    </row>
    <row r="494" spans="1:7" ht="12.75">
      <c r="A494" s="143"/>
      <c r="B494" s="143"/>
      <c r="C494" s="14"/>
      <c r="D494" s="282"/>
      <c r="E494" s="282"/>
      <c r="F494" s="282"/>
    </row>
    <row r="495" spans="1:7" ht="12.75">
      <c r="A495" s="1591" t="s">
        <v>1534</v>
      </c>
      <c r="B495" s="1591"/>
      <c r="C495" s="1591"/>
      <c r="D495" s="1591"/>
      <c r="E495" s="1591"/>
      <c r="F495" s="1591"/>
      <c r="G495" s="1591"/>
    </row>
    <row r="496" spans="1:7" ht="12.75">
      <c r="A496" s="143"/>
      <c r="B496" s="143"/>
      <c r="C496" s="14"/>
      <c r="D496" s="282"/>
      <c r="E496" s="282"/>
      <c r="F496" s="282"/>
    </row>
    <row r="497" spans="1:7" ht="12.75">
      <c r="A497" s="140"/>
      <c r="B497" s="140"/>
      <c r="C497" s="14"/>
      <c r="D497" s="1586" t="s">
        <v>1239</v>
      </c>
      <c r="E497" s="1586"/>
      <c r="F497" s="1586"/>
    </row>
    <row r="498" spans="1:7" ht="12.75">
      <c r="D498" s="1587" t="s">
        <v>1571</v>
      </c>
      <c r="E498" s="1587"/>
      <c r="F498" s="1587"/>
    </row>
    <row r="499" spans="1:7" ht="14.25">
      <c r="A499" s="413"/>
      <c r="B499" s="413"/>
      <c r="C499" s="14"/>
      <c r="D499" s="667"/>
      <c r="E499" s="282"/>
      <c r="F499" s="282"/>
    </row>
    <row r="500" spans="1:7" ht="14.25">
      <c r="A500" s="413"/>
      <c r="B500" s="950" t="s">
        <v>1531</v>
      </c>
      <c r="C500" s="14"/>
      <c r="D500" s="1588" t="s">
        <v>1779</v>
      </c>
      <c r="E500" s="1588"/>
      <c r="F500" s="1588"/>
    </row>
    <row r="501" spans="1:7" ht="14.25">
      <c r="A501" s="413"/>
      <c r="B501" s="413"/>
      <c r="C501" s="14"/>
      <c r="D501" s="1588"/>
      <c r="E501" s="1588"/>
      <c r="F501" s="1588"/>
    </row>
    <row r="502" spans="1:7" ht="14.25">
      <c r="A502" s="413"/>
      <c r="B502" s="413"/>
      <c r="C502" s="14"/>
      <c r="D502" s="287"/>
      <c r="E502" s="282"/>
      <c r="F502" s="282"/>
    </row>
    <row r="503" spans="1:7" ht="14.25">
      <c r="A503" s="570"/>
      <c r="B503" s="950" t="s">
        <v>1531</v>
      </c>
      <c r="D503" s="1589" t="s">
        <v>2139</v>
      </c>
      <c r="E503" s="1590"/>
      <c r="F503" s="1590"/>
    </row>
    <row r="504" spans="1:7" ht="14.25">
      <c r="A504" s="570"/>
      <c r="B504" s="570"/>
      <c r="D504" s="1590"/>
      <c r="E504" s="1590"/>
      <c r="F504" s="1590"/>
    </row>
    <row r="505" spans="1:7" ht="14.25">
      <c r="A505" s="570"/>
      <c r="B505" s="570"/>
      <c r="D505" s="1590"/>
      <c r="E505" s="1590"/>
      <c r="F505" s="1590"/>
      <c r="G505" s="2"/>
    </row>
    <row r="506" spans="1:7" ht="14.25">
      <c r="A506" s="570"/>
      <c r="B506" s="570"/>
      <c r="D506" s="1590"/>
      <c r="E506" s="1590"/>
      <c r="F506" s="1590"/>
      <c r="G506" s="2"/>
    </row>
    <row r="507" spans="1:7" ht="12.75">
      <c r="A507" s="150"/>
      <c r="B507" s="150"/>
      <c r="G507" s="2"/>
    </row>
    <row r="508" spans="1:7" ht="14.25">
      <c r="A508" s="413"/>
      <c r="B508" s="950" t="s">
        <v>1531</v>
      </c>
      <c r="C508" s="14"/>
      <c r="D508" s="1577" t="s">
        <v>1781</v>
      </c>
      <c r="E508" s="1577"/>
      <c r="F508" s="1577"/>
      <c r="G508" s="2"/>
    </row>
    <row r="509" spans="1:7" ht="12.75">
      <c r="A509" s="140"/>
      <c r="B509" s="140"/>
      <c r="C509" s="14"/>
      <c r="D509" s="287"/>
      <c r="E509" s="282"/>
      <c r="F509" s="282"/>
      <c r="G509" s="2"/>
    </row>
    <row r="510" spans="1:7" ht="14.25">
      <c r="A510" s="413"/>
      <c r="B510" s="950" t="s">
        <v>1531</v>
      </c>
      <c r="C510" s="14"/>
      <c r="D510" s="1575" t="s">
        <v>1782</v>
      </c>
      <c r="E510" s="1575"/>
      <c r="F510" s="1575"/>
      <c r="G510" s="2"/>
    </row>
    <row r="511" spans="1:7" ht="12.75">
      <c r="A511" s="140"/>
      <c r="B511" s="140"/>
      <c r="C511" s="14"/>
      <c r="D511" s="1575"/>
      <c r="E511" s="1575"/>
      <c r="F511" s="1575"/>
      <c r="G511" s="2"/>
    </row>
    <row r="512" spans="1:7" ht="12.75">
      <c r="A512" s="140"/>
      <c r="B512" s="140"/>
      <c r="C512" s="14"/>
      <c r="D512" s="702"/>
      <c r="E512" s="282"/>
      <c r="F512" s="282"/>
      <c r="G512" s="2"/>
    </row>
    <row r="513" spans="1:7" ht="14.25">
      <c r="A513" s="413"/>
      <c r="B513" s="1544" t="s">
        <v>136</v>
      </c>
      <c r="C513" s="14"/>
      <c r="D513" s="1577" t="s">
        <v>1780</v>
      </c>
      <c r="E513" s="1577"/>
      <c r="F513" s="1577"/>
    </row>
    <row r="514" spans="1:7" ht="14.25">
      <c r="A514" s="413"/>
      <c r="B514" s="413"/>
      <c r="C514" s="14"/>
      <c r="D514" s="287"/>
      <c r="E514" s="282"/>
      <c r="F514" s="282"/>
    </row>
    <row r="515" spans="1:7" ht="12.75">
      <c r="A515" s="1591" t="s">
        <v>1535</v>
      </c>
      <c r="B515" s="1591"/>
      <c r="C515" s="1591"/>
      <c r="D515" s="1591"/>
      <c r="E515" s="1591"/>
      <c r="F515" s="1591"/>
      <c r="G515" s="1591"/>
    </row>
    <row r="516" spans="1:7" ht="12" customHeight="1">
      <c r="A516" s="413"/>
      <c r="B516" s="413"/>
      <c r="C516" s="14"/>
      <c r="D516" s="287"/>
      <c r="E516" s="282"/>
      <c r="F516" s="282"/>
    </row>
    <row r="517" spans="1:7" ht="12.75">
      <c r="A517" s="150"/>
      <c r="B517" s="950" t="s">
        <v>1531</v>
      </c>
      <c r="C517" s="406"/>
      <c r="D517" s="1633" t="s">
        <v>1710</v>
      </c>
      <c r="E517" s="1633"/>
      <c r="F517" s="1633"/>
    </row>
    <row r="518" spans="1:7" ht="12.75">
      <c r="A518" s="150"/>
      <c r="C518" s="406"/>
      <c r="D518" s="1633"/>
      <c r="E518" s="1633"/>
      <c r="F518" s="1633"/>
    </row>
    <row r="519" spans="1:7" ht="12.75">
      <c r="A519" s="573"/>
      <c r="B519" s="573"/>
      <c r="C519" s="571"/>
      <c r="D519" s="1633"/>
      <c r="E519" s="1633"/>
      <c r="F519" s="1633"/>
    </row>
    <row r="520" spans="1:7" ht="12.75">
      <c r="A520" s="573"/>
      <c r="B520" s="573"/>
      <c r="C520" s="571"/>
      <c r="D520" s="1633"/>
      <c r="E520" s="1633"/>
      <c r="F520" s="1633"/>
    </row>
    <row r="521" spans="1:7" ht="12.75">
      <c r="A521" s="573"/>
      <c r="B521" s="573"/>
      <c r="C521" s="571"/>
    </row>
    <row r="522" spans="1:7" ht="14.25">
      <c r="A522" s="413"/>
      <c r="B522" s="1544" t="s">
        <v>136</v>
      </c>
      <c r="C522" s="322"/>
      <c r="D522" s="1609" t="s">
        <v>1726</v>
      </c>
      <c r="E522" s="1609"/>
      <c r="F522" s="1609"/>
      <c r="G522" s="2"/>
    </row>
    <row r="523" spans="1:7" ht="12.75">
      <c r="A523" s="355"/>
      <c r="B523" s="355"/>
      <c r="C523" s="322"/>
      <c r="D523" s="1609"/>
      <c r="E523" s="1609"/>
      <c r="F523" s="1609"/>
      <c r="G523" s="2"/>
    </row>
    <row r="524" spans="1:7" ht="12.75">
      <c r="A524" s="573"/>
      <c r="B524" s="573"/>
      <c r="C524" s="571"/>
      <c r="D524" s="403"/>
      <c r="G524" s="2"/>
    </row>
    <row r="525" spans="1:7" ht="14.25">
      <c r="A525" s="570"/>
      <c r="B525" s="1544" t="s">
        <v>136</v>
      </c>
      <c r="D525" s="1634" t="s">
        <v>1700</v>
      </c>
      <c r="E525" s="1634"/>
      <c r="F525" s="1634"/>
      <c r="G525" s="2"/>
    </row>
    <row r="526" spans="1:7" ht="14.25">
      <c r="A526" s="570"/>
      <c r="B526" s="570"/>
      <c r="D526" s="1634"/>
      <c r="E526" s="1634"/>
      <c r="F526" s="1634"/>
      <c r="G526" s="2"/>
    </row>
    <row r="527" spans="1:7" ht="12.75">
      <c r="A527" s="150"/>
      <c r="B527" s="150"/>
      <c r="D527" s="1634"/>
      <c r="E527" s="1634"/>
      <c r="F527" s="1634"/>
    </row>
    <row r="528" spans="1:7" ht="12" customHeight="1">
      <c r="A528" s="701"/>
      <c r="B528" s="701"/>
      <c r="C528" s="405"/>
      <c r="E528" s="403"/>
    </row>
    <row r="529" spans="1:7" ht="12.75">
      <c r="A529" s="1591" t="s">
        <v>1547</v>
      </c>
      <c r="B529" s="1591"/>
      <c r="C529" s="1591"/>
      <c r="D529" s="1591"/>
      <c r="E529" s="1591"/>
      <c r="F529" s="1591"/>
      <c r="G529" s="1591"/>
    </row>
    <row r="530" spans="1:7" ht="12" customHeight="1">
      <c r="A530" s="143"/>
      <c r="B530" s="143"/>
      <c r="C530" s="322"/>
      <c r="D530" s="282"/>
      <c r="E530" s="287"/>
      <c r="F530" s="282"/>
    </row>
    <row r="531" spans="1:7" ht="12.75">
      <c r="A531" s="140"/>
      <c r="B531" s="140"/>
      <c r="C531" s="322"/>
      <c r="D531" s="1582" t="s">
        <v>1579</v>
      </c>
      <c r="E531" s="1582"/>
      <c r="F531" s="1582"/>
    </row>
    <row r="532" spans="1:7" ht="12.75">
      <c r="A532" s="140"/>
      <c r="B532" s="140"/>
      <c r="C532" s="14"/>
      <c r="D532" s="282"/>
      <c r="E532" s="282"/>
      <c r="F532" s="282"/>
    </row>
    <row r="533" spans="1:7" ht="12.75">
      <c r="A533" s="140"/>
      <c r="B533" s="1544" t="s">
        <v>136</v>
      </c>
      <c r="C533" s="14"/>
      <c r="D533" s="1575" t="s">
        <v>1745</v>
      </c>
      <c r="E533" s="1575"/>
      <c r="F533" s="1575"/>
    </row>
    <row r="534" spans="1:7" ht="12.75">
      <c r="A534" s="140"/>
      <c r="B534" s="140"/>
      <c r="C534" s="14"/>
      <c r="D534" s="1575"/>
      <c r="E534" s="1575"/>
      <c r="F534" s="1575"/>
    </row>
    <row r="535" spans="1:7" ht="12" customHeight="1">
      <c r="A535" s="355"/>
      <c r="B535" s="355"/>
      <c r="C535" s="322"/>
      <c r="D535" s="287"/>
      <c r="E535" s="282"/>
      <c r="F535" s="282"/>
    </row>
    <row r="536" spans="1:7" ht="14.25">
      <c r="A536" s="413"/>
      <c r="B536" s="1544" t="s">
        <v>136</v>
      </c>
      <c r="C536" s="322"/>
      <c r="D536" s="1575" t="s">
        <v>1746</v>
      </c>
      <c r="E536" s="1575"/>
      <c r="F536" s="1575"/>
    </row>
    <row r="537" spans="1:7" ht="12.75">
      <c r="A537" s="355"/>
      <c r="B537" s="355"/>
      <c r="C537" s="322"/>
      <c r="D537" s="1575"/>
      <c r="E537" s="1575"/>
      <c r="F537" s="1575"/>
    </row>
    <row r="538" spans="1:7" ht="12" customHeight="1">
      <c r="A538" s="355"/>
      <c r="B538" s="355"/>
      <c r="C538" s="322"/>
      <c r="D538" s="287"/>
      <c r="E538" s="282"/>
      <c r="F538" s="282"/>
    </row>
    <row r="539" spans="1:7" ht="12.75">
      <c r="A539" s="1626" t="s">
        <v>1588</v>
      </c>
      <c r="B539" s="1626"/>
      <c r="C539" s="1626"/>
      <c r="D539" s="1626"/>
      <c r="E539" s="1626"/>
      <c r="F539" s="1626"/>
      <c r="G539" s="1626"/>
    </row>
    <row r="540" spans="1:7" ht="12" customHeight="1">
      <c r="A540" s="143"/>
      <c r="B540" s="143"/>
      <c r="C540" s="322"/>
      <c r="D540" s="287"/>
      <c r="E540" s="282"/>
      <c r="F540" s="282"/>
    </row>
    <row r="541" spans="1:7" ht="12.75">
      <c r="A541" s="140"/>
      <c r="B541" s="140"/>
      <c r="C541" s="322"/>
      <c r="D541" s="1582" t="s">
        <v>181</v>
      </c>
      <c r="E541" s="1582"/>
      <c r="F541" s="1582"/>
    </row>
    <row r="542" spans="1:7" ht="12.75">
      <c r="A542" s="140"/>
      <c r="B542" s="140"/>
      <c r="C542" s="322"/>
      <c r="D542" s="1577" t="s">
        <v>1722</v>
      </c>
      <c r="E542" s="1577"/>
      <c r="F542" s="1577"/>
    </row>
    <row r="543" spans="1:7" ht="12.75">
      <c r="A543" s="140"/>
      <c r="B543" s="140"/>
      <c r="C543" s="322"/>
      <c r="D543" s="287"/>
      <c r="E543" s="287"/>
      <c r="F543" s="287"/>
    </row>
    <row r="544" spans="1:7" ht="14.25">
      <c r="A544" s="413"/>
      <c r="B544" s="950" t="s">
        <v>1531</v>
      </c>
      <c r="C544" s="322"/>
      <c r="D544" s="1577" t="s">
        <v>1232</v>
      </c>
      <c r="E544" s="1577"/>
      <c r="F544" s="1577"/>
    </row>
    <row r="545" spans="1:7" ht="12" customHeight="1">
      <c r="A545" s="355"/>
      <c r="B545" s="355"/>
      <c r="C545" s="322"/>
      <c r="D545" s="287"/>
      <c r="E545" s="2"/>
      <c r="F545" s="2"/>
      <c r="G545" s="2"/>
    </row>
    <row r="546" spans="1:7" ht="14.45" customHeight="1">
      <c r="A546" s="413"/>
      <c r="B546" s="950" t="s">
        <v>1531</v>
      </c>
      <c r="C546" s="322"/>
      <c r="D546" s="1575" t="s">
        <v>1721</v>
      </c>
      <c r="E546" s="1575"/>
      <c r="F546" s="1575"/>
      <c r="G546" s="2"/>
    </row>
    <row r="547" spans="1:7" ht="12.75">
      <c r="A547" s="355"/>
      <c r="B547" s="355"/>
      <c r="C547" s="322"/>
      <c r="D547" s="1575"/>
      <c r="E547" s="1575"/>
      <c r="F547" s="1575"/>
      <c r="G547" s="2"/>
    </row>
    <row r="548" spans="1:7" ht="12" customHeight="1">
      <c r="A548" s="355"/>
      <c r="B548" s="355"/>
      <c r="C548" s="322"/>
      <c r="D548" s="287"/>
      <c r="E548" s="2"/>
      <c r="F548" s="2"/>
      <c r="G548" s="2"/>
    </row>
    <row r="549" spans="1:7" ht="14.25">
      <c r="A549" s="413"/>
      <c r="B549" s="950" t="s">
        <v>1531</v>
      </c>
      <c r="C549" s="322"/>
      <c r="D549" s="1575" t="s">
        <v>1723</v>
      </c>
      <c r="E549" s="1575"/>
      <c r="F549" s="1575"/>
      <c r="G549" s="2"/>
    </row>
    <row r="550" spans="1:7" ht="12.75">
      <c r="A550" s="355"/>
      <c r="B550" s="355"/>
      <c r="C550" s="322"/>
      <c r="D550" s="1575"/>
      <c r="E550" s="1575"/>
      <c r="F550" s="1575"/>
      <c r="G550" s="2"/>
    </row>
    <row r="551" spans="1:7" ht="12" customHeight="1">
      <c r="A551" s="355"/>
      <c r="B551" s="355"/>
      <c r="C551" s="322"/>
      <c r="D551" s="287"/>
      <c r="E551" s="2"/>
      <c r="F551" s="2"/>
      <c r="G551" s="2"/>
    </row>
    <row r="552" spans="1:7" ht="14.25">
      <c r="A552" s="413"/>
      <c r="B552" s="950" t="s">
        <v>1531</v>
      </c>
      <c r="C552" s="322"/>
      <c r="D552" s="1575" t="s">
        <v>1724</v>
      </c>
      <c r="E552" s="1575"/>
      <c r="F552" s="1575"/>
      <c r="G552" s="2"/>
    </row>
    <row r="553" spans="1:7" ht="12.75">
      <c r="A553" s="355"/>
      <c r="B553" s="355"/>
      <c r="C553" s="322"/>
      <c r="D553" s="1575"/>
      <c r="E553" s="1575"/>
      <c r="F553" s="1575"/>
      <c r="G553" s="2"/>
    </row>
    <row r="554" spans="1:7" ht="12" customHeight="1">
      <c r="A554" s="355"/>
      <c r="B554" s="355"/>
      <c r="C554" s="322"/>
      <c r="D554" s="287"/>
      <c r="E554" s="2"/>
      <c r="F554" s="2"/>
      <c r="G554" s="2"/>
    </row>
    <row r="555" spans="1:7" ht="14.45" customHeight="1">
      <c r="A555" s="413"/>
      <c r="B555" s="950" t="s">
        <v>1531</v>
      </c>
      <c r="C555" s="322"/>
      <c r="D555" s="1575" t="s">
        <v>1725</v>
      </c>
      <c r="E555" s="1575"/>
      <c r="F555" s="1575"/>
      <c r="G555" s="2"/>
    </row>
    <row r="556" spans="1:7" ht="12.75">
      <c r="A556" s="355"/>
      <c r="B556" s="355"/>
      <c r="C556" s="322"/>
      <c r="D556" s="1575"/>
      <c r="E556" s="1575"/>
      <c r="F556" s="1575"/>
      <c r="G556" s="2"/>
    </row>
    <row r="557" spans="1:7" ht="12.75">
      <c r="A557" s="355"/>
      <c r="B557" s="355"/>
      <c r="C557" s="322"/>
      <c r="D557" s="1575"/>
      <c r="E557" s="1575"/>
      <c r="F557" s="1575"/>
      <c r="G557" s="2"/>
    </row>
    <row r="558" spans="1:7" ht="12.75">
      <c r="A558" s="355"/>
      <c r="B558" s="355"/>
      <c r="C558" s="322"/>
      <c r="D558" s="287"/>
      <c r="E558" s="2"/>
      <c r="F558" s="2"/>
      <c r="G558" s="2"/>
    </row>
    <row r="559" spans="1:7" ht="14.25">
      <c r="A559" s="413"/>
      <c r="B559" s="1544" t="s">
        <v>136</v>
      </c>
      <c r="C559" s="322"/>
      <c r="D559" s="1608" t="s">
        <v>1837</v>
      </c>
      <c r="E559" s="1609"/>
      <c r="F559" s="1609"/>
      <c r="G559" s="2"/>
    </row>
    <row r="560" spans="1:7" ht="12.75">
      <c r="A560" s="355"/>
      <c r="B560" s="355"/>
      <c r="C560" s="322"/>
      <c r="D560" s="1609"/>
      <c r="E560" s="1609"/>
      <c r="F560" s="1609"/>
      <c r="G560" s="2"/>
    </row>
    <row r="561" spans="1:7" ht="12.75">
      <c r="A561" s="355"/>
      <c r="B561" s="355"/>
      <c r="C561" s="322"/>
      <c r="D561" s="701"/>
      <c r="E561" s="282"/>
      <c r="F561" s="282"/>
      <c r="G561" s="2"/>
    </row>
    <row r="562" spans="1:7" ht="14.25">
      <c r="A562" s="413"/>
      <c r="B562" s="1544" t="s">
        <v>136</v>
      </c>
      <c r="C562" s="322"/>
      <c r="D562" s="1575" t="s">
        <v>1727</v>
      </c>
      <c r="E562" s="1575"/>
      <c r="F562" s="1575"/>
      <c r="G562" s="2"/>
    </row>
    <row r="563" spans="1:7" ht="12.75">
      <c r="A563" s="355"/>
      <c r="B563" s="355"/>
      <c r="C563" s="322"/>
      <c r="D563" s="1575"/>
      <c r="E563" s="1575"/>
      <c r="F563" s="1575"/>
      <c r="G563" s="2"/>
    </row>
    <row r="564" spans="1:7" ht="12" customHeight="1">
      <c r="A564" s="355"/>
      <c r="B564" s="355"/>
      <c r="C564" s="322"/>
      <c r="D564" s="287"/>
      <c r="E564" s="282"/>
      <c r="F564" s="282"/>
      <c r="G564" s="2"/>
    </row>
    <row r="565" spans="1:7" ht="14.25">
      <c r="A565" s="413"/>
      <c r="B565" s="950" t="s">
        <v>1531</v>
      </c>
      <c r="C565" s="322"/>
      <c r="D565" s="1577" t="s">
        <v>1728</v>
      </c>
      <c r="E565" s="1577"/>
      <c r="F565" s="1577"/>
      <c r="G565" s="2"/>
    </row>
    <row r="566" spans="1:7" ht="14.25">
      <c r="A566" s="413"/>
      <c r="B566" s="413"/>
      <c r="C566" s="322"/>
      <c r="D566" s="1577" t="s">
        <v>1135</v>
      </c>
      <c r="E566" s="1577"/>
      <c r="F566" s="1577"/>
      <c r="G566" s="2"/>
    </row>
    <row r="567" spans="1:7" ht="12.75">
      <c r="A567" s="410"/>
      <c r="B567" s="410"/>
      <c r="C567" s="405"/>
      <c r="D567" s="282"/>
      <c r="E567" s="1601" t="s">
        <v>1729</v>
      </c>
      <c r="F567" s="1601"/>
      <c r="G567" s="2"/>
    </row>
    <row r="568" spans="1:7" ht="15" customHeight="1">
      <c r="A568" s="410"/>
      <c r="B568" s="410"/>
      <c r="C568" s="405"/>
      <c r="D568" s="1620" t="s">
        <v>1978</v>
      </c>
      <c r="E568" s="1619"/>
      <c r="F568" s="1619"/>
      <c r="G568" s="2"/>
    </row>
    <row r="569" spans="1:7" ht="12.75">
      <c r="A569" s="410"/>
      <c r="B569" s="410"/>
      <c r="C569" s="405"/>
      <c r="D569" s="1619"/>
      <c r="E569" s="1619"/>
      <c r="F569" s="1619"/>
      <c r="G569" s="2"/>
    </row>
    <row r="570" spans="1:7" ht="12.75">
      <c r="A570" s="410"/>
      <c r="B570" s="410"/>
      <c r="C570" s="405"/>
      <c r="D570" s="1619"/>
      <c r="E570" s="1619"/>
      <c r="F570" s="1619"/>
      <c r="G570" s="2"/>
    </row>
    <row r="571" spans="1:7" ht="12.75">
      <c r="A571" s="410"/>
      <c r="B571" s="410"/>
      <c r="C571" s="405"/>
      <c r="D571" s="1619"/>
      <c r="E571" s="1619"/>
      <c r="F571" s="1619"/>
      <c r="G571" s="2"/>
    </row>
    <row r="572" spans="1:7" ht="12.75">
      <c r="A572" s="410"/>
      <c r="B572" s="410"/>
      <c r="C572" s="405"/>
      <c r="D572" s="1619"/>
      <c r="E572" s="1619"/>
      <c r="F572" s="1619"/>
      <c r="G572" s="2"/>
    </row>
    <row r="573" spans="1:7" ht="12.75">
      <c r="A573" s="410"/>
      <c r="B573" s="410"/>
      <c r="C573" s="405"/>
      <c r="D573" s="1619"/>
      <c r="E573" s="1619"/>
      <c r="F573" s="1619"/>
      <c r="G573" s="2"/>
    </row>
    <row r="574" spans="1:7" ht="12.75">
      <c r="A574" s="410"/>
      <c r="B574" s="410"/>
      <c r="C574" s="405"/>
      <c r="D574" s="1619"/>
      <c r="E574" s="1619"/>
      <c r="F574" s="1619"/>
      <c r="G574" s="2"/>
    </row>
    <row r="575" spans="1:7" ht="12.75">
      <c r="A575" s="410"/>
      <c r="B575" s="410"/>
      <c r="C575" s="405"/>
      <c r="D575" s="1619"/>
      <c r="E575" s="1619"/>
      <c r="F575" s="1619"/>
      <c r="G575" s="2"/>
    </row>
    <row r="576" spans="1:7" ht="12.75">
      <c r="A576" s="410"/>
      <c r="B576" s="410"/>
      <c r="C576" s="405"/>
      <c r="D576" s="1619"/>
      <c r="E576" s="1619"/>
      <c r="F576" s="1619"/>
      <c r="G576" s="2"/>
    </row>
    <row r="577" spans="1:7" ht="12.75">
      <c r="A577" s="410"/>
      <c r="B577" s="410"/>
      <c r="C577" s="405"/>
      <c r="D577" s="954"/>
      <c r="E577" s="954"/>
      <c r="F577" s="954"/>
      <c r="G577" s="2"/>
    </row>
    <row r="578" spans="1:7" ht="14.25">
      <c r="A578" s="570"/>
      <c r="B578" s="950" t="s">
        <v>1531</v>
      </c>
      <c r="C578" s="405"/>
      <c r="D578" s="1637" t="s">
        <v>1730</v>
      </c>
      <c r="E578" s="1637"/>
      <c r="F578" s="1637"/>
      <c r="G578" s="2"/>
    </row>
    <row r="579" spans="1:7" ht="13.7" customHeight="1">
      <c r="A579" s="140"/>
      <c r="B579" s="140"/>
      <c r="C579" s="322"/>
      <c r="D579" s="1575" t="s">
        <v>1731</v>
      </c>
      <c r="E579" s="1575"/>
      <c r="F579" s="1575"/>
      <c r="G579" s="2"/>
    </row>
    <row r="580" spans="1:7" ht="12.75">
      <c r="A580" s="355"/>
      <c r="B580" s="355"/>
      <c r="C580" s="322"/>
      <c r="D580" s="1575"/>
      <c r="E580" s="1575"/>
      <c r="F580" s="1575"/>
      <c r="G580" s="2"/>
    </row>
    <row r="581" spans="1:7" ht="12.75">
      <c r="A581" s="355"/>
      <c r="B581" s="355"/>
      <c r="C581" s="322"/>
      <c r="D581" s="1575"/>
      <c r="E581" s="1575"/>
      <c r="F581" s="1575"/>
      <c r="G581" s="2"/>
    </row>
    <row r="582" spans="1:7" ht="12.75">
      <c r="A582" s="355"/>
      <c r="B582" s="355"/>
      <c r="C582" s="322"/>
      <c r="D582" s="980"/>
      <c r="E582" s="980"/>
      <c r="F582" s="980"/>
      <c r="G582" s="2"/>
    </row>
    <row r="583" spans="1:7" ht="14.45" customHeight="1">
      <c r="A583" s="413"/>
      <c r="B583" s="950" t="s">
        <v>1531</v>
      </c>
      <c r="C583" s="322"/>
      <c r="D583" s="1575" t="s">
        <v>1732</v>
      </c>
      <c r="E583" s="1575"/>
      <c r="F583" s="1575"/>
      <c r="G583" s="2"/>
    </row>
    <row r="584" spans="1:7" ht="14.25">
      <c r="A584" s="413"/>
      <c r="B584" s="413"/>
      <c r="C584" s="322"/>
      <c r="D584" s="1575"/>
      <c r="E584" s="1575"/>
      <c r="F584" s="1575"/>
      <c r="G584" s="2"/>
    </row>
    <row r="585" spans="1:7" ht="14.25">
      <c r="A585" s="413"/>
      <c r="B585" s="413"/>
      <c r="C585" s="322"/>
      <c r="D585" s="1575"/>
      <c r="E585" s="1575"/>
      <c r="F585" s="1575"/>
    </row>
    <row r="586" spans="1:7" ht="12.75">
      <c r="A586" s="355"/>
      <c r="B586" s="355"/>
      <c r="C586" s="322"/>
      <c r="D586" s="1575"/>
      <c r="E586" s="1575"/>
      <c r="F586" s="1575"/>
    </row>
    <row r="587" spans="1:7" ht="12.75">
      <c r="A587" s="355"/>
      <c r="B587" s="355"/>
      <c r="C587" s="322"/>
      <c r="D587" s="287"/>
      <c r="E587" s="282"/>
      <c r="F587" s="282"/>
    </row>
    <row r="588" spans="1:7" ht="12.75">
      <c r="A588" s="415"/>
      <c r="B588" s="1544" t="s">
        <v>136</v>
      </c>
      <c r="C588" s="299"/>
      <c r="D588" s="1583" t="s">
        <v>2049</v>
      </c>
      <c r="E588" s="1584"/>
      <c r="F588" s="1584"/>
      <c r="G588" s="288"/>
    </row>
    <row r="589" spans="1:7" ht="12.75">
      <c r="A589" s="415"/>
      <c r="B589" s="415"/>
      <c r="C589" s="299"/>
      <c r="D589" s="282"/>
      <c r="E589" s="282"/>
      <c r="F589" s="282"/>
      <c r="G589" s="288"/>
    </row>
    <row r="590" spans="1:7" ht="12.75">
      <c r="A590" s="355"/>
      <c r="B590" s="355"/>
      <c r="C590" s="322"/>
      <c r="D590" s="959"/>
      <c r="E590" s="959"/>
      <c r="F590" s="959"/>
    </row>
    <row r="591" spans="1:7" ht="12.75">
      <c r="A591" s="1591" t="s">
        <v>1549</v>
      </c>
      <c r="B591" s="1591"/>
      <c r="C591" s="1591"/>
      <c r="D591" s="1591"/>
      <c r="E591" s="1591"/>
      <c r="F591" s="1591"/>
      <c r="G591" s="1591"/>
    </row>
    <row r="592" spans="1:7" ht="12.75">
      <c r="A592" s="355"/>
      <c r="B592" s="355"/>
      <c r="C592" s="322"/>
      <c r="D592" s="282"/>
      <c r="E592" s="282"/>
      <c r="F592" s="282"/>
    </row>
    <row r="593" spans="1:7" ht="12.75">
      <c r="A593" s="140"/>
      <c r="B593" s="140"/>
      <c r="C593" s="298"/>
      <c r="D593" s="1610" t="s">
        <v>182</v>
      </c>
      <c r="E593" s="1610"/>
      <c r="F593" s="1610"/>
      <c r="G593" s="288"/>
    </row>
    <row r="594" spans="1:7" ht="12.75">
      <c r="A594" s="140"/>
      <c r="B594" s="140"/>
      <c r="C594" s="298"/>
      <c r="D594" s="1640" t="s">
        <v>1609</v>
      </c>
      <c r="E594" s="1640"/>
      <c r="F594" s="1640"/>
      <c r="G594" s="288"/>
    </row>
    <row r="595" spans="1:7" ht="12.75">
      <c r="A595" s="140"/>
      <c r="B595" s="140"/>
      <c r="C595" s="298"/>
      <c r="D595" s="593"/>
      <c r="E595" s="282"/>
      <c r="F595" s="282"/>
      <c r="G595" s="288"/>
    </row>
    <row r="596" spans="1:7" ht="14.25">
      <c r="A596" s="413"/>
      <c r="B596" s="950" t="s">
        <v>1531</v>
      </c>
      <c r="C596" s="14"/>
      <c r="D596" s="1640" t="s">
        <v>1233</v>
      </c>
      <c r="E596" s="1640"/>
      <c r="F596" s="1640"/>
      <c r="G596" s="288"/>
    </row>
    <row r="597" spans="1:7" ht="12.75">
      <c r="A597" s="33"/>
      <c r="B597" s="33"/>
      <c r="C597" s="14"/>
      <c r="D597" s="597"/>
      <c r="E597" s="282"/>
      <c r="F597" s="282"/>
      <c r="G597" s="288"/>
    </row>
    <row r="598" spans="1:7" ht="14.45" customHeight="1">
      <c r="A598" s="413"/>
      <c r="B598" s="950" t="s">
        <v>1531</v>
      </c>
      <c r="C598" s="14"/>
      <c r="D598" s="1590" t="s">
        <v>1611</v>
      </c>
      <c r="E598" s="1590"/>
      <c r="F598" s="1590"/>
      <c r="G598" s="288"/>
    </row>
    <row r="599" spans="1:7" ht="14.45" customHeight="1">
      <c r="A599" s="413"/>
      <c r="B599" s="413"/>
      <c r="C599" s="14"/>
      <c r="D599" s="1590"/>
      <c r="E599" s="1590"/>
      <c r="F599" s="1590"/>
      <c r="G599" s="288"/>
    </row>
    <row r="600" spans="1:7" ht="14.25">
      <c r="A600" s="413"/>
      <c r="B600" s="413"/>
      <c r="C600" s="14"/>
      <c r="D600" s="1590"/>
      <c r="E600" s="1590"/>
      <c r="F600" s="1590"/>
      <c r="G600" s="288"/>
    </row>
    <row r="601" spans="1:7" ht="14.25">
      <c r="A601" s="413"/>
      <c r="B601" s="413"/>
      <c r="C601" s="14"/>
      <c r="D601" s="958"/>
      <c r="E601" s="958"/>
      <c r="F601" s="958"/>
      <c r="G601" s="288"/>
    </row>
    <row r="602" spans="1:7" ht="14.25">
      <c r="A602" s="413"/>
      <c r="B602" s="1544" t="s">
        <v>136</v>
      </c>
      <c r="C602" s="14"/>
      <c r="D602" s="1590" t="s">
        <v>1610</v>
      </c>
      <c r="E602" s="1590"/>
      <c r="F602" s="1590"/>
      <c r="G602" s="288"/>
    </row>
    <row r="603" spans="1:7" ht="14.25">
      <c r="A603" s="413"/>
      <c r="B603" s="413"/>
      <c r="C603" s="14"/>
      <c r="D603" s="1590"/>
      <c r="E603" s="1590"/>
      <c r="F603" s="1590"/>
      <c r="G603" s="288"/>
    </row>
    <row r="604" spans="1:7" ht="14.25">
      <c r="A604" s="413"/>
      <c r="B604" s="413"/>
      <c r="C604" s="14"/>
      <c r="D604" s="1590"/>
      <c r="E604" s="1590"/>
      <c r="F604" s="1590"/>
      <c r="G604" s="288"/>
    </row>
    <row r="605" spans="1:7" ht="14.25">
      <c r="A605" s="413"/>
      <c r="B605" s="413"/>
      <c r="C605" s="14"/>
      <c r="D605" s="1590"/>
      <c r="E605" s="1590"/>
      <c r="F605" s="1590"/>
      <c r="G605" s="288"/>
    </row>
    <row r="606" spans="1:7" ht="14.25">
      <c r="A606" s="413"/>
      <c r="B606" s="413"/>
      <c r="C606" s="14"/>
      <c r="D606" s="593"/>
      <c r="E606" s="282"/>
      <c r="F606" s="282"/>
      <c r="G606" s="288"/>
    </row>
    <row r="607" spans="1:7" ht="14.25">
      <c r="A607" s="570"/>
      <c r="B607" s="950" t="s">
        <v>1531</v>
      </c>
      <c r="D607" s="1590" t="s">
        <v>1612</v>
      </c>
      <c r="E607" s="1590"/>
      <c r="F607" s="1590"/>
      <c r="G607" s="288"/>
    </row>
    <row r="608" spans="1:7" ht="14.25">
      <c r="A608" s="570"/>
      <c r="B608" s="570"/>
      <c r="D608" s="1590"/>
      <c r="E608" s="1590"/>
      <c r="F608" s="1590"/>
      <c r="G608" s="288"/>
    </row>
    <row r="609" spans="1:7" ht="14.25">
      <c r="A609" s="413"/>
      <c r="B609" s="413"/>
      <c r="C609" s="14"/>
      <c r="D609" s="593"/>
      <c r="E609" s="282"/>
      <c r="F609" s="282"/>
      <c r="G609" s="288"/>
    </row>
    <row r="610" spans="1:7" ht="14.45" customHeight="1">
      <c r="A610" s="413"/>
      <c r="B610" s="1544" t="s">
        <v>136</v>
      </c>
      <c r="C610" s="14"/>
      <c r="D610" s="1640" t="s">
        <v>1618</v>
      </c>
      <c r="E610" s="1640"/>
      <c r="F610" s="1640"/>
      <c r="G610" s="288"/>
    </row>
    <row r="611" spans="1:7" ht="14.25">
      <c r="A611" s="413"/>
      <c r="B611" s="413"/>
      <c r="C611" s="14"/>
      <c r="D611" s="1640"/>
      <c r="E611" s="1640"/>
      <c r="F611" s="1640"/>
      <c r="G611" s="288"/>
    </row>
    <row r="612" spans="1:7" ht="14.25">
      <c r="A612" s="413"/>
      <c r="B612" s="413"/>
      <c r="C612" s="14"/>
      <c r="D612" s="593"/>
      <c r="E612" s="282"/>
      <c r="F612" s="282"/>
      <c r="G612" s="288"/>
    </row>
    <row r="613" spans="1:7" ht="14.25">
      <c r="A613" s="413"/>
      <c r="B613" s="950" t="s">
        <v>1531</v>
      </c>
      <c r="C613" s="14"/>
      <c r="D613" s="1640" t="s">
        <v>1234</v>
      </c>
      <c r="E613" s="1640"/>
      <c r="F613" s="1640"/>
      <c r="G613" s="288"/>
    </row>
    <row r="614" spans="1:7" ht="12.75">
      <c r="A614" s="33"/>
      <c r="B614" s="33"/>
      <c r="C614" s="14"/>
      <c r="D614" s="282"/>
      <c r="E614" s="282"/>
      <c r="F614" s="282"/>
      <c r="G614" s="288"/>
    </row>
    <row r="615" spans="1:7" ht="12.75">
      <c r="A615" s="1591" t="s">
        <v>1551</v>
      </c>
      <c r="B615" s="1591"/>
      <c r="C615" s="1591"/>
      <c r="D615" s="1591"/>
      <c r="E615" s="1591"/>
      <c r="F615" s="1591"/>
      <c r="G615" s="1591"/>
    </row>
    <row r="616" spans="1:7" ht="12.75">
      <c r="A616" s="107"/>
      <c r="B616" s="107"/>
      <c r="C616" s="302"/>
      <c r="D616" s="283"/>
      <c r="E616" s="283"/>
      <c r="F616" s="283"/>
      <c r="G616" s="288"/>
    </row>
    <row r="617" spans="1:7" ht="12.75">
      <c r="A617" s="140"/>
      <c r="B617" s="140"/>
      <c r="C617" s="299"/>
      <c r="D617" s="1641" t="s">
        <v>1550</v>
      </c>
      <c r="E617" s="1641"/>
      <c r="F617" s="1641"/>
    </row>
    <row r="618" spans="1:7" ht="12.75">
      <c r="A618" s="140"/>
      <c r="B618" s="140"/>
      <c r="C618" s="299"/>
      <c r="D618" s="1584" t="s">
        <v>1580</v>
      </c>
      <c r="E618" s="1584"/>
      <c r="F618" s="1584"/>
    </row>
    <row r="619" spans="1:7" ht="12.75">
      <c r="A619" s="983"/>
      <c r="B619" s="983"/>
      <c r="C619" s="299"/>
      <c r="D619" s="982"/>
      <c r="E619" s="982"/>
      <c r="F619" s="982"/>
    </row>
    <row r="620" spans="1:7" ht="14.25">
      <c r="A620" s="570"/>
      <c r="B620" s="950" t="s">
        <v>1531</v>
      </c>
      <c r="D620" s="1656" t="s">
        <v>1747</v>
      </c>
      <c r="E620" s="1656"/>
      <c r="F620" s="1656"/>
    </row>
    <row r="621" spans="1:7" ht="12.75">
      <c r="A621" s="140"/>
      <c r="B621" s="140"/>
      <c r="C621" s="14"/>
      <c r="D621" s="1656"/>
      <c r="E621" s="1656"/>
      <c r="F621" s="1656"/>
    </row>
    <row r="622" spans="1:7" ht="12.75">
      <c r="A622" s="140"/>
      <c r="B622" s="140"/>
      <c r="C622" s="14"/>
      <c r="D622" s="1656"/>
      <c r="E622" s="1656"/>
      <c r="F622" s="1656"/>
    </row>
    <row r="623" spans="1:7" ht="12.75">
      <c r="A623" s="107"/>
      <c r="B623" s="107"/>
      <c r="C623" s="302"/>
      <c r="D623" s="283"/>
      <c r="E623" s="283"/>
      <c r="F623" s="283"/>
      <c r="G623" s="288"/>
    </row>
    <row r="624" spans="1:7" ht="12" customHeight="1">
      <c r="A624" s="1591" t="s">
        <v>1553</v>
      </c>
      <c r="B624" s="1591"/>
      <c r="C624" s="1591"/>
      <c r="D624" s="1591"/>
      <c r="E624" s="1591"/>
      <c r="F624" s="1591"/>
      <c r="G624" s="1591"/>
    </row>
    <row r="625" spans="1:7" ht="12.75">
      <c r="A625" s="143"/>
      <c r="B625" s="143"/>
      <c r="C625" s="14"/>
      <c r="D625" s="282"/>
      <c r="E625" s="282"/>
      <c r="F625" s="282"/>
      <c r="G625" s="288"/>
    </row>
    <row r="626" spans="1:7" ht="12.75">
      <c r="A626" s="140"/>
      <c r="B626" s="140"/>
      <c r="C626" s="303"/>
      <c r="D626" s="1582" t="s">
        <v>1552</v>
      </c>
      <c r="E626" s="1582"/>
      <c r="F626" s="1582"/>
      <c r="G626" s="288"/>
    </row>
    <row r="627" spans="1:7" ht="12.75">
      <c r="A627" s="415"/>
      <c r="B627" s="415"/>
      <c r="C627" s="299"/>
      <c r="D627" s="1577" t="s">
        <v>1748</v>
      </c>
      <c r="E627" s="1577"/>
      <c r="F627" s="1577"/>
      <c r="G627" s="288"/>
    </row>
    <row r="628" spans="1:7" ht="12.75">
      <c r="A628" s="415"/>
      <c r="B628" s="415"/>
      <c r="C628" s="299"/>
      <c r="D628" s="282"/>
      <c r="E628" s="282"/>
      <c r="F628" s="282"/>
      <c r="G628" s="288"/>
    </row>
    <row r="629" spans="1:7" ht="14.25">
      <c r="A629" s="413"/>
      <c r="B629" s="413"/>
      <c r="C629" s="14"/>
      <c r="D629" s="1641" t="s">
        <v>956</v>
      </c>
      <c r="E629" s="1641"/>
      <c r="F629" s="1641"/>
      <c r="G629" s="288"/>
    </row>
    <row r="630" spans="1:7" ht="14.25">
      <c r="A630" s="413"/>
      <c r="B630" s="950" t="s">
        <v>1531</v>
      </c>
      <c r="C630" s="14"/>
      <c r="D630" s="1584" t="s">
        <v>1749</v>
      </c>
      <c r="E630" s="1584"/>
      <c r="F630" s="1584"/>
      <c r="G630" s="288"/>
    </row>
    <row r="631" spans="1:7" ht="14.25">
      <c r="A631" s="413"/>
      <c r="B631" s="413"/>
      <c r="C631" s="14"/>
      <c r="D631" s="287"/>
      <c r="E631" s="282"/>
      <c r="F631" s="282"/>
      <c r="G631" s="288"/>
    </row>
    <row r="632" spans="1:7" ht="14.25">
      <c r="A632" s="413"/>
      <c r="B632" s="1544" t="s">
        <v>136</v>
      </c>
      <c r="C632" s="14"/>
      <c r="D632" s="1575" t="s">
        <v>1750</v>
      </c>
      <c r="E632" s="1575"/>
      <c r="F632" s="1575"/>
      <c r="G632" s="288"/>
    </row>
    <row r="633" spans="1:7" ht="14.25">
      <c r="A633" s="413"/>
      <c r="B633" s="413"/>
      <c r="C633" s="14"/>
      <c r="D633" s="1575"/>
      <c r="E633" s="1575"/>
      <c r="F633" s="1575"/>
      <c r="G633" s="288"/>
    </row>
    <row r="634" spans="1:7" ht="14.25">
      <c r="A634" s="413"/>
      <c r="B634" s="413"/>
      <c r="C634" s="14"/>
      <c r="D634" s="287"/>
      <c r="E634" s="282"/>
      <c r="F634" s="282"/>
      <c r="G634" s="288"/>
    </row>
    <row r="635" spans="1:7" ht="14.25">
      <c r="A635" s="570"/>
      <c r="B635" s="950" t="s">
        <v>1531</v>
      </c>
      <c r="D635" s="1620" t="s">
        <v>2193</v>
      </c>
      <c r="E635" s="1620"/>
      <c r="F635" s="1620"/>
      <c r="G635" s="288"/>
    </row>
    <row r="636" spans="1:7" ht="13.7" customHeight="1">
      <c r="D636" s="1620"/>
      <c r="E636" s="1620"/>
      <c r="F636" s="1620"/>
    </row>
    <row r="637" spans="1:7" ht="12.75">
      <c r="A637" s="140"/>
      <c r="B637" s="140"/>
      <c r="C637" s="14"/>
      <c r="D637" s="282"/>
      <c r="E637" s="282"/>
      <c r="F637" s="282"/>
      <c r="G637" s="288"/>
    </row>
    <row r="638" spans="1:7" ht="14.25">
      <c r="A638" s="413"/>
      <c r="B638" s="1544" t="s">
        <v>136</v>
      </c>
      <c r="C638" s="14"/>
      <c r="D638" s="1584" t="s">
        <v>1751</v>
      </c>
      <c r="E638" s="1584"/>
      <c r="F638" s="1584"/>
      <c r="G638" s="288"/>
    </row>
    <row r="639" spans="1:7" ht="12.75">
      <c r="A639" s="418"/>
      <c r="B639" s="418"/>
      <c r="C639" s="303"/>
      <c r="D639" s="282"/>
      <c r="E639" s="282"/>
      <c r="F639" s="282"/>
      <c r="G639" s="288"/>
    </row>
    <row r="640" spans="1:7" ht="12.75">
      <c r="A640" s="1591" t="s">
        <v>1554</v>
      </c>
      <c r="B640" s="1591"/>
      <c r="C640" s="1591"/>
      <c r="D640" s="1591"/>
      <c r="E640" s="1591"/>
      <c r="F640" s="1591"/>
      <c r="G640" s="1591"/>
    </row>
    <row r="641" spans="1:7" ht="12.75">
      <c r="A641" s="418"/>
      <c r="B641" s="418"/>
      <c r="C641" s="303"/>
      <c r="D641" s="282"/>
      <c r="E641" s="282"/>
      <c r="F641" s="282"/>
      <c r="G641" s="288"/>
    </row>
    <row r="642" spans="1:7" ht="12.75">
      <c r="A642" s="140"/>
      <c r="B642" s="140"/>
      <c r="C642" s="320"/>
      <c r="D642" s="1661" t="s">
        <v>1581</v>
      </c>
      <c r="E642" s="1661"/>
      <c r="F642" s="1661"/>
      <c r="G642" s="288"/>
    </row>
    <row r="643" spans="1:7" ht="12.75">
      <c r="A643" s="33"/>
      <c r="B643" s="33"/>
      <c r="C643" s="302"/>
      <c r="D643" s="6"/>
      <c r="E643" s="283"/>
      <c r="F643" s="283"/>
      <c r="G643" s="288"/>
    </row>
    <row r="644" spans="1:7" ht="14.25">
      <c r="A644" s="413"/>
      <c r="B644" s="950" t="s">
        <v>1531</v>
      </c>
      <c r="C644" s="302"/>
      <c r="D644" s="1662" t="s">
        <v>1752</v>
      </c>
      <c r="E644" s="1662"/>
      <c r="F644" s="1662"/>
      <c r="G644" s="288"/>
    </row>
    <row r="645" spans="1:7" ht="14.25">
      <c r="A645" s="413"/>
      <c r="B645" s="413"/>
      <c r="C645" s="302"/>
      <c r="D645" s="1662"/>
      <c r="E645" s="1662"/>
      <c r="F645" s="1662"/>
      <c r="G645" s="288"/>
    </row>
    <row r="646" spans="1:7" ht="12.75">
      <c r="A646" s="140"/>
      <c r="B646" s="140"/>
      <c r="C646" s="302"/>
      <c r="D646" s="1662"/>
      <c r="E646" s="1662"/>
      <c r="F646" s="1662"/>
      <c r="G646" s="288"/>
    </row>
    <row r="647" spans="1:7" ht="12.75">
      <c r="A647" s="140"/>
      <c r="B647" s="140"/>
      <c r="C647" s="302"/>
      <c r="D647" s="1662"/>
      <c r="E647" s="1662"/>
      <c r="F647" s="1662"/>
      <c r="G647" s="288"/>
    </row>
    <row r="648" spans="1:7" ht="12.75">
      <c r="A648" s="140"/>
      <c r="B648" s="140"/>
      <c r="C648" s="302"/>
      <c r="D648" s="1662"/>
      <c r="E648" s="1662"/>
      <c r="F648" s="1662"/>
      <c r="G648" s="288"/>
    </row>
    <row r="649" spans="1:7" ht="12.75">
      <c r="A649" s="140"/>
      <c r="B649" s="140"/>
      <c r="C649" s="302"/>
      <c r="D649" s="1662"/>
      <c r="E649" s="1662"/>
      <c r="F649" s="1662"/>
      <c r="G649" s="288"/>
    </row>
    <row r="650" spans="1:7" ht="12.75">
      <c r="A650" s="140"/>
      <c r="B650" s="140"/>
      <c r="C650" s="302"/>
      <c r="D650" s="282"/>
      <c r="E650" s="283"/>
      <c r="F650" s="283"/>
      <c r="G650" s="288"/>
    </row>
    <row r="651" spans="1:7" ht="14.25">
      <c r="A651" s="485"/>
      <c r="B651" s="1544" t="s">
        <v>136</v>
      </c>
      <c r="C651" s="302"/>
      <c r="D651" s="1662" t="s">
        <v>1753</v>
      </c>
      <c r="E651" s="1662"/>
      <c r="F651" s="1662"/>
      <c r="G651" s="284"/>
    </row>
    <row r="652" spans="1:7" ht="14.25">
      <c r="A652" s="485"/>
      <c r="B652" s="485"/>
      <c r="C652" s="302"/>
      <c r="D652" s="1662"/>
      <c r="E652" s="1662"/>
      <c r="F652" s="1662"/>
      <c r="G652" s="284"/>
    </row>
    <row r="653" spans="1:7" ht="14.25">
      <c r="A653" s="485"/>
      <c r="B653" s="485"/>
      <c r="C653" s="302"/>
      <c r="D653" s="287"/>
      <c r="E653" s="286"/>
      <c r="F653" s="286"/>
      <c r="G653" s="284"/>
    </row>
    <row r="654" spans="1:7" ht="13.7" customHeight="1">
      <c r="A654" s="485"/>
      <c r="B654" s="1544" t="s">
        <v>136</v>
      </c>
      <c r="C654" s="302"/>
      <c r="D654" s="1630" t="s">
        <v>2050</v>
      </c>
      <c r="E654" s="1630"/>
      <c r="F654" s="1630"/>
      <c r="G654" s="284"/>
    </row>
    <row r="655" spans="1:7" ht="14.25">
      <c r="A655" s="485"/>
      <c r="B655" s="485"/>
      <c r="C655" s="302"/>
      <c r="D655" s="1630"/>
      <c r="E655" s="1630"/>
      <c r="F655" s="1630"/>
      <c r="G655" s="284"/>
    </row>
    <row r="656" spans="1:7" ht="14.25">
      <c r="A656" s="570"/>
      <c r="B656" s="570"/>
      <c r="C656" s="285"/>
      <c r="D656" s="987"/>
      <c r="E656" s="987"/>
      <c r="F656" s="987"/>
      <c r="G656" s="284"/>
    </row>
    <row r="657" spans="1:9" ht="14.25">
      <c r="A657" s="413"/>
      <c r="B657" s="1544" t="s">
        <v>136</v>
      </c>
      <c r="C657" s="322"/>
      <c r="D657" s="1663" t="s">
        <v>1754</v>
      </c>
      <c r="E657" s="1663"/>
      <c r="F657" s="1663"/>
      <c r="G657" s="284"/>
    </row>
    <row r="658" spans="1:9" ht="12.75">
      <c r="A658" s="143"/>
      <c r="B658" s="143"/>
      <c r="C658" s="322"/>
      <c r="D658" s="286"/>
      <c r="E658" s="286"/>
      <c r="F658" s="286"/>
      <c r="G658" s="284"/>
      <c r="H658" s="404"/>
      <c r="I658" s="404"/>
    </row>
    <row r="659" spans="1:9" ht="12.75">
      <c r="A659" s="1591" t="s">
        <v>1556</v>
      </c>
      <c r="B659" s="1591"/>
      <c r="C659" s="1591"/>
      <c r="D659" s="1591"/>
      <c r="E659" s="1591"/>
      <c r="F659" s="1591"/>
      <c r="G659" s="1591"/>
    </row>
    <row r="660" spans="1:9" ht="12.75">
      <c r="A660" s="143"/>
      <c r="B660" s="143"/>
      <c r="C660" s="322"/>
      <c r="D660" s="286"/>
      <c r="E660" s="286"/>
      <c r="F660" s="286"/>
      <c r="G660" s="284"/>
    </row>
    <row r="661" spans="1:9" ht="12.75">
      <c r="A661" s="140"/>
      <c r="B661" s="140"/>
      <c r="C661" s="303"/>
      <c r="D661" s="1664" t="s">
        <v>1555</v>
      </c>
      <c r="E661" s="1664"/>
      <c r="F661" s="1664"/>
      <c r="G661" s="284"/>
    </row>
    <row r="662" spans="1:9" ht="12.75">
      <c r="A662" s="415"/>
      <c r="B662" s="415"/>
      <c r="C662" s="299"/>
      <c r="D662" s="1650" t="s">
        <v>1582</v>
      </c>
      <c r="E662" s="1650"/>
      <c r="F662" s="1650"/>
      <c r="G662" s="284"/>
    </row>
    <row r="663" spans="1:9" ht="12.75">
      <c r="A663" s="415"/>
      <c r="B663" s="415"/>
      <c r="C663" s="299"/>
      <c r="D663" s="992"/>
      <c r="E663" s="992"/>
      <c r="F663" s="992"/>
      <c r="G663" s="284"/>
    </row>
    <row r="664" spans="1:9" ht="14.45" customHeight="1">
      <c r="A664" s="413"/>
      <c r="B664" s="950" t="s">
        <v>1531</v>
      </c>
      <c r="C664" s="322"/>
      <c r="D664" s="1551" t="s">
        <v>2141</v>
      </c>
      <c r="E664" s="1551"/>
      <c r="F664" s="1551"/>
      <c r="G664" s="284"/>
    </row>
    <row r="665" spans="1:9" ht="14.25">
      <c r="A665" s="413"/>
      <c r="B665" s="413"/>
      <c r="C665" s="322"/>
      <c r="D665" s="1551"/>
      <c r="E665" s="1551"/>
      <c r="F665" s="1551"/>
      <c r="G665" s="284"/>
    </row>
    <row r="666" spans="1:9" ht="14.25">
      <c r="A666" s="413"/>
      <c r="B666" s="413"/>
      <c r="C666" s="322"/>
      <c r="D666" s="1551"/>
      <c r="E666" s="1551"/>
      <c r="F666" s="1551"/>
      <c r="G666" s="284"/>
    </row>
    <row r="667" spans="1:9" ht="14.25">
      <c r="A667" s="413"/>
      <c r="B667" s="413"/>
      <c r="C667" s="322"/>
      <c r="D667" s="1551"/>
      <c r="E667" s="1551"/>
      <c r="F667" s="1551"/>
      <c r="G667" s="284"/>
    </row>
    <row r="668" spans="1:9" ht="14.25">
      <c r="A668" s="413"/>
      <c r="B668" s="413"/>
      <c r="C668" s="322"/>
      <c r="D668" s="1551"/>
      <c r="E668" s="1551"/>
      <c r="F668" s="1551"/>
      <c r="G668" s="284"/>
    </row>
    <row r="669" spans="1:9" ht="14.25">
      <c r="A669" s="413"/>
      <c r="B669" s="413"/>
      <c r="C669" s="322"/>
      <c r="D669" s="1551"/>
      <c r="E669" s="1551"/>
      <c r="F669" s="1551"/>
      <c r="G669" s="284"/>
    </row>
    <row r="670" spans="1:9" ht="14.25" hidden="1">
      <c r="A670" s="570"/>
      <c r="B670" s="570"/>
      <c r="C670" s="405"/>
      <c r="D670" s="710"/>
      <c r="F670" s="284"/>
      <c r="G670" s="284"/>
    </row>
    <row r="671" spans="1:9" ht="14.25" hidden="1">
      <c r="A671" s="570"/>
      <c r="B671" s="950" t="s">
        <v>86</v>
      </c>
      <c r="C671" s="405"/>
      <c r="D671" s="1638" t="s">
        <v>1607</v>
      </c>
      <c r="E671" s="1638"/>
      <c r="F671" s="1638"/>
      <c r="G671" s="284"/>
    </row>
    <row r="672" spans="1:9" ht="14.25" hidden="1">
      <c r="A672" s="570"/>
      <c r="B672" s="570"/>
      <c r="C672" s="405"/>
      <c r="D672" s="1658" t="s">
        <v>1783</v>
      </c>
      <c r="E672" s="1658"/>
      <c r="F672" s="1658"/>
      <c r="G672" s="284"/>
    </row>
    <row r="673" spans="1:7" ht="14.25" hidden="1">
      <c r="A673" s="570"/>
      <c r="B673" s="570"/>
      <c r="C673" s="405"/>
      <c r="D673" s="1658"/>
      <c r="E673" s="1658"/>
      <c r="F673" s="1658"/>
      <c r="G673" s="284"/>
    </row>
    <row r="674" spans="1:7" ht="14.25" hidden="1">
      <c r="A674" s="570"/>
      <c r="B674" s="570"/>
      <c r="C674" s="405"/>
      <c r="D674" s="1658"/>
      <c r="E674" s="1658"/>
      <c r="F674" s="1658"/>
      <c r="G674" s="284"/>
    </row>
    <row r="675" spans="1:7" ht="14.25" hidden="1">
      <c r="A675" s="570"/>
      <c r="B675" s="570"/>
      <c r="C675" s="405"/>
      <c r="D675" s="1658"/>
      <c r="E675" s="1658"/>
      <c r="F675" s="1658"/>
      <c r="G675" s="284"/>
    </row>
    <row r="676" spans="1:7" ht="14.25" hidden="1">
      <c r="A676" s="570"/>
      <c r="B676" s="570"/>
      <c r="C676" s="405"/>
      <c r="D676" s="1658"/>
      <c r="E676" s="1658"/>
      <c r="F676" s="1658"/>
      <c r="G676" s="284"/>
    </row>
    <row r="677" spans="1:7" ht="14.25" hidden="1">
      <c r="A677" s="570"/>
      <c r="B677" s="570"/>
      <c r="C677" s="405"/>
      <c r="D677" s="1665" t="s">
        <v>2140</v>
      </c>
      <c r="E677" s="1665"/>
      <c r="F677" s="1665"/>
      <c r="G677" s="284"/>
    </row>
    <row r="678" spans="1:7" ht="12.75">
      <c r="A678" s="143"/>
      <c r="B678" s="143"/>
      <c r="C678" s="322"/>
      <c r="D678" s="286"/>
      <c r="E678" s="286"/>
      <c r="F678" s="286"/>
      <c r="G678" s="284"/>
    </row>
    <row r="679" spans="1:7" ht="12.75">
      <c r="A679" s="1591" t="s">
        <v>1557</v>
      </c>
      <c r="B679" s="1591"/>
      <c r="C679" s="1591"/>
      <c r="D679" s="1591"/>
      <c r="E679" s="1591"/>
      <c r="F679" s="1591"/>
      <c r="G679" s="1591"/>
    </row>
    <row r="680" spans="1:7" ht="12.75">
      <c r="A680" s="143"/>
      <c r="B680" s="143"/>
      <c r="C680" s="322"/>
      <c r="D680" s="286"/>
      <c r="E680" s="286"/>
      <c r="F680" s="286"/>
      <c r="G680" s="284"/>
    </row>
    <row r="681" spans="1:7" ht="12.75">
      <c r="A681" s="140"/>
      <c r="B681" s="140"/>
      <c r="C681" s="303"/>
      <c r="D681" s="1582" t="s">
        <v>856</v>
      </c>
      <c r="E681" s="1582"/>
      <c r="F681" s="1582"/>
      <c r="G681" s="284"/>
    </row>
    <row r="682" spans="1:7" ht="12.75">
      <c r="A682" s="418"/>
      <c r="B682" s="418"/>
      <c r="C682" s="303"/>
      <c r="D682" s="1582" t="s">
        <v>957</v>
      </c>
      <c r="E682" s="1582"/>
      <c r="F682" s="1582"/>
      <c r="G682" s="284"/>
    </row>
    <row r="683" spans="1:7" ht="12.75">
      <c r="A683" s="415"/>
      <c r="B683" s="415"/>
      <c r="C683" s="299"/>
      <c r="D683" s="1577" t="s">
        <v>1709</v>
      </c>
      <c r="E683" s="1577"/>
      <c r="F683" s="1577"/>
      <c r="G683" s="288"/>
    </row>
    <row r="684" spans="1:7" ht="14.25" customHeight="1">
      <c r="A684" s="415"/>
      <c r="B684" s="415"/>
      <c r="C684" s="299"/>
      <c r="D684" s="282"/>
      <c r="E684" s="282"/>
      <c r="F684" s="282"/>
      <c r="G684" s="288"/>
    </row>
    <row r="685" spans="1:7" ht="14.25">
      <c r="A685" s="413"/>
      <c r="B685" s="950" t="s">
        <v>1531</v>
      </c>
      <c r="C685" s="299"/>
      <c r="D685" s="1577" t="s">
        <v>1235</v>
      </c>
      <c r="E685" s="1577"/>
      <c r="F685" s="1577"/>
      <c r="G685" s="288"/>
    </row>
    <row r="686" spans="1:7" ht="12.75">
      <c r="A686" s="415"/>
      <c r="B686" s="415"/>
      <c r="C686" s="299"/>
      <c r="D686" s="1577" t="s">
        <v>1256</v>
      </c>
      <c r="E686" s="1577"/>
      <c r="F686" s="1577"/>
      <c r="G686" s="288"/>
    </row>
    <row r="687" spans="1:7" ht="12.75">
      <c r="A687" s="415"/>
      <c r="B687" s="415"/>
      <c r="C687" s="299"/>
      <c r="D687" s="282"/>
      <c r="E687" s="1645" t="s">
        <v>1714</v>
      </c>
      <c r="F687" s="1645"/>
      <c r="G687" s="288"/>
    </row>
    <row r="688" spans="1:7" ht="12.75">
      <c r="A688" s="415"/>
      <c r="B688" s="415"/>
      <c r="C688" s="299"/>
      <c r="D688" s="282"/>
      <c r="E688" s="1645"/>
      <c r="F688" s="1645"/>
      <c r="G688" s="288"/>
    </row>
    <row r="689" spans="1:7" ht="12.75">
      <c r="A689" s="415"/>
      <c r="B689" s="415"/>
      <c r="C689" s="299"/>
      <c r="D689" s="332"/>
      <c r="E689" s="332"/>
      <c r="F689" s="332"/>
      <c r="G689" s="288"/>
    </row>
    <row r="690" spans="1:7" ht="14.25">
      <c r="A690" s="413"/>
      <c r="B690" s="1544" t="s">
        <v>136</v>
      </c>
      <c r="C690" s="299"/>
      <c r="D690" s="1575" t="s">
        <v>1711</v>
      </c>
      <c r="E690" s="1575"/>
      <c r="F690" s="1575"/>
      <c r="G690" s="288"/>
    </row>
    <row r="691" spans="1:7" ht="12.75">
      <c r="A691" s="33"/>
      <c r="B691" s="33"/>
      <c r="C691" s="299"/>
      <c r="D691" s="1575"/>
      <c r="E691" s="1575"/>
      <c r="F691" s="1575"/>
      <c r="G691" s="288"/>
    </row>
    <row r="692" spans="1:7" ht="12.75">
      <c r="A692" s="415"/>
      <c r="B692" s="415"/>
      <c r="C692" s="299"/>
      <c r="D692" s="1575"/>
      <c r="E692" s="1575"/>
      <c r="F692" s="1575"/>
      <c r="G692" s="288"/>
    </row>
    <row r="693" spans="1:7" ht="12.75">
      <c r="A693" s="415"/>
      <c r="B693" s="415"/>
      <c r="C693" s="299"/>
      <c r="D693" s="282"/>
      <c r="E693" s="282"/>
      <c r="F693" s="282"/>
      <c r="G693" s="288"/>
    </row>
    <row r="694" spans="1:7" ht="14.25">
      <c r="A694" s="413"/>
      <c r="B694" s="950" t="s">
        <v>1531</v>
      </c>
      <c r="C694" s="299"/>
      <c r="D694" s="1577" t="s">
        <v>1300</v>
      </c>
      <c r="E694" s="1577"/>
      <c r="F694" s="1577"/>
      <c r="G694" s="288"/>
    </row>
    <row r="695" spans="1:7" ht="14.25">
      <c r="A695" s="413"/>
      <c r="B695" s="413"/>
      <c r="C695" s="299"/>
      <c r="D695" s="1577" t="s">
        <v>1256</v>
      </c>
      <c r="E695" s="1577"/>
      <c r="F695" s="1577"/>
      <c r="G695" s="288"/>
    </row>
    <row r="696" spans="1:7" ht="12.75">
      <c r="A696" s="415"/>
      <c r="B696" s="415"/>
      <c r="C696" s="299"/>
      <c r="D696" s="282"/>
      <c r="E696" s="1601" t="s">
        <v>1712</v>
      </c>
      <c r="F696" s="1601"/>
      <c r="G696" s="288"/>
    </row>
    <row r="697" spans="1:7" ht="12.75">
      <c r="A697" s="415"/>
      <c r="B697" s="415"/>
      <c r="C697" s="299"/>
      <c r="D697" s="6"/>
      <c r="E697" s="282"/>
      <c r="F697" s="282"/>
      <c r="G697" s="288"/>
    </row>
    <row r="698" spans="1:7" ht="14.25">
      <c r="A698" s="413"/>
      <c r="B698" s="950" t="s">
        <v>1531</v>
      </c>
      <c r="C698" s="299"/>
      <c r="D698" s="1609" t="s">
        <v>1713</v>
      </c>
      <c r="E698" s="1609"/>
      <c r="F698" s="1609"/>
      <c r="G698" s="288"/>
    </row>
    <row r="699" spans="1:7" ht="12.75">
      <c r="A699" s="415"/>
      <c r="B699" s="415"/>
      <c r="C699" s="299"/>
      <c r="D699" s="1609"/>
      <c r="E699" s="1609"/>
      <c r="F699" s="1609"/>
      <c r="G699" s="288"/>
    </row>
    <row r="700" spans="1:7" ht="12.75">
      <c r="A700" s="415"/>
      <c r="B700" s="415"/>
      <c r="C700" s="299"/>
      <c r="D700" s="1609"/>
      <c r="E700" s="1609"/>
      <c r="F700" s="1609"/>
      <c r="G700" s="288"/>
    </row>
    <row r="701" spans="1:7" ht="12.75">
      <c r="A701" s="415"/>
      <c r="B701" s="415"/>
      <c r="C701" s="299"/>
      <c r="D701" s="1609"/>
      <c r="E701" s="1609"/>
      <c r="F701" s="1609"/>
      <c r="G701" s="288"/>
    </row>
    <row r="702" spans="1:7" ht="12.75">
      <c r="A702" s="415"/>
      <c r="B702" s="415"/>
      <c r="C702" s="299"/>
      <c r="D702" s="1609"/>
      <c r="E702" s="1609"/>
      <c r="F702" s="1609"/>
      <c r="G702" s="288"/>
    </row>
    <row r="703" spans="1:7" ht="12.75">
      <c r="A703" s="415"/>
      <c r="B703" s="415"/>
      <c r="C703" s="299"/>
      <c r="D703" s="1609"/>
      <c r="E703" s="1609"/>
      <c r="F703" s="1609"/>
      <c r="G703" s="288"/>
    </row>
    <row r="704" spans="1:7" ht="12.75">
      <c r="A704" s="415"/>
      <c r="B704" s="415"/>
      <c r="C704" s="299"/>
      <c r="D704" s="1609"/>
      <c r="E704" s="1609"/>
      <c r="F704" s="1609"/>
      <c r="G704" s="288"/>
    </row>
    <row r="705" spans="1:7" ht="12.75">
      <c r="A705" s="415"/>
      <c r="B705" s="950" t="s">
        <v>1531</v>
      </c>
      <c r="C705" s="299"/>
      <c r="D705" s="1608" t="s">
        <v>1955</v>
      </c>
      <c r="E705" s="1609"/>
      <c r="F705" s="1609"/>
      <c r="G705" s="288"/>
    </row>
    <row r="706" spans="1:7" ht="12.75">
      <c r="A706" s="415"/>
      <c r="B706" s="415"/>
      <c r="C706" s="299"/>
      <c r="D706" s="1609"/>
      <c r="E706" s="1609"/>
      <c r="F706" s="1609"/>
      <c r="G706" s="288"/>
    </row>
    <row r="707" spans="1:7" ht="12.75">
      <c r="A707" s="415"/>
      <c r="B707" s="415"/>
      <c r="C707" s="299"/>
      <c r="D707" s="136"/>
      <c r="E707" s="282"/>
      <c r="F707" s="282"/>
      <c r="G707" s="288"/>
    </row>
    <row r="708" spans="1:7" ht="14.45" customHeight="1">
      <c r="A708" s="413"/>
      <c r="B708" s="1544" t="s">
        <v>136</v>
      </c>
      <c r="C708" s="299"/>
      <c r="D708" s="1609" t="s">
        <v>1715</v>
      </c>
      <c r="E708" s="1609"/>
      <c r="F708" s="1609"/>
      <c r="G708" s="288"/>
    </row>
    <row r="709" spans="1:7" ht="12.75">
      <c r="A709" s="415"/>
      <c r="B709" s="415"/>
      <c r="C709" s="299"/>
      <c r="D709" s="1609"/>
      <c r="E709" s="1609"/>
      <c r="F709" s="1609"/>
      <c r="G709" s="288"/>
    </row>
    <row r="710" spans="1:7" ht="12.75">
      <c r="A710" s="415"/>
      <c r="B710" s="415"/>
      <c r="C710" s="299"/>
      <c r="D710" s="1609"/>
      <c r="E710" s="1609"/>
      <c r="F710" s="1609"/>
      <c r="G710" s="288"/>
    </row>
    <row r="711" spans="1:7" ht="12.75">
      <c r="A711" s="415"/>
      <c r="B711" s="415"/>
      <c r="C711" s="299"/>
      <c r="D711" s="1609"/>
      <c r="E711" s="1609"/>
      <c r="F711" s="1609"/>
      <c r="G711" s="288"/>
    </row>
    <row r="712" spans="1:7" ht="12.75">
      <c r="A712" s="415"/>
      <c r="B712" s="415"/>
      <c r="C712" s="299"/>
      <c r="D712" s="1609"/>
      <c r="E712" s="1609"/>
      <c r="F712" s="1609"/>
      <c r="G712" s="288"/>
    </row>
    <row r="713" spans="1:7" ht="12.75">
      <c r="A713" s="415"/>
      <c r="B713" s="415"/>
      <c r="C713" s="299"/>
      <c r="D713" s="1609"/>
      <c r="E713" s="1609"/>
      <c r="F713" s="1609"/>
      <c r="G713" s="288"/>
    </row>
    <row r="714" spans="1:7" ht="12.75">
      <c r="A714" s="415"/>
      <c r="B714" s="415"/>
      <c r="C714" s="299"/>
      <c r="D714" s="1609"/>
      <c r="E714" s="1609"/>
      <c r="F714" s="1609"/>
      <c r="G714" s="288"/>
    </row>
    <row r="715" spans="1:7" ht="12.75">
      <c r="A715" s="415"/>
      <c r="B715" s="415"/>
      <c r="C715" s="299"/>
      <c r="D715" s="1609"/>
      <c r="E715" s="1609"/>
      <c r="F715" s="1609"/>
      <c r="G715" s="288"/>
    </row>
    <row r="716" spans="1:7" ht="12.75">
      <c r="A716" s="415"/>
      <c r="B716" s="415"/>
      <c r="C716" s="299"/>
      <c r="D716" s="1609"/>
      <c r="E716" s="1609"/>
      <c r="F716" s="1609"/>
      <c r="G716" s="288"/>
    </row>
    <row r="717" spans="1:7" ht="12.75">
      <c r="A717" s="415"/>
      <c r="B717" s="415"/>
      <c r="C717" s="299"/>
      <c r="D717" s="1609"/>
      <c r="E717" s="1609"/>
      <c r="F717" s="1609"/>
      <c r="G717" s="288"/>
    </row>
    <row r="718" spans="1:7" ht="12.75">
      <c r="A718" s="415"/>
      <c r="B718" s="415"/>
      <c r="C718" s="299"/>
      <c r="D718" s="1609"/>
      <c r="E718" s="1609"/>
      <c r="F718" s="1609"/>
      <c r="G718" s="288"/>
    </row>
    <row r="719" spans="1:7" ht="12.75">
      <c r="A719" s="415"/>
      <c r="B719" s="415"/>
      <c r="C719" s="299"/>
      <c r="D719" s="1609"/>
      <c r="E719" s="1609"/>
      <c r="F719" s="1609"/>
      <c r="G719" s="288"/>
    </row>
    <row r="720" spans="1:7" ht="12.75">
      <c r="A720" s="415"/>
      <c r="B720" s="415"/>
      <c r="C720" s="299"/>
      <c r="D720" s="1609"/>
      <c r="E720" s="1609"/>
      <c r="F720" s="1609"/>
      <c r="G720" s="288"/>
    </row>
    <row r="721" spans="1:9" s="50" customFormat="1" ht="12.75">
      <c r="A721" s="415"/>
      <c r="B721" s="1544" t="s">
        <v>136</v>
      </c>
      <c r="C721" s="415"/>
      <c r="D721" s="1609" t="s">
        <v>1719</v>
      </c>
      <c r="E721" s="1609"/>
      <c r="F721" s="1609"/>
      <c r="G721" s="71"/>
      <c r="H721" s="886"/>
      <c r="I721" s="1080"/>
    </row>
    <row r="722" spans="1:9" s="50" customFormat="1" ht="12.75">
      <c r="A722" s="415"/>
      <c r="B722" s="415"/>
      <c r="C722" s="415"/>
      <c r="D722" s="1609"/>
      <c r="E722" s="1609"/>
      <c r="F722" s="1609"/>
      <c r="G722" s="71"/>
      <c r="H722" s="886"/>
      <c r="I722" s="1080"/>
    </row>
    <row r="723" spans="1:9" s="50" customFormat="1" ht="12.75">
      <c r="A723" s="415"/>
      <c r="B723" s="415"/>
      <c r="C723" s="415"/>
      <c r="D723" s="978"/>
      <c r="E723" s="978"/>
      <c r="F723" s="978"/>
      <c r="G723" s="71"/>
      <c r="H723" s="886"/>
      <c r="I723" s="1080"/>
    </row>
    <row r="724" spans="1:9" s="50" customFormat="1" ht="12.75">
      <c r="A724" s="415"/>
      <c r="B724" s="1544" t="s">
        <v>136</v>
      </c>
      <c r="C724" s="415"/>
      <c r="D724" s="1609" t="s">
        <v>1720</v>
      </c>
      <c r="E724" s="1609"/>
      <c r="F724" s="1609"/>
      <c r="G724" s="71"/>
      <c r="H724" s="886"/>
      <c r="I724" s="1080"/>
    </row>
    <row r="725" spans="1:9" s="50" customFormat="1" ht="12.75">
      <c r="A725" s="415"/>
      <c r="B725" s="415"/>
      <c r="C725" s="415"/>
      <c r="D725" s="1609"/>
      <c r="E725" s="1609"/>
      <c r="F725" s="1609"/>
      <c r="G725" s="71"/>
      <c r="H725" s="886"/>
      <c r="I725" s="1080"/>
    </row>
    <row r="726" spans="1:9" s="50" customFormat="1" ht="12.75">
      <c r="A726" s="415"/>
      <c r="B726" s="415"/>
      <c r="C726" s="415"/>
      <c r="D726" s="1609"/>
      <c r="E726" s="1609"/>
      <c r="F726" s="1609"/>
      <c r="G726" s="71"/>
      <c r="H726" s="886"/>
      <c r="I726" s="1080"/>
    </row>
    <row r="727" spans="1:9" s="50" customFormat="1" ht="12.75">
      <c r="A727" s="415"/>
      <c r="B727" s="415"/>
      <c r="C727" s="415"/>
      <c r="D727" s="978"/>
      <c r="E727" s="978"/>
      <c r="F727" s="978"/>
      <c r="G727" s="71"/>
      <c r="H727" s="886"/>
      <c r="I727" s="1080"/>
    </row>
    <row r="728" spans="1:9" ht="14.45" customHeight="1">
      <c r="A728" s="413"/>
      <c r="B728" s="1544" t="s">
        <v>136</v>
      </c>
      <c r="C728" s="299"/>
      <c r="D728" s="1608" t="s">
        <v>2194</v>
      </c>
      <c r="E728" s="1609"/>
      <c r="F728" s="1609"/>
      <c r="G728" s="288"/>
    </row>
    <row r="729" spans="1:9" ht="12.75">
      <c r="A729" s="415"/>
      <c r="B729" s="415"/>
      <c r="C729" s="299"/>
      <c r="D729" s="1609"/>
      <c r="E729" s="1609"/>
      <c r="F729" s="1609"/>
      <c r="G729" s="288"/>
    </row>
    <row r="730" spans="1:9" ht="12.75">
      <c r="A730" s="415"/>
      <c r="B730" s="415"/>
      <c r="C730" s="299"/>
      <c r="D730" s="1609"/>
      <c r="E730" s="1609"/>
      <c r="F730" s="1609"/>
      <c r="G730" s="288"/>
    </row>
    <row r="731" spans="1:9" ht="12.75">
      <c r="A731" s="415"/>
      <c r="B731" s="415"/>
      <c r="C731" s="299"/>
      <c r="D731" s="136"/>
      <c r="E731" s="282"/>
      <c r="F731" s="282"/>
      <c r="G731" s="288"/>
    </row>
    <row r="732" spans="1:9" ht="14.45" customHeight="1">
      <c r="A732" s="413"/>
      <c r="B732" s="1544" t="s">
        <v>136</v>
      </c>
      <c r="C732" s="299"/>
      <c r="D732" s="1609" t="s">
        <v>1716</v>
      </c>
      <c r="E732" s="1609"/>
      <c r="F732" s="1609"/>
      <c r="G732" s="288"/>
    </row>
    <row r="733" spans="1:9" ht="12.75">
      <c r="A733" s="415"/>
      <c r="B733" s="415"/>
      <c r="C733" s="299"/>
      <c r="D733" s="1609"/>
      <c r="E733" s="1609"/>
      <c r="F733" s="1609"/>
      <c r="G733" s="288"/>
    </row>
    <row r="734" spans="1:9" ht="12.75">
      <c r="A734" s="415"/>
      <c r="B734" s="415"/>
      <c r="C734" s="299"/>
      <c r="D734" s="1609"/>
      <c r="E734" s="1609"/>
      <c r="F734" s="1609"/>
      <c r="G734" s="288"/>
    </row>
    <row r="735" spans="1:9" ht="12.75">
      <c r="A735" s="415"/>
      <c r="B735" s="415"/>
      <c r="C735" s="299"/>
      <c r="D735" s="332"/>
      <c r="E735" s="282"/>
      <c r="F735" s="282"/>
      <c r="G735" s="288"/>
      <c r="H735" s="404"/>
      <c r="I735" s="404"/>
    </row>
    <row r="736" spans="1:9" ht="14.25">
      <c r="A736" s="413"/>
      <c r="B736" s="1544" t="s">
        <v>136</v>
      </c>
      <c r="C736" s="299"/>
      <c r="D736" s="1575" t="s">
        <v>1718</v>
      </c>
      <c r="E736" s="1575"/>
      <c r="F736" s="1575"/>
      <c r="G736" s="288"/>
    </row>
    <row r="737" spans="1:9" ht="12.75">
      <c r="A737" s="415"/>
      <c r="B737" s="415"/>
      <c r="C737" s="299"/>
      <c r="D737" s="1575"/>
      <c r="E737" s="1575"/>
      <c r="F737" s="1575"/>
      <c r="G737" s="288"/>
    </row>
    <row r="738" spans="1:9" ht="12.75">
      <c r="A738" s="415"/>
      <c r="B738" s="415"/>
      <c r="C738" s="299"/>
      <c r="D738" s="1575"/>
      <c r="E738" s="1575"/>
      <c r="F738" s="1575"/>
      <c r="G738" s="288"/>
    </row>
    <row r="739" spans="1:9" ht="12.75">
      <c r="A739" s="415"/>
      <c r="B739" s="415"/>
      <c r="C739" s="299"/>
      <c r="D739" s="1575"/>
      <c r="E739" s="1575"/>
      <c r="F739" s="1575"/>
      <c r="G739" s="288"/>
    </row>
    <row r="740" spans="1:9" ht="12.75">
      <c r="A740" s="415"/>
      <c r="B740" s="415"/>
      <c r="C740" s="299"/>
      <c r="D740" s="959"/>
      <c r="E740" s="959"/>
      <c r="F740" s="959"/>
      <c r="G740" s="288"/>
    </row>
    <row r="741" spans="1:9" s="50" customFormat="1" ht="14.25">
      <c r="A741" s="413"/>
      <c r="B741" s="1544" t="s">
        <v>136</v>
      </c>
      <c r="C741" s="415"/>
      <c r="D741" s="1609" t="s">
        <v>1892</v>
      </c>
      <c r="E741" s="1609"/>
      <c r="F741" s="1609"/>
      <c r="G741" s="71"/>
      <c r="H741" s="886"/>
      <c r="I741" s="1080"/>
    </row>
    <row r="742" spans="1:9" s="50" customFormat="1" ht="12.75">
      <c r="A742" s="415"/>
      <c r="B742" s="415"/>
      <c r="C742" s="415"/>
      <c r="D742" s="1609"/>
      <c r="E742" s="1609"/>
      <c r="F742" s="1609"/>
      <c r="G742" s="71"/>
      <c r="H742" s="886"/>
      <c r="I742" s="1080"/>
    </row>
    <row r="743" spans="1:9" s="50" customFormat="1" ht="12.75">
      <c r="A743" s="415"/>
      <c r="B743" s="415"/>
      <c r="C743" s="415"/>
      <c r="D743" s="1609"/>
      <c r="E743" s="1609"/>
      <c r="F743" s="1609"/>
      <c r="G743" s="71"/>
      <c r="H743" s="886"/>
      <c r="I743" s="1080"/>
    </row>
    <row r="744" spans="1:9" s="50" customFormat="1" ht="12.75">
      <c r="A744" s="415"/>
      <c r="B744" s="415"/>
      <c r="C744" s="415"/>
      <c r="D744" s="1609"/>
      <c r="E744" s="1609"/>
      <c r="F744" s="1609"/>
      <c r="G744" s="71"/>
      <c r="H744" s="886"/>
      <c r="I744" s="1080"/>
    </row>
    <row r="745" spans="1:9" s="50" customFormat="1" ht="12.75">
      <c r="A745" s="415"/>
      <c r="B745" s="415"/>
      <c r="C745" s="415"/>
      <c r="D745" s="1609"/>
      <c r="E745" s="1609"/>
      <c r="F745" s="1609"/>
      <c r="G745" s="71"/>
      <c r="H745" s="886"/>
      <c r="I745" s="1080"/>
    </row>
    <row r="746" spans="1:9" s="50" customFormat="1" ht="12.75">
      <c r="A746" s="415"/>
      <c r="B746" s="415"/>
      <c r="C746" s="415"/>
      <c r="D746" s="1609"/>
      <c r="E746" s="1609"/>
      <c r="F746" s="1609"/>
      <c r="G746" s="71"/>
      <c r="H746" s="886"/>
      <c r="I746" s="1080"/>
    </row>
    <row r="747" spans="1:9" s="50" customFormat="1" ht="12.75">
      <c r="A747" s="415"/>
      <c r="B747" s="415"/>
      <c r="C747" s="415"/>
      <c r="D747" s="1609"/>
      <c r="E747" s="1609"/>
      <c r="F747" s="1609"/>
      <c r="G747" s="71"/>
      <c r="H747" s="886"/>
      <c r="I747" s="1080"/>
    </row>
    <row r="748" spans="1:9" s="50" customFormat="1" ht="12.75">
      <c r="A748" s="415"/>
      <c r="B748" s="415"/>
      <c r="C748" s="415"/>
      <c r="D748" s="1657" t="s">
        <v>1717</v>
      </c>
      <c r="E748" s="1657"/>
      <c r="F748" s="1657"/>
      <c r="G748" s="71"/>
      <c r="H748" s="886"/>
      <c r="I748" s="1080"/>
    </row>
    <row r="749" spans="1:9" s="50" customFormat="1" ht="12.75">
      <c r="A749" s="415"/>
      <c r="B749" s="415"/>
      <c r="C749" s="415"/>
      <c r="D749" s="891"/>
      <c r="E749" s="8"/>
      <c r="F749" s="8"/>
      <c r="G749" s="71"/>
      <c r="H749" s="886"/>
      <c r="I749" s="1080"/>
    </row>
    <row r="750" spans="1:9" ht="12.75">
      <c r="A750" s="1626" t="s">
        <v>1589</v>
      </c>
      <c r="B750" s="1626"/>
      <c r="C750" s="1626"/>
      <c r="D750" s="1626"/>
      <c r="E750" s="1626"/>
      <c r="F750" s="1626"/>
      <c r="G750" s="1626"/>
      <c r="H750" s="404"/>
      <c r="I750" s="404"/>
    </row>
    <row r="751" spans="1:9" ht="12.75">
      <c r="A751" s="415"/>
      <c r="B751" s="415"/>
      <c r="C751" s="299"/>
      <c r="D751" s="332"/>
      <c r="E751" s="282"/>
      <c r="F751" s="282"/>
      <c r="G751" s="288"/>
      <c r="H751" s="404"/>
      <c r="I751" s="404"/>
    </row>
    <row r="752" spans="1:9" ht="12.75">
      <c r="A752" s="140"/>
      <c r="B752" s="140"/>
      <c r="C752" s="299"/>
      <c r="D752" s="1610" t="s">
        <v>1619</v>
      </c>
      <c r="E752" s="1610"/>
      <c r="F752" s="1610"/>
      <c r="G752" s="288"/>
      <c r="H752" s="404"/>
      <c r="I752" s="404"/>
    </row>
    <row r="753" spans="1:9" ht="12.75">
      <c r="A753" s="414"/>
      <c r="B753" s="414"/>
      <c r="C753" s="298"/>
      <c r="D753" s="1584" t="s">
        <v>1622</v>
      </c>
      <c r="E753" s="1584"/>
      <c r="F753" s="1584"/>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5" t="s">
        <v>1620</v>
      </c>
      <c r="E755" s="1575"/>
      <c r="F755" s="1575"/>
      <c r="G755" s="288"/>
      <c r="H755" s="404"/>
      <c r="I755" s="404"/>
    </row>
    <row r="756" spans="1:9" ht="11.25" customHeight="1">
      <c r="A756" s="140"/>
      <c r="B756" s="140"/>
      <c r="C756" s="14"/>
      <c r="D756" s="1575"/>
      <c r="E756" s="1575"/>
      <c r="F756" s="1575"/>
      <c r="G756" s="288"/>
      <c r="H756" s="404"/>
      <c r="I756" s="404"/>
    </row>
    <row r="757" spans="1:9" ht="12.75">
      <c r="A757" s="140"/>
      <c r="B757" s="140"/>
      <c r="C757" s="14"/>
      <c r="D757" s="1575"/>
      <c r="E757" s="1575"/>
      <c r="F757" s="1575"/>
      <c r="G757" s="288"/>
      <c r="H757" s="404"/>
      <c r="I757" s="404"/>
    </row>
    <row r="758" spans="1:9" ht="12.75">
      <c r="A758" s="140"/>
      <c r="B758" s="140"/>
      <c r="C758" s="14"/>
      <c r="D758" s="1575"/>
      <c r="E758" s="1575"/>
      <c r="F758" s="1575"/>
      <c r="G758" s="288"/>
      <c r="H758" s="404"/>
      <c r="I758" s="404"/>
    </row>
    <row r="759" spans="1:9" ht="12.75">
      <c r="A759" s="150"/>
      <c r="B759" s="150"/>
      <c r="D759" s="1575"/>
      <c r="E759" s="1575"/>
      <c r="F759" s="1575"/>
      <c r="G759" s="288"/>
      <c r="H759" s="404"/>
      <c r="I759" s="404"/>
    </row>
    <row r="760" spans="1:9" ht="17.25" customHeight="1">
      <c r="A760" s="150"/>
      <c r="B760" s="150"/>
      <c r="D760" s="1575"/>
      <c r="E760" s="1575"/>
      <c r="F760" s="1575"/>
      <c r="G760" s="288"/>
      <c r="H760" s="404"/>
      <c r="I760" s="404"/>
    </row>
    <row r="761" spans="1:9" ht="12.75">
      <c r="A761" s="150"/>
      <c r="B761" s="150"/>
      <c r="D761" s="403"/>
      <c r="E761" s="403"/>
      <c r="F761" s="403"/>
      <c r="G761" s="288"/>
      <c r="H761" s="404"/>
      <c r="I761" s="404"/>
    </row>
    <row r="762" spans="1:9" ht="12.75" customHeight="1">
      <c r="A762" s="140"/>
      <c r="B762" s="950" t="s">
        <v>1531</v>
      </c>
      <c r="C762" s="14"/>
      <c r="D762" s="1630" t="s">
        <v>2123</v>
      </c>
      <c r="E762" s="1630"/>
      <c r="F762" s="1630"/>
      <c r="G762" s="288"/>
      <c r="H762" s="404"/>
      <c r="I762" s="404"/>
    </row>
    <row r="763" spans="1:9" ht="12.75">
      <c r="A763" s="140"/>
      <c r="B763" s="140"/>
      <c r="C763" s="14"/>
      <c r="D763" s="1630"/>
      <c r="E763" s="1630"/>
      <c r="F763" s="1630"/>
      <c r="G763" s="288"/>
      <c r="H763" s="404"/>
      <c r="I763" s="404"/>
    </row>
    <row r="764" spans="1:9" ht="12.75">
      <c r="A764" s="140"/>
      <c r="B764" s="140"/>
      <c r="C764" s="14"/>
      <c r="D764" s="1630"/>
      <c r="E764" s="1630"/>
      <c r="F764" s="1630"/>
      <c r="G764" s="288"/>
      <c r="H764" s="404"/>
      <c r="I764" s="404"/>
    </row>
    <row r="765" spans="1:9" ht="12.75">
      <c r="A765" s="140"/>
      <c r="B765" s="140"/>
      <c r="C765" s="14"/>
      <c r="D765" s="1630"/>
      <c r="E765" s="1630"/>
      <c r="F765" s="1630"/>
      <c r="G765" s="288"/>
      <c r="H765" s="404"/>
      <c r="I765" s="404"/>
    </row>
    <row r="766" spans="1:9" ht="12.75">
      <c r="A766" s="140"/>
      <c r="B766" s="140"/>
      <c r="C766" s="14"/>
      <c r="D766" s="403"/>
      <c r="G766" s="288"/>
      <c r="H766" s="404"/>
      <c r="I766" s="404"/>
    </row>
    <row r="767" spans="1:9" ht="12.75">
      <c r="A767" s="140"/>
      <c r="B767" s="1544" t="s">
        <v>136</v>
      </c>
      <c r="C767" s="689"/>
      <c r="D767" s="1627" t="s">
        <v>2124</v>
      </c>
      <c r="E767" s="1628"/>
      <c r="F767" s="1628"/>
      <c r="G767" s="711"/>
      <c r="H767" s="404"/>
      <c r="I767" s="404"/>
    </row>
    <row r="768" spans="1:9" ht="12.75">
      <c r="A768" s="689"/>
      <c r="B768" s="689"/>
      <c r="C768" s="689"/>
      <c r="D768" s="1628"/>
      <c r="E768" s="1628"/>
      <c r="F768" s="1628"/>
      <c r="G768" s="711"/>
      <c r="H768" s="404"/>
      <c r="I768" s="404"/>
    </row>
    <row r="769" spans="1:9" ht="12.75">
      <c r="A769" s="689"/>
      <c r="B769" s="689"/>
      <c r="C769" s="689"/>
      <c r="D769" s="1628"/>
      <c r="E769" s="1628"/>
      <c r="F769" s="1628"/>
      <c r="G769" s="711"/>
      <c r="H769" s="404"/>
      <c r="I769" s="404"/>
    </row>
    <row r="770" spans="1:9" ht="12.75">
      <c r="A770" s="150"/>
      <c r="B770" s="150"/>
      <c r="D770" s="403"/>
      <c r="E770" s="403"/>
      <c r="F770" s="403"/>
      <c r="G770" s="288"/>
      <c r="H770" s="404"/>
      <c r="I770" s="404"/>
    </row>
    <row r="771" spans="1:9" ht="12.75">
      <c r="A771" s="150"/>
      <c r="B771" s="1544" t="s">
        <v>136</v>
      </c>
      <c r="D771" s="1619" t="s">
        <v>1621</v>
      </c>
      <c r="E771" s="1619"/>
      <c r="F771" s="1619"/>
      <c r="G771" s="288"/>
      <c r="H771" s="404"/>
      <c r="I771" s="404"/>
    </row>
    <row r="772" spans="1:9" ht="12.75">
      <c r="A772" s="150"/>
      <c r="B772" s="150"/>
      <c r="D772" s="1619"/>
      <c r="E772" s="1619"/>
      <c r="F772" s="1619"/>
      <c r="G772" s="288"/>
      <c r="H772" s="404"/>
      <c r="I772" s="404"/>
    </row>
    <row r="773" spans="1:9" ht="12.75">
      <c r="A773" s="150"/>
      <c r="B773" s="150"/>
      <c r="D773" s="957"/>
      <c r="E773" s="957"/>
      <c r="F773" s="957"/>
      <c r="G773" s="288"/>
      <c r="H773" s="404"/>
      <c r="I773" s="404"/>
    </row>
    <row r="774" spans="1:9" ht="13.7" customHeight="1">
      <c r="A774" s="150"/>
      <c r="B774" s="1544" t="s">
        <v>136</v>
      </c>
      <c r="D774" s="1620" t="s">
        <v>1981</v>
      </c>
      <c r="E774" s="1619"/>
      <c r="F774" s="1619"/>
      <c r="G774" s="288"/>
      <c r="H774" s="404"/>
      <c r="I774" s="404"/>
    </row>
    <row r="775" spans="1:9" ht="12.75">
      <c r="A775" s="150"/>
      <c r="B775" s="150"/>
      <c r="D775" s="1619"/>
      <c r="E775" s="1619"/>
      <c r="F775" s="1619"/>
      <c r="G775" s="288"/>
      <c r="H775" s="404"/>
      <c r="I775" s="404"/>
    </row>
    <row r="776" spans="1:9" ht="12.75">
      <c r="A776" s="150"/>
      <c r="B776" s="150"/>
      <c r="D776" s="1619"/>
      <c r="E776" s="1619"/>
      <c r="F776" s="1619"/>
      <c r="G776" s="288"/>
      <c r="H776" s="404"/>
      <c r="I776" s="404"/>
    </row>
    <row r="777" spans="1:9" ht="12.75">
      <c r="A777" s="150"/>
      <c r="B777" s="150"/>
      <c r="D777" s="957"/>
      <c r="E777" s="957"/>
      <c r="F777" s="957"/>
      <c r="G777" s="288"/>
      <c r="H777" s="404"/>
      <c r="I777" s="404"/>
    </row>
    <row r="778" spans="1:9" ht="12" customHeight="1">
      <c r="A778" s="1626" t="s">
        <v>1794</v>
      </c>
      <c r="B778" s="1626"/>
      <c r="C778" s="1626"/>
      <c r="D778" s="1626"/>
      <c r="E778" s="1626"/>
      <c r="F778" s="1626"/>
      <c r="G778" s="1626"/>
      <c r="H778" s="404"/>
      <c r="I778" s="404"/>
    </row>
    <row r="779" spans="1:9" ht="12.75">
      <c r="A779" s="107"/>
      <c r="B779" s="107"/>
      <c r="C779" s="302"/>
      <c r="D779" s="283"/>
      <c r="E779" s="283"/>
      <c r="F779" s="283"/>
      <c r="G779" s="288"/>
      <c r="H779" s="404"/>
      <c r="I779" s="404"/>
    </row>
    <row r="780" spans="1:9" ht="13.7" customHeight="1">
      <c r="A780" s="107"/>
      <c r="B780" s="107"/>
      <c r="C780" s="302"/>
      <c r="D780" s="1672" t="s">
        <v>1795</v>
      </c>
      <c r="E780" s="1672"/>
      <c r="F780" s="1672"/>
      <c r="G780" s="288"/>
      <c r="H780" s="404"/>
      <c r="I780" s="404"/>
    </row>
    <row r="781" spans="1:9" ht="12.75">
      <c r="A781" s="107"/>
      <c r="B781" s="107"/>
      <c r="C781" s="302"/>
      <c r="D781" s="1673" t="s">
        <v>1796</v>
      </c>
      <c r="E781" s="1673"/>
      <c r="F781" s="1673"/>
      <c r="G781" s="288"/>
      <c r="H781" s="404"/>
      <c r="I781" s="404"/>
    </row>
    <row r="782" spans="1:9" ht="12.75">
      <c r="A782" s="107"/>
      <c r="B782" s="107"/>
      <c r="C782" s="302"/>
      <c r="D782" s="994"/>
      <c r="E782" s="994"/>
      <c r="F782" s="994"/>
      <c r="G782" s="288"/>
      <c r="H782" s="404"/>
      <c r="I782" s="404"/>
    </row>
    <row r="783" spans="1:9" ht="12.75">
      <c r="A783" s="107"/>
      <c r="B783" s="950" t="s">
        <v>1531</v>
      </c>
      <c r="C783" s="302"/>
      <c r="D783" s="1658" t="s">
        <v>1797</v>
      </c>
      <c r="E783" s="1658"/>
      <c r="F783" s="1658"/>
      <c r="G783" s="288"/>
      <c r="H783" s="404"/>
      <c r="I783" s="404"/>
    </row>
    <row r="784" spans="1:9" ht="12.75">
      <c r="A784" s="107"/>
      <c r="B784" s="107"/>
      <c r="C784" s="302"/>
      <c r="D784" s="1658"/>
      <c r="E784" s="1658"/>
      <c r="F784" s="1658"/>
      <c r="G784" s="288"/>
      <c r="H784" s="404"/>
      <c r="I784" s="404"/>
    </row>
    <row r="785" spans="1:9" ht="12.75">
      <c r="A785" s="415"/>
      <c r="B785" s="415"/>
      <c r="C785" s="299"/>
      <c r="D785" s="1658"/>
      <c r="E785" s="1658"/>
      <c r="F785" s="1658"/>
      <c r="G785" s="284"/>
      <c r="H785" s="404"/>
      <c r="I785" s="404"/>
    </row>
    <row r="786" spans="1:9" ht="12.75">
      <c r="A786" s="150"/>
      <c r="B786" s="150"/>
      <c r="C786" s="285"/>
      <c r="D786" s="411"/>
      <c r="E786" s="288"/>
      <c r="F786" s="288"/>
      <c r="G786" s="288"/>
      <c r="H786" s="404"/>
      <c r="I786" s="404"/>
    </row>
    <row r="787" spans="1:9" ht="12.75">
      <c r="A787" s="418"/>
      <c r="B787" s="1544" t="s">
        <v>136</v>
      </c>
      <c r="C787" s="303"/>
      <c r="D787" s="1658" t="s">
        <v>1798</v>
      </c>
      <c r="E787" s="1658"/>
      <c r="F787" s="1658"/>
      <c r="G787" s="288"/>
      <c r="H787" s="404"/>
      <c r="I787" s="404"/>
    </row>
    <row r="788" spans="1:9" ht="12.75">
      <c r="A788" s="741"/>
      <c r="B788" s="741"/>
      <c r="C788" s="742"/>
      <c r="D788" s="1658"/>
      <c r="E788" s="1658"/>
      <c r="F788" s="1658"/>
      <c r="G788" s="288"/>
      <c r="H788" s="404"/>
      <c r="I788" s="404"/>
    </row>
    <row r="789" spans="1:9" ht="12.75">
      <c r="A789" s="418"/>
      <c r="B789" s="418"/>
      <c r="C789" s="303"/>
      <c r="D789" s="1658"/>
      <c r="E789" s="1658"/>
      <c r="F789" s="1658"/>
      <c r="G789" s="288"/>
      <c r="H789" s="404"/>
      <c r="I789" s="404"/>
    </row>
    <row r="790" spans="1:9" ht="12.75">
      <c r="A790" s="415"/>
      <c r="B790" s="415"/>
      <c r="C790" s="299"/>
      <c r="D790" s="282"/>
      <c r="E790" s="296"/>
      <c r="F790" s="296"/>
      <c r="G790" s="572"/>
      <c r="H790" s="404"/>
      <c r="I790" s="404"/>
    </row>
    <row r="791" spans="1:9" ht="14.45" customHeight="1">
      <c r="A791" s="413"/>
      <c r="B791" s="1544" t="s">
        <v>136</v>
      </c>
      <c r="C791" s="322"/>
      <c r="D791" s="1593" t="s">
        <v>1913</v>
      </c>
      <c r="E791" s="1593"/>
      <c r="F791" s="1593"/>
      <c r="G791" s="572"/>
      <c r="H791" s="404"/>
      <c r="I791" s="404"/>
    </row>
    <row r="792" spans="1:9" ht="14.25">
      <c r="A792" s="413"/>
      <c r="B792" s="413"/>
      <c r="C792" s="322"/>
      <c r="D792" s="1593"/>
      <c r="E792" s="1593"/>
      <c r="F792" s="1593"/>
      <c r="G792" s="572"/>
      <c r="H792" s="404"/>
      <c r="I792" s="404"/>
    </row>
    <row r="793" spans="1:9" ht="14.25">
      <c r="A793" s="413"/>
      <c r="B793" s="413"/>
      <c r="C793" s="322"/>
      <c r="D793" s="1593"/>
      <c r="E793" s="1593"/>
      <c r="F793" s="1593"/>
      <c r="G793" s="572"/>
      <c r="H793" s="404"/>
      <c r="I793" s="404"/>
    </row>
    <row r="794" spans="1:9" ht="14.25">
      <c r="A794" s="413"/>
      <c r="B794" s="413"/>
      <c r="C794" s="322"/>
      <c r="D794" s="1049"/>
      <c r="E794" s="282"/>
      <c r="F794" s="282"/>
      <c r="G794" s="572"/>
      <c r="H794" s="404"/>
      <c r="I794" s="404"/>
    </row>
    <row r="795" spans="1:9" ht="14.25" customHeight="1">
      <c r="A795" s="413"/>
      <c r="B795" s="1544" t="s">
        <v>136</v>
      </c>
      <c r="C795" s="322"/>
      <c r="D795" s="1658" t="s">
        <v>1799</v>
      </c>
      <c r="E795" s="1658"/>
      <c r="F795" s="1658"/>
      <c r="G795" s="572"/>
      <c r="H795" s="404"/>
      <c r="I795" s="404"/>
    </row>
    <row r="796" spans="1:9" ht="14.25">
      <c r="A796" s="413"/>
      <c r="B796" s="413"/>
      <c r="C796" s="322"/>
      <c r="D796" s="1658"/>
      <c r="E796" s="1658"/>
      <c r="F796" s="1658"/>
      <c r="G796" s="572"/>
      <c r="H796" s="404"/>
      <c r="I796" s="404"/>
    </row>
    <row r="797" spans="1:9" ht="14.25">
      <c r="A797" s="413"/>
      <c r="B797" s="413"/>
      <c r="C797" s="322"/>
      <c r="D797" s="1658"/>
      <c r="E797" s="1658"/>
      <c r="F797" s="1658"/>
      <c r="G797" s="572"/>
      <c r="H797" s="404"/>
      <c r="I797" s="404"/>
    </row>
    <row r="798" spans="1:9" ht="14.25">
      <c r="A798" s="413"/>
      <c r="B798" s="413"/>
      <c r="C798" s="322"/>
      <c r="D798" s="1658"/>
      <c r="E798" s="1658"/>
      <c r="F798" s="1658"/>
      <c r="G798" s="572"/>
      <c r="H798" s="404"/>
      <c r="I798" s="404"/>
    </row>
    <row r="799" spans="1:9" ht="14.25">
      <c r="A799" s="413"/>
      <c r="B799" s="413"/>
      <c r="C799" s="322"/>
      <c r="D799" s="1658"/>
      <c r="E799" s="1658"/>
      <c r="F799" s="1658"/>
      <c r="G799" s="572"/>
      <c r="H799" s="404"/>
      <c r="I799" s="404"/>
    </row>
    <row r="800" spans="1:9" ht="14.25">
      <c r="A800" s="413"/>
      <c r="B800" s="413"/>
      <c r="C800" s="322"/>
      <c r="D800" s="1593" t="s">
        <v>2307</v>
      </c>
      <c r="E800" s="1593"/>
      <c r="F800" s="1593"/>
      <c r="G800" s="572"/>
      <c r="H800" s="404"/>
      <c r="I800" s="404"/>
    </row>
    <row r="801" spans="1:9" ht="14.25">
      <c r="A801" s="413"/>
      <c r="B801" s="413"/>
      <c r="C801" s="322"/>
      <c r="D801" s="1593"/>
      <c r="E801" s="1593"/>
      <c r="F801" s="1593"/>
      <c r="G801" s="572"/>
      <c r="H801" s="404"/>
      <c r="I801" s="404"/>
    </row>
    <row r="802" spans="1:9" ht="14.25">
      <c r="A802" s="413"/>
      <c r="B802" s="413"/>
      <c r="C802" s="322"/>
      <c r="D802" s="1593"/>
      <c r="E802" s="1593"/>
      <c r="F802" s="1593"/>
      <c r="G802" s="572"/>
      <c r="H802" s="404"/>
      <c r="I802" s="404"/>
    </row>
    <row r="803" spans="1:9" ht="14.25">
      <c r="A803" s="413"/>
      <c r="B803" s="14"/>
      <c r="C803" s="322"/>
      <c r="D803" s="1338"/>
      <c r="E803" s="1338"/>
      <c r="F803" s="1338"/>
      <c r="G803" s="572"/>
      <c r="H803" s="404"/>
      <c r="I803" s="404"/>
    </row>
    <row r="804" spans="1:9" ht="14.25">
      <c r="A804" s="413"/>
      <c r="B804" s="1544" t="s">
        <v>136</v>
      </c>
      <c r="C804" s="322"/>
      <c r="D804" s="1658" t="s">
        <v>1801</v>
      </c>
      <c r="E804" s="1658"/>
      <c r="F804" s="1658"/>
      <c r="G804" s="572"/>
      <c r="H804" s="404"/>
      <c r="I804" s="404"/>
    </row>
    <row r="805" spans="1:9" ht="14.25">
      <c r="A805" s="413"/>
      <c r="B805" s="413"/>
      <c r="C805" s="322"/>
      <c r="D805" s="1658"/>
      <c r="E805" s="1658"/>
      <c r="F805" s="1658"/>
      <c r="G805" s="572"/>
      <c r="H805" s="404"/>
      <c r="I805" s="404"/>
    </row>
    <row r="806" spans="1:9" ht="14.25">
      <c r="A806" s="413"/>
      <c r="B806" s="413"/>
      <c r="C806" s="322"/>
      <c r="D806" s="1658"/>
      <c r="E806" s="1658"/>
      <c r="F806" s="1658"/>
      <c r="G806" s="572"/>
      <c r="H806" s="404"/>
      <c r="I806" s="404"/>
    </row>
    <row r="807" spans="1:9" ht="14.25">
      <c r="A807" s="413"/>
      <c r="B807" s="413"/>
      <c r="C807" s="322"/>
      <c r="D807" s="1658"/>
      <c r="E807" s="1658"/>
      <c r="F807" s="1658"/>
      <c r="G807" s="572"/>
      <c r="H807" s="404"/>
      <c r="I807" s="404"/>
    </row>
    <row r="808" spans="1:9" ht="14.25">
      <c r="A808" s="413"/>
      <c r="B808" s="413"/>
      <c r="C808" s="322"/>
      <c r="D808" s="1658"/>
      <c r="E808" s="1658"/>
      <c r="F808" s="1658"/>
      <c r="G808" s="572"/>
      <c r="H808" s="404"/>
      <c r="I808" s="404"/>
    </row>
    <row r="809" spans="1:9" ht="14.25">
      <c r="A809" s="413"/>
      <c r="B809" s="413"/>
      <c r="C809" s="322"/>
      <c r="D809" s="1658"/>
      <c r="E809" s="1658"/>
      <c r="F809" s="1658"/>
      <c r="G809" s="572"/>
      <c r="H809" s="404"/>
      <c r="I809" s="404"/>
    </row>
    <row r="810" spans="1:9" ht="14.25">
      <c r="A810" s="413"/>
      <c r="B810" s="413"/>
      <c r="C810" s="322"/>
      <c r="D810" s="1327"/>
      <c r="E810" s="1327"/>
      <c r="F810" s="1327"/>
      <c r="G810" s="572"/>
      <c r="H810" s="404"/>
      <c r="I810" s="404"/>
    </row>
    <row r="811" spans="1:9" ht="14.25">
      <c r="A811" s="413"/>
      <c r="B811" s="1544" t="s">
        <v>136</v>
      </c>
      <c r="C811" s="322"/>
      <c r="D811" s="1593" t="s">
        <v>2125</v>
      </c>
      <c r="E811" s="1658"/>
      <c r="F811" s="1658"/>
      <c r="G811" s="572"/>
      <c r="H811" s="404"/>
      <c r="I811" s="404"/>
    </row>
    <row r="812" spans="1:9" ht="14.25">
      <c r="A812" s="413"/>
      <c r="B812" s="413"/>
      <c r="C812" s="322"/>
      <c r="D812" s="1658"/>
      <c r="E812" s="1658"/>
      <c r="F812" s="1658"/>
      <c r="G812" s="572"/>
      <c r="H812" s="404"/>
      <c r="I812" s="404"/>
    </row>
    <row r="813" spans="1:9" ht="14.25">
      <c r="A813" s="413"/>
      <c r="B813" s="413"/>
      <c r="C813" s="322"/>
      <c r="D813" s="1658"/>
      <c r="E813" s="1658"/>
      <c r="F813" s="1658"/>
      <c r="G813" s="572"/>
      <c r="H813" s="404"/>
      <c r="I813" s="404"/>
    </row>
    <row r="814" spans="1:9" ht="14.25">
      <c r="A814" s="413"/>
      <c r="B814" s="413"/>
      <c r="C814" s="322"/>
      <c r="D814" s="1658"/>
      <c r="E814" s="1658"/>
      <c r="F814" s="1658"/>
      <c r="G814" s="572"/>
      <c r="H814" s="404"/>
      <c r="I814" s="404"/>
    </row>
    <row r="815" spans="1:9" ht="14.25">
      <c r="A815" s="413"/>
      <c r="B815" s="413"/>
      <c r="C815" s="322"/>
      <c r="D815" s="1658"/>
      <c r="E815" s="1658"/>
      <c r="F815" s="1658"/>
      <c r="G815" s="572"/>
      <c r="H815" s="404"/>
      <c r="I815" s="404"/>
    </row>
    <row r="816" spans="1:9" ht="14.25">
      <c r="A816" s="413"/>
      <c r="B816" s="413"/>
      <c r="C816" s="322"/>
      <c r="D816" s="1051"/>
      <c r="E816" s="1051"/>
      <c r="F816" s="1051"/>
      <c r="G816" s="572"/>
      <c r="H816" s="404"/>
      <c r="I816" s="404"/>
    </row>
    <row r="817" spans="1:9" ht="14.25">
      <c r="A817" s="413"/>
      <c r="B817" s="1544" t="s">
        <v>136</v>
      </c>
      <c r="C817" s="322"/>
      <c r="D817" s="1658" t="s">
        <v>1800</v>
      </c>
      <c r="E817" s="1658"/>
      <c r="F817" s="1658"/>
      <c r="G817" s="572"/>
      <c r="H817" s="404"/>
      <c r="I817" s="404"/>
    </row>
    <row r="818" spans="1:9" ht="14.25">
      <c r="A818" s="413"/>
      <c r="B818" s="413"/>
      <c r="C818" s="322"/>
      <c r="D818" s="1658"/>
      <c r="E818" s="1658"/>
      <c r="F818" s="1658"/>
      <c r="G818" s="572"/>
      <c r="H818" s="404"/>
      <c r="I818" s="404"/>
    </row>
    <row r="819" spans="1:9" ht="14.25">
      <c r="A819" s="413"/>
      <c r="B819" s="413"/>
      <c r="C819" s="322"/>
      <c r="D819" s="1658"/>
      <c r="E819" s="1658"/>
      <c r="F819" s="1658"/>
      <c r="G819" s="572"/>
      <c r="H819" s="404"/>
      <c r="I819" s="404"/>
    </row>
    <row r="820" spans="1:9" ht="14.25">
      <c r="A820" s="413"/>
      <c r="B820" s="413"/>
      <c r="C820" s="322"/>
      <c r="D820" s="1658"/>
      <c r="E820" s="1658"/>
      <c r="F820" s="1658"/>
      <c r="G820" s="572"/>
      <c r="H820" s="404"/>
      <c r="I820" s="404"/>
    </row>
    <row r="821" spans="1:9" ht="14.25">
      <c r="A821" s="413"/>
      <c r="B821" s="413"/>
      <c r="C821" s="322"/>
      <c r="D821" s="296"/>
      <c r="E821" s="282"/>
      <c r="F821" s="282"/>
      <c r="G821" s="572"/>
      <c r="H821" s="404"/>
      <c r="I821" s="404"/>
    </row>
    <row r="822" spans="1:9" ht="14.25">
      <c r="A822" s="413"/>
      <c r="B822" s="1544" t="s">
        <v>136</v>
      </c>
      <c r="C822" s="322"/>
      <c r="D822" s="1659" t="s">
        <v>1803</v>
      </c>
      <c r="E822" s="1659"/>
      <c r="F822" s="1659"/>
      <c r="G822" s="572"/>
      <c r="H822" s="404"/>
      <c r="I822" s="404"/>
    </row>
    <row r="823" spans="1:9" ht="14.25">
      <c r="A823" s="413"/>
      <c r="B823" s="413"/>
      <c r="C823" s="322"/>
      <c r="D823" s="1659"/>
      <c r="E823" s="1659"/>
      <c r="F823" s="1659"/>
      <c r="G823" s="572"/>
      <c r="H823" s="404"/>
      <c r="I823" s="404"/>
    </row>
    <row r="824" spans="1:9" ht="12.75">
      <c r="A824" s="33"/>
      <c r="B824" s="33"/>
      <c r="C824" s="322"/>
      <c r="D824" s="1659"/>
      <c r="E824" s="1659"/>
      <c r="F824" s="1659"/>
      <c r="G824" s="572"/>
      <c r="H824" s="404"/>
      <c r="I824" s="404"/>
    </row>
    <row r="825" spans="1:9" ht="14.25">
      <c r="A825" s="413"/>
      <c r="B825" s="995"/>
      <c r="C825" s="322"/>
      <c r="D825" s="1659"/>
      <c r="E825" s="1659"/>
      <c r="F825" s="1659"/>
      <c r="G825" s="572"/>
      <c r="H825" s="404"/>
      <c r="I825" s="404"/>
    </row>
    <row r="826" spans="1:9" ht="14.25">
      <c r="A826" s="413"/>
      <c r="B826" s="995"/>
      <c r="C826" s="322"/>
      <c r="D826" s="1659"/>
      <c r="E826" s="1659"/>
      <c r="F826" s="1659"/>
      <c r="G826" s="572"/>
      <c r="H826" s="404"/>
      <c r="I826" s="404"/>
    </row>
    <row r="827" spans="1:9" ht="14.25">
      <c r="A827" s="413"/>
      <c r="B827" s="995"/>
      <c r="C827" s="322"/>
      <c r="D827" s="1659"/>
      <c r="E827" s="1659"/>
      <c r="F827" s="1659"/>
      <c r="G827" s="572"/>
      <c r="H827" s="404"/>
      <c r="I827" s="404"/>
    </row>
    <row r="828" spans="1:9" ht="14.25">
      <c r="A828" s="413"/>
      <c r="B828" s="1052"/>
      <c r="C828" s="322"/>
      <c r="D828" s="1050"/>
      <c r="E828" s="1050"/>
      <c r="F828" s="1050"/>
      <c r="G828" s="572"/>
      <c r="H828" s="404"/>
      <c r="I828" s="404"/>
    </row>
    <row r="829" spans="1:9" ht="14.25">
      <c r="A829" s="413"/>
      <c r="B829" s="1544" t="s">
        <v>136</v>
      </c>
      <c r="C829" s="322"/>
      <c r="D829" s="1658" t="s">
        <v>1802</v>
      </c>
      <c r="E829" s="1658"/>
      <c r="F829" s="1658"/>
      <c r="G829" s="572"/>
      <c r="H829" s="404"/>
      <c r="I829" s="404"/>
    </row>
    <row r="830" spans="1:9" ht="14.25">
      <c r="A830" s="413"/>
      <c r="B830" s="413"/>
      <c r="C830" s="322"/>
      <c r="D830" s="1658"/>
      <c r="E830" s="1658"/>
      <c r="F830" s="1658"/>
      <c r="G830" s="572"/>
      <c r="H830" s="404"/>
      <c r="I830" s="404"/>
    </row>
    <row r="831" spans="1:9" ht="14.25">
      <c r="A831" s="413"/>
      <c r="B831" s="413"/>
      <c r="C831" s="322"/>
      <c r="D831" s="296"/>
      <c r="E831" s="282"/>
      <c r="F831" s="282"/>
      <c r="G831" s="572"/>
      <c r="H831" s="404"/>
      <c r="I831" s="404"/>
    </row>
    <row r="832" spans="1:9" ht="14.25">
      <c r="A832" s="413"/>
      <c r="B832" s="950" t="s">
        <v>136</v>
      </c>
      <c r="C832" s="322"/>
      <c r="D832" s="1659" t="s">
        <v>1804</v>
      </c>
      <c r="E832" s="1659"/>
      <c r="F832" s="1659"/>
      <c r="G832" s="572"/>
      <c r="H832" s="404"/>
      <c r="I832" s="404"/>
    </row>
    <row r="833" spans="1:9" ht="14.25">
      <c r="A833" s="413"/>
      <c r="B833" s="413"/>
      <c r="C833" s="322"/>
      <c r="D833" s="1659"/>
      <c r="E833" s="1659"/>
      <c r="F833" s="1659"/>
      <c r="G833" s="572"/>
      <c r="H833" s="404"/>
      <c r="I833" s="404"/>
    </row>
    <row r="834" spans="1:9" ht="12.75">
      <c r="A834" s="33"/>
      <c r="B834" s="33"/>
      <c r="C834" s="322"/>
      <c r="D834" s="296"/>
      <c r="E834" s="282"/>
      <c r="F834" s="282"/>
      <c r="G834" s="572"/>
      <c r="H834" s="404"/>
      <c r="I834" s="404"/>
    </row>
    <row r="835" spans="1:9" ht="12.75">
      <c r="A835" s="1591" t="s">
        <v>2146</v>
      </c>
      <c r="B835" s="1591"/>
      <c r="C835" s="1591"/>
      <c r="D835" s="1591"/>
      <c r="E835" s="1591"/>
      <c r="F835" s="1591"/>
      <c r="G835" s="1591"/>
      <c r="H835" s="404"/>
      <c r="I835" s="404"/>
    </row>
    <row r="836" spans="1:9" ht="12.75">
      <c r="A836" s="414"/>
      <c r="B836" s="414"/>
      <c r="C836" s="322"/>
      <c r="D836" s="296"/>
      <c r="E836" s="296"/>
      <c r="F836" s="296"/>
      <c r="G836" s="572"/>
      <c r="H836" s="404"/>
      <c r="I836" s="404"/>
    </row>
    <row r="837" spans="1:9" ht="14.25">
      <c r="A837" s="413"/>
      <c r="B837" s="413"/>
      <c r="C837" s="14"/>
      <c r="D837" s="1610" t="s">
        <v>1699</v>
      </c>
      <c r="E837" s="1610"/>
      <c r="F837" s="1610"/>
      <c r="H837" s="404"/>
      <c r="I837" s="404"/>
    </row>
    <row r="838" spans="1:9" ht="14.25">
      <c r="A838" s="413"/>
      <c r="B838" s="413"/>
      <c r="C838" s="14"/>
      <c r="D838" s="1574" t="s">
        <v>2143</v>
      </c>
      <c r="E838" s="1574"/>
      <c r="F838" s="1574"/>
      <c r="H838" s="404"/>
      <c r="I838" s="404"/>
    </row>
    <row r="839" spans="1:9" ht="14.25">
      <c r="A839" s="413"/>
      <c r="B839" s="413"/>
      <c r="C839" s="14"/>
      <c r="D839" s="1341"/>
      <c r="E839" s="1343"/>
      <c r="F839" s="1343"/>
      <c r="H839" s="404"/>
      <c r="I839" s="404"/>
    </row>
    <row r="840" spans="1:9" ht="12.75">
      <c r="A840" s="140"/>
      <c r="B840" s="950" t="s">
        <v>1531</v>
      </c>
      <c r="C840" s="322"/>
      <c r="D840" s="1575" t="s">
        <v>1625</v>
      </c>
      <c r="E840" s="1575"/>
      <c r="F840" s="1575"/>
      <c r="H840" s="404"/>
      <c r="I840" s="404"/>
    </row>
    <row r="841" spans="1:9" ht="12.75">
      <c r="A841" s="33"/>
      <c r="B841" s="33"/>
      <c r="C841" s="322"/>
      <c r="D841" s="6" t="s">
        <v>1594</v>
      </c>
      <c r="E841" s="1645" t="s">
        <v>1626</v>
      </c>
      <c r="F841" s="1645"/>
      <c r="H841" s="404"/>
      <c r="I841" s="404"/>
    </row>
    <row r="842" spans="1:9" ht="12.75">
      <c r="A842" s="33"/>
      <c r="B842" s="33"/>
      <c r="C842" s="322"/>
      <c r="D842" s="333"/>
      <c r="E842" s="282"/>
      <c r="F842" s="282"/>
      <c r="H842" s="404"/>
      <c r="I842" s="404"/>
    </row>
    <row r="843" spans="1:9" ht="12.75">
      <c r="A843" s="1028"/>
      <c r="B843" s="1544" t="s">
        <v>136</v>
      </c>
      <c r="C843" s="322"/>
      <c r="D843" s="1660" t="s">
        <v>1889</v>
      </c>
      <c r="E843" s="1660"/>
      <c r="F843" s="1660"/>
      <c r="H843" s="404"/>
      <c r="I843" s="404"/>
    </row>
    <row r="844" spans="1:9" ht="12.75">
      <c r="A844" s="1028"/>
      <c r="B844" s="1028"/>
      <c r="C844" s="322"/>
      <c r="D844" s="1660"/>
      <c r="E844" s="1660"/>
      <c r="F844" s="1660"/>
      <c r="H844" s="404"/>
      <c r="I844" s="404"/>
    </row>
    <row r="845" spans="1:9" ht="12.75">
      <c r="A845" s="1028"/>
      <c r="B845" s="1028"/>
      <c r="C845" s="322"/>
      <c r="D845" s="1660"/>
      <c r="E845" s="1660"/>
      <c r="F845" s="1660"/>
      <c r="H845" s="404"/>
      <c r="I845" s="404"/>
    </row>
    <row r="846" spans="1:9" ht="12.75">
      <c r="A846" s="1028"/>
      <c r="B846" s="1028"/>
      <c r="C846" s="322"/>
      <c r="D846" s="1660"/>
      <c r="E846" s="1660"/>
      <c r="F846" s="1660"/>
      <c r="H846" s="404"/>
      <c r="I846" s="404"/>
    </row>
    <row r="847" spans="1:9" ht="12.75">
      <c r="A847" s="1028"/>
      <c r="B847" s="1028"/>
      <c r="C847" s="322"/>
      <c r="D847" s="1660"/>
      <c r="E847" s="1660"/>
      <c r="F847" s="1660"/>
      <c r="H847" s="404"/>
      <c r="I847" s="404"/>
    </row>
    <row r="848" spans="1:9" ht="12.75">
      <c r="A848" s="1028"/>
      <c r="B848" s="1028"/>
      <c r="C848" s="322"/>
      <c r="D848" s="1660"/>
      <c r="E848" s="1660"/>
      <c r="F848" s="1660"/>
      <c r="H848" s="404"/>
      <c r="I848" s="404"/>
    </row>
    <row r="849" spans="1:9" ht="12.75">
      <c r="A849" s="1028"/>
      <c r="B849" s="1028"/>
      <c r="C849" s="322"/>
      <c r="D849" s="1660"/>
      <c r="E849" s="1660"/>
      <c r="F849" s="1660"/>
      <c r="H849" s="404"/>
      <c r="I849" s="404"/>
    </row>
    <row r="850" spans="1:9" ht="12.75">
      <c r="A850" s="1028"/>
      <c r="B850" s="1028"/>
      <c r="C850" s="322"/>
      <c r="D850" s="1660"/>
      <c r="E850" s="1660"/>
      <c r="F850" s="1660"/>
      <c r="H850" s="404"/>
      <c r="I850" s="404"/>
    </row>
    <row r="851" spans="1:9" ht="12.75">
      <c r="A851" s="1028"/>
      <c r="B851" s="1028"/>
      <c r="C851" s="322"/>
      <c r="D851" s="1660"/>
      <c r="E851" s="1660"/>
      <c r="F851" s="1660"/>
      <c r="H851" s="404"/>
      <c r="I851" s="404"/>
    </row>
    <row r="852" spans="1:9" ht="12.75">
      <c r="A852" s="1028"/>
      <c r="B852" s="1028"/>
      <c r="C852" s="322"/>
      <c r="D852" s="333"/>
      <c r="E852" s="282"/>
      <c r="F852" s="282"/>
      <c r="H852" s="404"/>
      <c r="I852" s="404"/>
    </row>
    <row r="853" spans="1:9" ht="14.25">
      <c r="A853" s="413"/>
      <c r="B853" s="950" t="s">
        <v>1531</v>
      </c>
      <c r="C853" s="322"/>
      <c r="D853" s="1575" t="s">
        <v>1627</v>
      </c>
      <c r="E853" s="1575"/>
      <c r="F853" s="1575"/>
      <c r="H853" s="404"/>
      <c r="I853" s="404"/>
    </row>
    <row r="854" spans="1:9" ht="14.25">
      <c r="A854" s="413"/>
      <c r="B854" s="413"/>
      <c r="C854" s="322"/>
      <c r="D854" s="1575"/>
      <c r="E854" s="1575"/>
      <c r="F854" s="1575"/>
      <c r="H854" s="404"/>
      <c r="I854" s="404"/>
    </row>
    <row r="855" spans="1:9" ht="14.25">
      <c r="A855" s="413"/>
      <c r="B855" s="413"/>
      <c r="C855" s="322"/>
      <c r="D855" s="1575"/>
      <c r="E855" s="1575"/>
      <c r="F855" s="1575"/>
      <c r="H855" s="404"/>
      <c r="I855" s="404"/>
    </row>
    <row r="856" spans="1:9" ht="14.25">
      <c r="A856" s="570"/>
      <c r="B856" s="570"/>
      <c r="C856" s="405"/>
      <c r="D856" s="403"/>
      <c r="H856" s="404"/>
      <c r="I856" s="404"/>
    </row>
    <row r="857" spans="1:9" ht="12.75">
      <c r="A857" s="706"/>
      <c r="B857" s="1544" t="s">
        <v>136</v>
      </c>
      <c r="C857" s="405"/>
      <c r="D857" s="1668" t="s">
        <v>1628</v>
      </c>
      <c r="E857" s="1668"/>
      <c r="F857" s="1668"/>
      <c r="H857" s="404"/>
      <c r="I857" s="404"/>
    </row>
    <row r="858" spans="1:9" ht="12.75">
      <c r="A858" s="14"/>
      <c r="B858" s="706"/>
      <c r="C858" s="405"/>
      <c r="D858" s="1668"/>
      <c r="E858" s="1668"/>
      <c r="F858" s="1668"/>
      <c r="H858" s="404"/>
      <c r="I858" s="404"/>
    </row>
    <row r="859" spans="1:9" ht="14.25" customHeight="1">
      <c r="A859" s="570"/>
      <c r="B859" s="14"/>
      <c r="C859" s="405"/>
      <c r="D859" s="1619" t="s">
        <v>1654</v>
      </c>
      <c r="E859" s="1619"/>
      <c r="F859" s="1619"/>
      <c r="H859" s="404"/>
      <c r="I859" s="404"/>
    </row>
    <row r="860" spans="1:9" ht="14.25">
      <c r="A860" s="570"/>
      <c r="B860" s="570"/>
      <c r="C860" s="405"/>
      <c r="D860" s="1619"/>
      <c r="E860" s="1619"/>
      <c r="F860" s="1619"/>
      <c r="H860" s="404"/>
      <c r="I860" s="404"/>
    </row>
    <row r="861" spans="1:9" ht="14.25">
      <c r="A861" s="570"/>
      <c r="B861" s="570"/>
      <c r="C861" s="405"/>
      <c r="D861" s="1619"/>
      <c r="E861" s="1619"/>
      <c r="F861" s="1619"/>
      <c r="H861" s="404"/>
      <c r="I861" s="404"/>
    </row>
    <row r="862" spans="1:9" ht="14.25">
      <c r="A862" s="570"/>
      <c r="B862" s="570"/>
      <c r="C862" s="405"/>
      <c r="D862" s="1619"/>
      <c r="E862" s="1619"/>
      <c r="F862" s="1619"/>
      <c r="H862" s="404"/>
      <c r="I862" s="404"/>
    </row>
    <row r="863" spans="1:9" ht="14.25">
      <c r="A863" s="570"/>
      <c r="B863" s="570"/>
      <c r="C863" s="405"/>
      <c r="D863" s="1619"/>
      <c r="E863" s="1619"/>
      <c r="F863" s="1619"/>
      <c r="H863" s="404"/>
      <c r="I863" s="404"/>
    </row>
    <row r="864" spans="1:9" ht="14.25" customHeight="1">
      <c r="A864" s="570"/>
      <c r="B864" s="570"/>
      <c r="C864" s="405"/>
      <c r="D864" s="1619"/>
      <c r="E864" s="1619"/>
      <c r="F864" s="1619"/>
      <c r="H864" s="404"/>
      <c r="I864" s="404"/>
    </row>
    <row r="865" spans="1:9" ht="14.25">
      <c r="A865" s="570"/>
      <c r="B865" s="570"/>
      <c r="C865" s="405"/>
      <c r="D865" s="403"/>
      <c r="H865" s="404"/>
      <c r="I865" s="404"/>
    </row>
    <row r="866" spans="1:9" ht="14.25">
      <c r="A866" s="570"/>
      <c r="B866" s="1544" t="s">
        <v>136</v>
      </c>
      <c r="C866" s="405"/>
      <c r="D866" s="1619" t="s">
        <v>1301</v>
      </c>
      <c r="E866" s="1619"/>
      <c r="F866" s="1619"/>
      <c r="H866" s="404"/>
      <c r="I866" s="404"/>
    </row>
    <row r="867" spans="1:9" ht="14.25">
      <c r="A867" s="570"/>
      <c r="B867" s="570"/>
      <c r="C867" s="405"/>
      <c r="D867" s="1619" t="s">
        <v>1302</v>
      </c>
      <c r="E867" s="1619"/>
      <c r="F867" s="1619"/>
      <c r="H867" s="404"/>
      <c r="I867" s="404"/>
    </row>
    <row r="868" spans="1:9" ht="14.25">
      <c r="A868" s="570"/>
      <c r="B868" s="570"/>
      <c r="C868" s="405"/>
      <c r="D868" s="330" t="s">
        <v>1593</v>
      </c>
      <c r="E868" s="1674" t="s">
        <v>1629</v>
      </c>
      <c r="F868" s="1674"/>
      <c r="H868" s="404"/>
      <c r="I868" s="404"/>
    </row>
    <row r="869" spans="1:9" ht="14.25">
      <c r="A869" s="570"/>
      <c r="B869" s="570"/>
      <c r="C869" s="405"/>
      <c r="D869" s="403"/>
      <c r="H869" s="404"/>
      <c r="I869" s="404"/>
    </row>
    <row r="870" spans="1:9" ht="14.25">
      <c r="A870" s="570"/>
      <c r="B870" s="1544" t="s">
        <v>136</v>
      </c>
      <c r="C870" s="405"/>
      <c r="D870" s="1619" t="s">
        <v>1630</v>
      </c>
      <c r="E870" s="1619"/>
      <c r="F870" s="1619"/>
      <c r="H870" s="404"/>
      <c r="I870" s="404"/>
    </row>
    <row r="871" spans="1:9" ht="14.25">
      <c r="A871" s="570"/>
      <c r="B871" s="570"/>
      <c r="C871" s="405"/>
      <c r="D871" s="1619"/>
      <c r="E871" s="1619"/>
      <c r="F871" s="1619"/>
      <c r="H871" s="404"/>
      <c r="I871" s="404"/>
    </row>
    <row r="872" spans="1:9" ht="14.25">
      <c r="A872" s="570"/>
      <c r="B872" s="570"/>
      <c r="C872" s="405"/>
      <c r="D872" s="1619"/>
      <c r="E872" s="1619"/>
      <c r="F872" s="1619"/>
      <c r="H872" s="404"/>
      <c r="I872" s="404"/>
    </row>
    <row r="873" spans="1:9" ht="14.25">
      <c r="A873" s="570"/>
      <c r="B873" s="570"/>
      <c r="C873" s="405"/>
      <c r="D873" s="1619"/>
      <c r="E873" s="1619"/>
      <c r="F873" s="1619"/>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2" t="s">
        <v>1698</v>
      </c>
      <c r="E877" s="1582"/>
      <c r="F877" s="1582"/>
      <c r="G877" s="572"/>
      <c r="H877" s="404"/>
      <c r="I877" s="404"/>
    </row>
    <row r="878" spans="1:9" ht="12.75">
      <c r="A878" s="1018"/>
      <c r="B878" s="1018"/>
      <c r="C878" s="299"/>
      <c r="D878" s="1670" t="s">
        <v>2144</v>
      </c>
      <c r="E878" s="1671"/>
      <c r="F878" s="1671"/>
      <c r="G878" s="572"/>
      <c r="H878" s="404"/>
      <c r="I878" s="404"/>
    </row>
    <row r="879" spans="1:9" ht="12.75">
      <c r="A879" s="1018"/>
      <c r="B879" s="1018"/>
      <c r="C879" s="299"/>
      <c r="D879" s="1012"/>
      <c r="E879" s="1012"/>
      <c r="F879" s="1012"/>
      <c r="G879" s="572"/>
      <c r="H879" s="404"/>
      <c r="I879" s="404"/>
    </row>
    <row r="880" spans="1:9" ht="14.25">
      <c r="A880" s="413"/>
      <c r="B880" s="950" t="s">
        <v>1531</v>
      </c>
      <c r="C880" s="14"/>
      <c r="D880" s="1577" t="s">
        <v>1653</v>
      </c>
      <c r="E880" s="1577"/>
      <c r="F880" s="1577"/>
      <c r="G880" s="572"/>
      <c r="H880" s="404"/>
      <c r="I880" s="404"/>
    </row>
    <row r="881" spans="1:9" ht="12.75">
      <c r="A881" s="140"/>
      <c r="B881" s="140"/>
      <c r="C881" s="14"/>
      <c r="D881" s="6" t="s">
        <v>1593</v>
      </c>
      <c r="E881" s="1669" t="s">
        <v>1629</v>
      </c>
      <c r="F881" s="1669"/>
      <c r="G881" s="572"/>
    </row>
    <row r="882" spans="1:9" ht="12.75">
      <c r="A882" s="140"/>
      <c r="B882" s="140"/>
      <c r="C882" s="14"/>
      <c r="D882" s="287"/>
      <c r="E882" s="296"/>
      <c r="F882" s="296"/>
      <c r="G882" s="572"/>
      <c r="H882" s="404"/>
      <c r="I882" s="404"/>
    </row>
    <row r="883" spans="1:9" ht="14.25">
      <c r="A883" s="413"/>
      <c r="B883" s="950" t="s">
        <v>1531</v>
      </c>
      <c r="C883" s="14"/>
      <c r="D883" s="1574" t="s">
        <v>2147</v>
      </c>
      <c r="E883" s="1629"/>
      <c r="F883" s="1629"/>
    </row>
    <row r="884" spans="1:9" ht="12.6" customHeight="1">
      <c r="A884" s="140"/>
      <c r="B884" s="140"/>
      <c r="C884" s="14"/>
      <c r="D884" s="1629"/>
      <c r="E884" s="1629"/>
      <c r="F884" s="1629"/>
    </row>
    <row r="885" spans="1:9" ht="14.25">
      <c r="A885" s="413"/>
      <c r="B885" s="413"/>
      <c r="C885" s="14"/>
      <c r="D885" s="287"/>
      <c r="E885" s="296"/>
      <c r="F885" s="296"/>
      <c r="G885" s="572"/>
      <c r="H885" s="404"/>
      <c r="I885" s="404"/>
    </row>
    <row r="886" spans="1:9" ht="12.75">
      <c r="A886" s="14"/>
      <c r="B886" s="1544" t="s">
        <v>136</v>
      </c>
      <c r="D886" s="1666" t="s">
        <v>1893</v>
      </c>
      <c r="E886" s="1666"/>
      <c r="F886" s="1666"/>
      <c r="G886" s="572"/>
      <c r="H886" s="404"/>
      <c r="I886" s="404"/>
    </row>
    <row r="887" spans="1:9" ht="29.45" customHeight="1">
      <c r="A887" s="14"/>
      <c r="B887" s="898"/>
      <c r="D887" s="1666"/>
      <c r="E887" s="1666"/>
      <c r="F887" s="1666"/>
      <c r="G887" s="572"/>
      <c r="H887" s="404"/>
      <c r="I887" s="404"/>
    </row>
    <row r="888" spans="1:9" ht="14.25">
      <c r="A888" s="413"/>
      <c r="B888" s="2"/>
      <c r="C888" s="14"/>
      <c r="D888" s="1619" t="s">
        <v>1654</v>
      </c>
      <c r="E888" s="1619"/>
      <c r="F888" s="1619"/>
      <c r="G888" s="572"/>
      <c r="H888" s="404"/>
      <c r="I888" s="404"/>
    </row>
    <row r="889" spans="1:9" ht="14.25">
      <c r="A889" s="413"/>
      <c r="B889" s="413"/>
      <c r="C889" s="14"/>
      <c r="D889" s="1619"/>
      <c r="E889" s="1619"/>
      <c r="F889" s="1619"/>
      <c r="G889" s="572"/>
      <c r="H889" s="404"/>
      <c r="I889" s="404"/>
    </row>
    <row r="890" spans="1:9" ht="14.25">
      <c r="A890" s="413"/>
      <c r="B890" s="413"/>
      <c r="C890" s="14"/>
      <c r="D890" s="1619"/>
      <c r="E890" s="1619"/>
      <c r="F890" s="1619"/>
      <c r="G890" s="572"/>
      <c r="H890" s="404"/>
      <c r="I890" s="404"/>
    </row>
    <row r="891" spans="1:9" ht="14.25">
      <c r="A891" s="413"/>
      <c r="B891" s="413"/>
      <c r="C891" s="14"/>
      <c r="D891" s="1619"/>
      <c r="E891" s="1619"/>
      <c r="F891" s="1619"/>
      <c r="G891" s="572"/>
      <c r="H891" s="404"/>
      <c r="I891" s="404"/>
    </row>
    <row r="892" spans="1:9" ht="14.25">
      <c r="A892" s="413"/>
      <c r="B892" s="413"/>
      <c r="C892" s="14"/>
      <c r="D892" s="1619"/>
      <c r="E892" s="1619"/>
      <c r="F892" s="1619"/>
      <c r="G892" s="572"/>
      <c r="H892" s="404"/>
      <c r="I892" s="404"/>
    </row>
    <row r="893" spans="1:9" ht="14.25">
      <c r="A893" s="413"/>
      <c r="B893" s="413"/>
      <c r="C893" s="14"/>
      <c r="D893" s="1619"/>
      <c r="E893" s="1619"/>
      <c r="F893" s="1619"/>
      <c r="G893" s="572"/>
      <c r="H893" s="404"/>
      <c r="I893" s="404"/>
    </row>
    <row r="894" spans="1:9" ht="14.25">
      <c r="A894" s="413"/>
      <c r="B894" s="413"/>
      <c r="C894" s="14"/>
      <c r="D894" s="287"/>
      <c r="E894" s="296"/>
      <c r="F894" s="296"/>
      <c r="G894" s="572"/>
      <c r="H894" s="404"/>
      <c r="I894" s="404"/>
    </row>
    <row r="895" spans="1:9" ht="14.25">
      <c r="A895" s="413"/>
      <c r="B895" s="1544" t="s">
        <v>136</v>
      </c>
      <c r="C895" s="14"/>
      <c r="D895" s="1584" t="s">
        <v>1301</v>
      </c>
      <c r="E895" s="1584"/>
      <c r="F895" s="1584"/>
      <c r="G895" s="572"/>
      <c r="H895" s="404"/>
      <c r="I895" s="404"/>
    </row>
    <row r="896" spans="1:9" ht="14.25">
      <c r="A896" s="413"/>
      <c r="B896" s="413"/>
      <c r="C896" s="14"/>
      <c r="D896" s="1584" t="s">
        <v>1302</v>
      </c>
      <c r="E896" s="1584"/>
      <c r="F896" s="1584"/>
      <c r="G896" s="572"/>
      <c r="H896" s="404"/>
      <c r="I896" s="404"/>
    </row>
    <row r="897" spans="1:9" ht="14.25">
      <c r="A897" s="413"/>
      <c r="B897" s="413"/>
      <c r="C897" s="14"/>
      <c r="D897" s="6" t="s">
        <v>1655</v>
      </c>
      <c r="E897" s="1667" t="s">
        <v>1629</v>
      </c>
      <c r="F897" s="1667"/>
      <c r="G897" s="572"/>
      <c r="H897" s="404"/>
      <c r="I897" s="404"/>
    </row>
    <row r="898" spans="1:9" ht="14.25">
      <c r="A898" s="413"/>
      <c r="B898" s="413"/>
      <c r="C898" s="14"/>
      <c r="D898" s="287"/>
      <c r="E898" s="296"/>
      <c r="F898" s="296"/>
      <c r="G898" s="572"/>
      <c r="H898" s="404"/>
      <c r="I898" s="404"/>
    </row>
    <row r="899" spans="1:9" ht="14.25">
      <c r="A899" s="413"/>
      <c r="B899" s="1544" t="s">
        <v>136</v>
      </c>
      <c r="C899" s="14"/>
      <c r="D899" s="1575" t="s">
        <v>1630</v>
      </c>
      <c r="E899" s="1575"/>
      <c r="F899" s="1575"/>
      <c r="G899" s="572"/>
      <c r="H899" s="404"/>
      <c r="I899" s="404"/>
    </row>
    <row r="900" spans="1:9" ht="14.25">
      <c r="A900" s="413"/>
      <c r="B900" s="413"/>
      <c r="C900" s="14"/>
      <c r="D900" s="1575"/>
      <c r="E900" s="1575"/>
      <c r="F900" s="1575"/>
      <c r="G900" s="572"/>
      <c r="H900" s="404"/>
      <c r="I900" s="404"/>
    </row>
    <row r="901" spans="1:9" ht="14.25">
      <c r="A901" s="413"/>
      <c r="B901" s="413"/>
      <c r="C901" s="14"/>
      <c r="D901" s="1575"/>
      <c r="E901" s="1575"/>
      <c r="F901" s="1575"/>
      <c r="G901" s="572"/>
      <c r="H901" s="404"/>
      <c r="I901" s="404"/>
    </row>
    <row r="902" spans="1:9" ht="14.25">
      <c r="A902" s="413"/>
      <c r="B902" s="413"/>
      <c r="C902" s="14"/>
      <c r="D902" s="1575"/>
      <c r="E902" s="1575"/>
      <c r="F902" s="1575"/>
      <c r="G902" s="572"/>
      <c r="H902" s="404"/>
      <c r="I902" s="404"/>
    </row>
    <row r="903" spans="1:9" ht="12.75">
      <c r="A903" s="143"/>
      <c r="B903" s="143"/>
      <c r="C903" s="322"/>
      <c r="D903" s="296"/>
      <c r="E903" s="296"/>
      <c r="F903" s="296"/>
      <c r="G903" s="572"/>
      <c r="H903" s="404"/>
      <c r="I903" s="404"/>
    </row>
    <row r="904" spans="1:9" ht="12.75">
      <c r="A904" s="1591" t="s">
        <v>1559</v>
      </c>
      <c r="B904" s="1591"/>
      <c r="C904" s="1591"/>
      <c r="D904" s="1591"/>
      <c r="E904" s="1591"/>
      <c r="F904" s="1591"/>
      <c r="G904" s="1591"/>
      <c r="H904" s="404"/>
      <c r="I904" s="404"/>
    </row>
    <row r="905" spans="1:9" ht="12.75">
      <c r="A905" s="143"/>
      <c r="B905" s="143"/>
      <c r="C905" s="322"/>
      <c r="D905" s="296"/>
      <c r="E905" s="296"/>
      <c r="F905" s="296"/>
      <c r="G905" s="572"/>
      <c r="H905" s="404"/>
      <c r="I905" s="404"/>
    </row>
    <row r="906" spans="1:9" ht="12.75">
      <c r="A906" s="140"/>
      <c r="B906" s="140"/>
      <c r="C906" s="322"/>
      <c r="D906" s="1638" t="s">
        <v>1841</v>
      </c>
      <c r="E906" s="1638"/>
      <c r="F906" s="1638"/>
      <c r="G906" s="572"/>
      <c r="H906" s="404"/>
      <c r="I906" s="404"/>
    </row>
    <row r="907" spans="1:9" ht="12.75">
      <c r="A907" s="414"/>
      <c r="B907" s="414"/>
      <c r="C907" s="298"/>
      <c r="D907" s="1577" t="s">
        <v>1652</v>
      </c>
      <c r="E907" s="1577"/>
      <c r="F907" s="1577"/>
      <c r="G907" s="572"/>
      <c r="H907" s="404"/>
      <c r="I907" s="404"/>
    </row>
    <row r="908" spans="1:9" ht="12.75">
      <c r="A908" s="414"/>
      <c r="B908" s="414"/>
      <c r="C908" s="298"/>
      <c r="D908" s="282"/>
      <c r="E908" s="282"/>
      <c r="F908" s="296"/>
      <c r="G908" s="572"/>
      <c r="H908" s="404"/>
      <c r="I908" s="404"/>
    </row>
    <row r="909" spans="1:9" ht="13.7" customHeight="1">
      <c r="A909" s="414"/>
      <c r="B909" s="1544" t="s">
        <v>136</v>
      </c>
      <c r="C909" s="298"/>
      <c r="D909" s="1676" t="s">
        <v>1851</v>
      </c>
      <c r="E909" s="1676"/>
      <c r="F909" s="1676"/>
      <c r="G909" s="572"/>
      <c r="H909" s="404"/>
      <c r="I909" s="404"/>
    </row>
    <row r="910" spans="1:9" ht="12.75">
      <c r="A910" s="414"/>
      <c r="B910" s="414"/>
      <c r="C910" s="298"/>
      <c r="D910" s="1676"/>
      <c r="E910" s="1676"/>
      <c r="F910" s="1676"/>
      <c r="G910" s="572"/>
      <c r="H910" s="404"/>
      <c r="I910" s="404"/>
    </row>
    <row r="911" spans="1:9" ht="12.75">
      <c r="A911" s="414"/>
      <c r="B911" s="414"/>
      <c r="C911" s="298"/>
      <c r="D911" s="1676"/>
      <c r="E911" s="1676"/>
      <c r="F911" s="1676"/>
      <c r="G911" s="572"/>
      <c r="H911" s="404"/>
      <c r="I911" s="404"/>
    </row>
    <row r="912" spans="1:9" ht="12.75">
      <c r="A912" s="414"/>
      <c r="B912" s="414"/>
      <c r="C912" s="298"/>
      <c r="D912" s="1676"/>
      <c r="E912" s="1676"/>
      <c r="F912" s="1676"/>
      <c r="G912" s="572"/>
      <c r="H912" s="404"/>
      <c r="I912" s="404"/>
    </row>
    <row r="913" spans="1:9" ht="12.75">
      <c r="A913" s="414"/>
      <c r="B913" s="414"/>
      <c r="C913" s="298"/>
      <c r="D913" s="1676"/>
      <c r="E913" s="1676"/>
      <c r="F913" s="1676"/>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674" t="s">
        <v>1951</v>
      </c>
      <c r="E915" s="1674"/>
      <c r="F915" s="1674"/>
      <c r="G915" s="572"/>
      <c r="H915" s="404"/>
      <c r="I915" s="404"/>
    </row>
    <row r="916" spans="1:9" ht="14.25" customHeight="1">
      <c r="A916" s="570"/>
      <c r="B916" s="570"/>
      <c r="C916" s="571"/>
      <c r="D916" s="1674"/>
      <c r="E916" s="1674"/>
      <c r="F916" s="1674"/>
      <c r="G916" s="572"/>
      <c r="H916" s="404"/>
      <c r="I916" s="404"/>
    </row>
    <row r="917" spans="1:9" ht="14.25" customHeight="1">
      <c r="A917" s="570"/>
      <c r="B917" s="570"/>
      <c r="C917" s="571"/>
      <c r="D917" s="1674"/>
      <c r="E917" s="1674"/>
      <c r="F917" s="1674"/>
      <c r="G917" s="572"/>
      <c r="H917" s="404"/>
      <c r="I917" s="404"/>
    </row>
    <row r="918" spans="1:9" ht="14.25" customHeight="1">
      <c r="A918" s="570"/>
      <c r="B918" s="570"/>
      <c r="C918" s="571"/>
      <c r="D918" s="1674"/>
      <c r="E918" s="1674"/>
      <c r="F918" s="1674"/>
      <c r="G918" s="572"/>
      <c r="H918" s="404"/>
      <c r="I918" s="404"/>
    </row>
    <row r="919" spans="1:9" ht="14.25" customHeight="1">
      <c r="A919" s="573"/>
      <c r="B919" s="573"/>
      <c r="C919" s="571"/>
      <c r="D919" s="1674"/>
      <c r="E919" s="1674"/>
      <c r="F919" s="1674"/>
      <c r="G919" s="572"/>
      <c r="H919" s="404"/>
      <c r="I919" s="404"/>
    </row>
    <row r="920" spans="1:9" ht="14.25" customHeight="1">
      <c r="A920" s="573"/>
      <c r="B920" s="573"/>
      <c r="C920" s="571"/>
      <c r="D920" s="1674"/>
      <c r="E920" s="1674"/>
      <c r="F920" s="1674"/>
      <c r="G920" s="572"/>
      <c r="H920" s="404"/>
      <c r="I920" s="404"/>
    </row>
    <row r="921" spans="1:9" ht="14.25" customHeight="1">
      <c r="A921" s="573"/>
      <c r="B921" s="573"/>
      <c r="C921" s="571"/>
      <c r="D921" s="1674"/>
      <c r="E921" s="1674"/>
      <c r="F921" s="1674"/>
      <c r="G921" s="572"/>
      <c r="H921" s="404"/>
      <c r="I921" s="404"/>
    </row>
    <row r="922" spans="1:9" ht="14.25" customHeight="1">
      <c r="A922" s="573"/>
      <c r="B922" s="573"/>
      <c r="C922" s="571"/>
      <c r="D922" s="330"/>
      <c r="F922" s="572"/>
      <c r="G922" s="572"/>
      <c r="H922" s="404"/>
      <c r="I922" s="404"/>
    </row>
    <row r="923" spans="1:9" s="515" customFormat="1" ht="14.25" customHeight="1">
      <c r="A923" s="574"/>
      <c r="B923" s="1544" t="s">
        <v>136</v>
      </c>
      <c r="C923" s="575"/>
      <c r="D923" s="1674" t="s">
        <v>1952</v>
      </c>
      <c r="E923" s="1674"/>
      <c r="F923" s="1674"/>
      <c r="G923" s="577"/>
      <c r="H923" s="578"/>
      <c r="I923" s="578"/>
    </row>
    <row r="924" spans="1:9" s="515" customFormat="1" ht="14.25" customHeight="1">
      <c r="A924" s="574"/>
      <c r="B924" s="574"/>
      <c r="C924" s="575"/>
      <c r="D924" s="1674"/>
      <c r="E924" s="1674"/>
      <c r="F924" s="1674"/>
      <c r="G924" s="577"/>
      <c r="H924" s="578"/>
      <c r="I924" s="578"/>
    </row>
    <row r="925" spans="1:9" s="515" customFormat="1" ht="14.25" customHeight="1">
      <c r="A925" s="574"/>
      <c r="B925" s="574"/>
      <c r="C925" s="575"/>
      <c r="D925" s="1674"/>
      <c r="E925" s="1674"/>
      <c r="F925" s="1674"/>
      <c r="G925" s="577"/>
      <c r="H925" s="578"/>
      <c r="I925" s="578"/>
    </row>
    <row r="926" spans="1:9" s="515" customFormat="1" ht="14.25" customHeight="1">
      <c r="A926" s="574"/>
      <c r="B926" s="574"/>
      <c r="C926" s="575"/>
      <c r="D926" s="1674"/>
      <c r="E926" s="1674"/>
      <c r="F926" s="1674"/>
      <c r="G926" s="577"/>
      <c r="H926" s="578"/>
      <c r="I926" s="578"/>
    </row>
    <row r="927" spans="1:9" s="515" customFormat="1" ht="14.25" customHeight="1">
      <c r="A927" s="574"/>
      <c r="B927" s="574"/>
      <c r="C927" s="575"/>
      <c r="D927" s="1674"/>
      <c r="E927" s="1674"/>
      <c r="F927" s="1674"/>
      <c r="G927" s="577"/>
      <c r="H927" s="578"/>
      <c r="I927" s="578"/>
    </row>
    <row r="928" spans="1:9" s="515" customFormat="1" ht="14.25">
      <c r="A928" s="574"/>
      <c r="B928" s="574"/>
      <c r="C928" s="575"/>
      <c r="D928" s="1674"/>
      <c r="E928" s="1674"/>
      <c r="F928" s="1674"/>
      <c r="G928" s="577"/>
      <c r="H928" s="578"/>
      <c r="I928" s="578"/>
    </row>
    <row r="929" spans="1:9" s="515" customFormat="1" ht="14.25" customHeight="1">
      <c r="A929" s="574"/>
      <c r="B929" s="574"/>
      <c r="C929" s="575"/>
      <c r="D929" s="1674"/>
      <c r="E929" s="1674"/>
      <c r="F929" s="1674"/>
      <c r="G929" s="577"/>
      <c r="H929" s="578"/>
      <c r="I929" s="578"/>
    </row>
    <row r="930" spans="1:9" s="515" customFormat="1" ht="14.25" customHeight="1">
      <c r="A930" s="574"/>
      <c r="B930" s="574"/>
      <c r="C930" s="575"/>
      <c r="D930" s="1674"/>
      <c r="E930" s="1674"/>
      <c r="F930" s="1674"/>
      <c r="G930" s="577"/>
      <c r="H930" s="578"/>
      <c r="I930" s="578"/>
    </row>
    <row r="931" spans="1:9" s="515" customFormat="1" ht="14.25" customHeight="1">
      <c r="A931" s="574"/>
      <c r="B931" s="574"/>
      <c r="C931" s="575"/>
      <c r="D931" s="1674"/>
      <c r="E931" s="1674"/>
      <c r="F931" s="1674"/>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3" t="s">
        <v>1852</v>
      </c>
      <c r="E933" s="1633"/>
      <c r="F933" s="1633"/>
      <c r="G933" s="572"/>
      <c r="H933" s="404"/>
      <c r="I933" s="404"/>
    </row>
    <row r="934" spans="1:9" ht="14.25" customHeight="1">
      <c r="A934" s="570"/>
      <c r="B934" s="570"/>
      <c r="C934" s="571"/>
      <c r="D934" s="1633"/>
      <c r="E934" s="1633"/>
      <c r="F934" s="1633"/>
      <c r="G934" s="572"/>
      <c r="H934" s="404"/>
      <c r="I934" s="404"/>
    </row>
    <row r="935" spans="1:9" ht="14.25" customHeight="1">
      <c r="A935" s="570"/>
      <c r="B935" s="570"/>
      <c r="C935" s="571"/>
      <c r="D935" s="1633"/>
      <c r="E935" s="1633"/>
      <c r="F935" s="1633"/>
      <c r="G935" s="572"/>
      <c r="H935" s="404"/>
      <c r="I935" s="404"/>
    </row>
    <row r="936" spans="1:9" ht="14.25" customHeight="1">
      <c r="A936" s="570"/>
      <c r="B936" s="570"/>
      <c r="C936" s="571"/>
      <c r="D936" s="1633"/>
      <c r="E936" s="1633"/>
      <c r="F936" s="1633"/>
      <c r="G936" s="572"/>
      <c r="H936" s="404"/>
      <c r="I936" s="404"/>
    </row>
    <row r="937" spans="1:9" ht="14.25" customHeight="1">
      <c r="A937" s="570"/>
      <c r="B937" s="570"/>
      <c r="C937" s="571"/>
      <c r="D937" s="1633"/>
      <c r="E937" s="1633"/>
      <c r="F937" s="1633"/>
      <c r="G937" s="572"/>
      <c r="H937" s="404"/>
      <c r="I937" s="404"/>
    </row>
    <row r="938" spans="1:9" ht="14.25" customHeight="1">
      <c r="A938" s="570"/>
      <c r="B938" s="570"/>
      <c r="C938" s="571"/>
      <c r="D938" s="1633"/>
      <c r="E938" s="1633"/>
      <c r="F938" s="1633"/>
      <c r="G938" s="572"/>
      <c r="H938" s="404"/>
      <c r="I938" s="404"/>
    </row>
    <row r="939" spans="1:9" ht="14.25" customHeight="1">
      <c r="A939" s="570"/>
      <c r="B939" s="570"/>
      <c r="C939" s="571"/>
      <c r="D939" s="1633"/>
      <c r="E939" s="1633"/>
      <c r="F939" s="1633"/>
      <c r="G939" s="572"/>
      <c r="H939" s="404"/>
      <c r="I939" s="404"/>
    </row>
    <row r="940" spans="1:9" ht="14.25" customHeight="1">
      <c r="A940" s="570"/>
      <c r="B940" s="570"/>
      <c r="C940" s="571"/>
      <c r="D940" s="638"/>
      <c r="F940" s="572"/>
      <c r="G940" s="572"/>
      <c r="H940" s="404"/>
      <c r="I940" s="404"/>
    </row>
    <row r="941" spans="1:9" s="707" customFormat="1" ht="14.25">
      <c r="A941" s="570"/>
      <c r="B941" s="950" t="s">
        <v>1531</v>
      </c>
      <c r="C941" s="571"/>
      <c r="D941" s="1674" t="s">
        <v>1853</v>
      </c>
      <c r="E941" s="1674"/>
      <c r="F941" s="1674"/>
      <c r="G941" s="572"/>
      <c r="H941" s="770"/>
    </row>
    <row r="942" spans="1:9" s="707" customFormat="1" ht="14.25">
      <c r="A942" s="570"/>
      <c r="B942" s="570"/>
      <c r="C942" s="571"/>
      <c r="D942" s="1674"/>
      <c r="E942" s="1674"/>
      <c r="F942" s="1674"/>
      <c r="G942" s="572"/>
      <c r="H942" s="770"/>
    </row>
    <row r="943" spans="1:9" s="707" customFormat="1" ht="14.25">
      <c r="A943" s="570"/>
      <c r="B943" s="570"/>
      <c r="C943" s="571"/>
      <c r="D943" s="1674"/>
      <c r="E943" s="1674"/>
      <c r="F943" s="1674"/>
      <c r="G943" s="572"/>
      <c r="H943" s="770"/>
    </row>
    <row r="944" spans="1:9" s="707" customFormat="1" ht="14.25">
      <c r="A944" s="570"/>
      <c r="B944" s="570"/>
      <c r="C944" s="571"/>
      <c r="D944" s="1674"/>
      <c r="E944" s="1674"/>
      <c r="F944" s="1674"/>
      <c r="G944" s="572"/>
      <c r="H944" s="770"/>
    </row>
    <row r="945" spans="1:9" s="707" customFormat="1" ht="14.25">
      <c r="A945" s="570"/>
      <c r="B945" s="570"/>
      <c r="C945" s="571"/>
      <c r="D945" s="330"/>
      <c r="E945" s="329"/>
      <c r="F945" s="572"/>
      <c r="G945" s="572"/>
      <c r="H945" s="770"/>
    </row>
    <row r="946" spans="1:9" ht="14.25" customHeight="1">
      <c r="A946" s="33"/>
      <c r="B946" s="33"/>
      <c r="C946" s="322"/>
      <c r="D946" s="1575" t="s">
        <v>1854</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5" t="s">
        <v>1855</v>
      </c>
      <c r="E949" s="1575"/>
      <c r="F949" s="1575"/>
    </row>
    <row r="950" spans="1:9" ht="12.75">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638" t="s">
        <v>1844</v>
      </c>
      <c r="E952" s="1638"/>
      <c r="F952" s="1638"/>
      <c r="G952" s="572"/>
      <c r="H952" s="404"/>
      <c r="I952" s="404"/>
    </row>
    <row r="953" spans="1:9" ht="14.25" customHeight="1">
      <c r="A953" s="415"/>
      <c r="B953" s="415"/>
      <c r="C953" s="299"/>
      <c r="D953" s="1014"/>
      <c r="E953" s="282"/>
      <c r="F953" s="296"/>
      <c r="G953" s="572"/>
      <c r="H953" s="404"/>
      <c r="I953" s="404"/>
    </row>
    <row r="954" spans="1:9" ht="14.45" customHeight="1">
      <c r="A954" s="413"/>
      <c r="B954" s="950" t="s">
        <v>1531</v>
      </c>
      <c r="C954" s="322"/>
      <c r="D954" s="1590" t="s">
        <v>1843</v>
      </c>
      <c r="E954" s="1590"/>
      <c r="F954" s="1590"/>
      <c r="G954" s="572"/>
      <c r="H954" s="404"/>
      <c r="I954" s="404"/>
    </row>
    <row r="955" spans="1:9" ht="12.75">
      <c r="A955" s="355"/>
      <c r="B955" s="355"/>
      <c r="C955" s="322"/>
      <c r="D955" s="1590"/>
      <c r="E955" s="1590"/>
      <c r="F955" s="1590"/>
      <c r="G955" s="572"/>
      <c r="H955" s="404"/>
      <c r="I955" s="404"/>
    </row>
    <row r="956" spans="1:9" ht="12.75">
      <c r="A956" s="355"/>
      <c r="B956" s="355"/>
      <c r="C956" s="322"/>
      <c r="D956" s="1590"/>
      <c r="E956" s="1590"/>
      <c r="F956" s="1590"/>
      <c r="G956" s="572"/>
      <c r="H956" s="404"/>
      <c r="I956" s="404"/>
    </row>
    <row r="957" spans="1:9" ht="12.75">
      <c r="A957" s="355"/>
      <c r="B957" s="355"/>
      <c r="C957" s="322"/>
      <c r="D957" s="1590"/>
      <c r="E957" s="1590"/>
      <c r="F957" s="1590"/>
      <c r="G957" s="572"/>
      <c r="H957" s="404"/>
      <c r="I957" s="404"/>
    </row>
    <row r="958" spans="1:9" ht="12.75">
      <c r="A958" s="355"/>
      <c r="B958" s="355"/>
      <c r="C958" s="322"/>
      <c r="D958" s="1590"/>
      <c r="E958" s="1590"/>
      <c r="F958" s="1590"/>
      <c r="G958" s="572"/>
      <c r="H958" s="404"/>
      <c r="I958" s="404"/>
    </row>
    <row r="959" spans="1:9" ht="12.75">
      <c r="A959" s="355"/>
      <c r="B959" s="355"/>
      <c r="C959" s="322"/>
      <c r="D959" s="1590"/>
      <c r="E959" s="1590"/>
      <c r="F959" s="1590"/>
      <c r="G959" s="572"/>
      <c r="H959" s="404"/>
      <c r="I959" s="404"/>
    </row>
    <row r="960" spans="1:9" ht="12.75">
      <c r="A960" s="355"/>
      <c r="B960" s="355"/>
      <c r="C960" s="322"/>
      <c r="D960" s="1016"/>
      <c r="E960" s="1016"/>
      <c r="F960" s="1016"/>
      <c r="G960" s="572"/>
      <c r="H960" s="404"/>
      <c r="I960" s="404"/>
    </row>
    <row r="961" spans="1:9" ht="14.45" customHeight="1">
      <c r="A961" s="413"/>
      <c r="B961" s="1544" t="s">
        <v>136</v>
      </c>
      <c r="C961" s="322"/>
      <c r="D961" s="1590" t="s">
        <v>1842</v>
      </c>
      <c r="E961" s="1590"/>
      <c r="F961" s="1590"/>
      <c r="G961" s="572"/>
      <c r="H961" s="404"/>
      <c r="I961" s="404"/>
    </row>
    <row r="962" spans="1:9" ht="12.75">
      <c r="A962" s="355"/>
      <c r="B962" s="355"/>
      <c r="C962" s="322"/>
      <c r="D962" s="1590"/>
      <c r="E962" s="1590"/>
      <c r="F962" s="1590"/>
      <c r="G962" s="572"/>
      <c r="H962" s="404"/>
      <c r="I962" s="404"/>
    </row>
    <row r="963" spans="1:9" ht="12.75">
      <c r="A963" s="355"/>
      <c r="B963" s="355"/>
      <c r="C963" s="322"/>
      <c r="D963" s="1590"/>
      <c r="E963" s="1590"/>
      <c r="F963" s="1590"/>
      <c r="G963" s="572"/>
      <c r="H963" s="404"/>
      <c r="I963" s="404"/>
    </row>
    <row r="964" spans="1:9" ht="12.75">
      <c r="A964" s="355"/>
      <c r="B964" s="355"/>
      <c r="C964" s="322"/>
      <c r="D964" s="1590"/>
      <c r="E964" s="1590"/>
      <c r="F964" s="1590"/>
      <c r="G964" s="572"/>
      <c r="H964" s="404"/>
      <c r="I964" s="404"/>
    </row>
    <row r="965" spans="1:9" ht="12.75">
      <c r="A965" s="355"/>
      <c r="B965" s="355"/>
      <c r="C965" s="322"/>
      <c r="D965" s="1590"/>
      <c r="E965" s="1590"/>
      <c r="F965" s="1590"/>
      <c r="G965" s="572"/>
      <c r="H965" s="404"/>
      <c r="I965" s="404"/>
    </row>
    <row r="966" spans="1:9" ht="12.75">
      <c r="A966" s="355"/>
      <c r="B966" s="355"/>
      <c r="C966" s="322"/>
      <c r="D966" s="710"/>
      <c r="E966" s="296"/>
      <c r="F966" s="296"/>
      <c r="G966" s="572"/>
      <c r="H966" s="404"/>
      <c r="I966" s="404"/>
    </row>
    <row r="967" spans="1:9" ht="14.25">
      <c r="A967" s="413"/>
      <c r="B967" s="1544" t="s">
        <v>136</v>
      </c>
      <c r="C967" s="322"/>
      <c r="D967" s="1590" t="s">
        <v>1845</v>
      </c>
      <c r="E967" s="1590"/>
      <c r="F967" s="1590"/>
      <c r="G967" s="572"/>
      <c r="H967" s="404"/>
      <c r="I967" s="404"/>
    </row>
    <row r="968" spans="1:9" ht="12.75">
      <c r="A968" s="355"/>
      <c r="B968" s="355"/>
      <c r="C968" s="322"/>
      <c r="D968" s="1590"/>
      <c r="E968" s="1590"/>
      <c r="F968" s="1590"/>
      <c r="G968" s="572"/>
      <c r="H968" s="404"/>
      <c r="I968" s="404"/>
    </row>
    <row r="969" spans="1:9" ht="12.75">
      <c r="A969" s="355"/>
      <c r="B969" s="355"/>
      <c r="C969" s="322"/>
      <c r="D969" s="1590"/>
      <c r="E969" s="1590"/>
      <c r="F969" s="1590"/>
      <c r="G969" s="572"/>
      <c r="H969" s="404"/>
      <c r="I969" s="404"/>
    </row>
    <row r="970" spans="1:9" ht="12.75">
      <c r="A970" s="355"/>
      <c r="B970" s="355"/>
      <c r="C970" s="322"/>
      <c r="D970" s="1590"/>
      <c r="E970" s="1590"/>
      <c r="F970" s="1590"/>
      <c r="G970" s="572"/>
      <c r="H970" s="404"/>
      <c r="I970" s="404"/>
    </row>
    <row r="971" spans="1:9" ht="12.75">
      <c r="A971" s="355"/>
      <c r="B971" s="355"/>
      <c r="C971" s="322"/>
      <c r="D971" s="1590"/>
      <c r="E971" s="1590"/>
      <c r="F971" s="1590"/>
      <c r="G971" s="572"/>
      <c r="H971" s="404"/>
      <c r="I971" s="404"/>
    </row>
    <row r="972" spans="1:9" ht="12.75">
      <c r="A972" s="355"/>
      <c r="B972" s="355"/>
      <c r="C972" s="322"/>
      <c r="D972" s="710"/>
      <c r="E972" s="296"/>
      <c r="F972" s="296"/>
      <c r="G972" s="572"/>
      <c r="H972" s="404"/>
      <c r="I972" s="404"/>
    </row>
    <row r="973" spans="1:9" ht="14.45" customHeight="1">
      <c r="A973" s="413"/>
      <c r="B973" s="1544" t="s">
        <v>136</v>
      </c>
      <c r="C973" s="322"/>
      <c r="D973" s="1590" t="s">
        <v>1846</v>
      </c>
      <c r="E973" s="1590"/>
      <c r="F973" s="1590"/>
      <c r="G973" s="572"/>
      <c r="H973" s="404"/>
      <c r="I973" s="404"/>
    </row>
    <row r="974" spans="1:9" ht="12.75">
      <c r="A974" s="355"/>
      <c r="B974" s="355"/>
      <c r="C974" s="322"/>
      <c r="D974" s="1590"/>
      <c r="E974" s="1590"/>
      <c r="F974" s="1590"/>
      <c r="G974" s="572"/>
      <c r="H974" s="404"/>
      <c r="I974" s="404"/>
    </row>
    <row r="975" spans="1:9" ht="12.75">
      <c r="A975" s="355"/>
      <c r="B975" s="355"/>
      <c r="C975" s="322"/>
      <c r="D975" s="1590"/>
      <c r="E975" s="1590"/>
      <c r="F975" s="1590"/>
      <c r="G975" s="572"/>
      <c r="H975" s="404"/>
      <c r="I975" s="404"/>
    </row>
    <row r="976" spans="1:9" ht="12.75">
      <c r="A976" s="355"/>
      <c r="B976" s="355"/>
      <c r="C976" s="322"/>
      <c r="D976" s="1016"/>
      <c r="E976" s="1016"/>
      <c r="F976" s="1016"/>
      <c r="G976" s="572"/>
      <c r="H976" s="404"/>
      <c r="I976" s="404"/>
    </row>
    <row r="977" spans="1:9" ht="14.25">
      <c r="A977" s="413"/>
      <c r="B977" s="1544" t="s">
        <v>136</v>
      </c>
      <c r="C977" s="322"/>
      <c r="D977" s="1590" t="s">
        <v>1847</v>
      </c>
      <c r="E977" s="1590"/>
      <c r="F977" s="1590"/>
      <c r="G977" s="572"/>
      <c r="H977" s="404"/>
      <c r="I977" s="404"/>
    </row>
    <row r="978" spans="1:9" ht="12.75">
      <c r="A978" s="355"/>
      <c r="B978" s="355"/>
      <c r="C978" s="322"/>
      <c r="D978" s="1590"/>
      <c r="E978" s="1590"/>
      <c r="F978" s="1590"/>
      <c r="G978" s="572"/>
      <c r="H978" s="404"/>
      <c r="I978" s="404"/>
    </row>
    <row r="979" spans="1:9" ht="12.75">
      <c r="A979" s="355"/>
      <c r="B979" s="355"/>
      <c r="C979" s="322"/>
      <c r="D979" s="710"/>
      <c r="E979" s="296"/>
      <c r="F979" s="296"/>
      <c r="G979" s="572"/>
      <c r="H979" s="404"/>
      <c r="I979" s="404"/>
    </row>
    <row r="980" spans="1:9" ht="12.75">
      <c r="A980" s="355"/>
      <c r="B980" s="1544" t="s">
        <v>136</v>
      </c>
      <c r="C980" s="322"/>
      <c r="D980" s="1575" t="s">
        <v>1848</v>
      </c>
      <c r="E980" s="1575"/>
      <c r="F980" s="1575"/>
      <c r="G980" s="572"/>
      <c r="H980" s="404"/>
      <c r="I980" s="404"/>
    </row>
    <row r="981" spans="1:9" ht="12.75">
      <c r="A981" s="355"/>
      <c r="B981" s="355"/>
      <c r="C981" s="322"/>
      <c r="D981" s="1575"/>
      <c r="E981" s="1575"/>
      <c r="F981" s="1575"/>
      <c r="G981" s="572"/>
      <c r="H981" s="404"/>
      <c r="I981" s="404"/>
    </row>
    <row r="982" spans="1:9" ht="12.75">
      <c r="A982" s="355"/>
      <c r="B982" s="355"/>
      <c r="C982" s="322"/>
      <c r="D982" s="296"/>
      <c r="E982" s="296"/>
      <c r="F982" s="296"/>
      <c r="G982" s="572"/>
      <c r="H982" s="404"/>
      <c r="I982" s="404"/>
    </row>
    <row r="983" spans="1:9" ht="12.75">
      <c r="A983" s="355"/>
      <c r="B983" s="1544" t="s">
        <v>136</v>
      </c>
      <c r="C983" s="322"/>
      <c r="D983" s="1675" t="s">
        <v>2000</v>
      </c>
      <c r="E983" s="1659"/>
      <c r="F983" s="1659"/>
      <c r="G983" s="572"/>
      <c r="H983" s="404"/>
      <c r="I983" s="404"/>
    </row>
    <row r="984" spans="1:9" ht="12.75">
      <c r="A984" s="355"/>
      <c r="B984" s="355"/>
      <c r="C984" s="322"/>
      <c r="D984" s="1675"/>
      <c r="E984" s="1659"/>
      <c r="F984" s="1659"/>
      <c r="G984" s="572"/>
      <c r="H984" s="404"/>
      <c r="I984" s="404"/>
    </row>
    <row r="985" spans="1:9" ht="12.75">
      <c r="A985" s="355"/>
      <c r="B985" s="355"/>
      <c r="C985" s="322"/>
      <c r="D985" s="1675"/>
      <c r="E985" s="1659"/>
      <c r="F985" s="1659"/>
      <c r="G985" s="572"/>
      <c r="H985" s="404"/>
      <c r="I985" s="404"/>
    </row>
    <row r="986" spans="1:9" ht="12.75">
      <c r="A986" s="355"/>
      <c r="B986" s="355"/>
      <c r="C986" s="322"/>
      <c r="D986" s="1659"/>
      <c r="E986" s="1659"/>
      <c r="F986" s="1659"/>
      <c r="G986" s="572"/>
      <c r="H986" s="404"/>
      <c r="I986" s="404"/>
    </row>
    <row r="987" spans="1:9" ht="12.75">
      <c r="A987" s="355"/>
      <c r="B987" s="355"/>
      <c r="C987" s="322"/>
      <c r="D987" s="287"/>
      <c r="E987" s="296"/>
      <c r="F987" s="296"/>
      <c r="G987" s="572"/>
      <c r="H987" s="404"/>
      <c r="I987" s="404"/>
    </row>
    <row r="988" spans="1:9" ht="12.75">
      <c r="A988" s="355"/>
      <c r="B988" s="1544" t="s">
        <v>136</v>
      </c>
      <c r="C988" s="322"/>
      <c r="D988" s="1577" t="s">
        <v>1236</v>
      </c>
      <c r="E988" s="1577"/>
      <c r="F988" s="1577"/>
      <c r="G988" s="572"/>
      <c r="H988" s="404"/>
      <c r="I988" s="404"/>
    </row>
    <row r="989" spans="1:9" ht="12.75">
      <c r="A989" s="355"/>
      <c r="B989" s="355"/>
      <c r="C989" s="322"/>
      <c r="D989" s="287"/>
      <c r="E989" s="296"/>
      <c r="F989" s="296"/>
      <c r="G989" s="572"/>
      <c r="H989" s="404"/>
      <c r="I989" s="404"/>
    </row>
    <row r="990" spans="1:9" ht="12.75">
      <c r="A990" s="355"/>
      <c r="B990" s="1544" t="s">
        <v>136</v>
      </c>
      <c r="C990" s="322"/>
      <c r="D990" s="1577" t="s">
        <v>1237</v>
      </c>
      <c r="E990" s="1577"/>
      <c r="F990" s="1577"/>
      <c r="G990" s="572"/>
      <c r="H990" s="404"/>
      <c r="I990" s="404"/>
    </row>
    <row r="991" spans="1:9" ht="12.75" customHeight="1">
      <c r="A991" s="355"/>
      <c r="B991" s="355"/>
      <c r="C991" s="322"/>
      <c r="D991" s="296"/>
      <c r="E991" s="296"/>
      <c r="F991" s="296"/>
      <c r="G991" s="572"/>
      <c r="H991" s="404"/>
      <c r="I991" s="404"/>
    </row>
    <row r="992" spans="1:9" ht="12.75">
      <c r="A992" s="355"/>
      <c r="B992" s="14"/>
      <c r="C992" s="322"/>
      <c r="D992" s="1582" t="s">
        <v>1656</v>
      </c>
      <c r="E992" s="1582"/>
      <c r="F992" s="1582"/>
      <c r="G992" s="572"/>
      <c r="H992" s="404"/>
      <c r="I992" s="404"/>
    </row>
    <row r="993" spans="1:9" ht="12.75">
      <c r="A993" s="355"/>
      <c r="B993" s="14"/>
      <c r="C993" s="322"/>
      <c r="D993" s="1014"/>
      <c r="E993" s="296"/>
      <c r="F993" s="296"/>
      <c r="G993" s="572"/>
      <c r="H993" s="404"/>
      <c r="I993" s="404"/>
    </row>
    <row r="994" spans="1:9" ht="14.25">
      <c r="A994" s="413"/>
      <c r="B994" s="950" t="s">
        <v>1531</v>
      </c>
      <c r="C994" s="322"/>
      <c r="D994" s="1619" t="s">
        <v>1849</v>
      </c>
      <c r="E994" s="1619"/>
      <c r="F994" s="1619"/>
      <c r="G994" s="572"/>
      <c r="H994" s="404"/>
      <c r="I994" s="404"/>
    </row>
    <row r="995" spans="1:9" ht="12.75">
      <c r="A995" s="355"/>
      <c r="B995" s="355"/>
      <c r="C995" s="322"/>
      <c r="D995" s="1619"/>
      <c r="E995" s="1619"/>
      <c r="F995" s="1619"/>
      <c r="G995" s="572"/>
      <c r="H995" s="404"/>
      <c r="I995" s="404"/>
    </row>
    <row r="996" spans="1:9" ht="12.75">
      <c r="A996" s="355"/>
      <c r="B996" s="355"/>
      <c r="C996" s="322"/>
      <c r="D996" s="1619"/>
      <c r="E996" s="1619"/>
      <c r="F996" s="1619"/>
      <c r="G996" s="572"/>
      <c r="H996" s="404"/>
      <c r="I996" s="404"/>
    </row>
    <row r="997" spans="1:9" ht="12.75">
      <c r="A997" s="355"/>
      <c r="B997" s="355"/>
      <c r="C997" s="322"/>
      <c r="D997" s="1619"/>
      <c r="E997" s="1619"/>
      <c r="F997" s="1619"/>
      <c r="G997" s="572"/>
      <c r="H997" s="404"/>
      <c r="I997" s="404"/>
    </row>
    <row r="998" spans="1:9" ht="12.75">
      <c r="A998" s="355"/>
      <c r="B998" s="355"/>
      <c r="C998" s="322"/>
      <c r="D998" s="1619"/>
      <c r="E998" s="1619"/>
      <c r="F998" s="1619"/>
      <c r="G998" s="572"/>
      <c r="H998" s="404"/>
      <c r="I998" s="404"/>
    </row>
    <row r="999" spans="1:9" ht="12.75">
      <c r="A999" s="355"/>
      <c r="B999" s="355"/>
      <c r="C999" s="322"/>
      <c r="E999" s="282"/>
      <c r="F999" s="282"/>
      <c r="G999" s="572"/>
      <c r="H999" s="404"/>
      <c r="I999" s="404"/>
    </row>
    <row r="1000" spans="1:9" ht="14.25">
      <c r="A1000" s="413"/>
      <c r="B1000" s="1544" t="s">
        <v>136</v>
      </c>
      <c r="C1000" s="322"/>
      <c r="D1000" s="1619" t="s">
        <v>1850</v>
      </c>
      <c r="E1000" s="1619"/>
      <c r="F1000" s="1619"/>
      <c r="G1000" s="572"/>
      <c r="H1000" s="404"/>
      <c r="I1000" s="404"/>
    </row>
    <row r="1001" spans="1:9" ht="12.75">
      <c r="A1001" s="355"/>
      <c r="B1001" s="355"/>
      <c r="C1001" s="322"/>
      <c r="D1001" s="1619"/>
      <c r="E1001" s="1619"/>
      <c r="F1001" s="1619"/>
      <c r="G1001" s="572"/>
      <c r="H1001" s="404"/>
      <c r="I1001" s="404"/>
    </row>
    <row r="1002" spans="1:9" ht="12.75">
      <c r="A1002" s="355"/>
      <c r="B1002" s="355"/>
      <c r="C1002" s="322"/>
      <c r="D1002" s="1619"/>
      <c r="E1002" s="1619"/>
      <c r="F1002" s="1619"/>
      <c r="G1002" s="572"/>
      <c r="H1002" s="404"/>
      <c r="I1002" s="404"/>
    </row>
    <row r="1003" spans="1:9" ht="12.75">
      <c r="A1003" s="355"/>
      <c r="B1003" s="355"/>
      <c r="C1003" s="322"/>
      <c r="D1003" s="1619"/>
      <c r="E1003" s="1619"/>
      <c r="F1003" s="1619"/>
      <c r="G1003" s="572"/>
      <c r="H1003" s="404"/>
      <c r="I1003" s="404"/>
    </row>
    <row r="1004" spans="1:9" ht="12.75">
      <c r="A1004" s="355"/>
      <c r="B1004" s="355"/>
      <c r="C1004" s="322"/>
      <c r="D1004" s="1619"/>
      <c r="E1004" s="1619"/>
      <c r="F1004" s="1619"/>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2" t="s">
        <v>1657</v>
      </c>
      <c r="E1006" s="1582"/>
      <c r="F1006" s="1582"/>
      <c r="G1006" s="572"/>
      <c r="H1006" s="404"/>
      <c r="I1006" s="404"/>
    </row>
    <row r="1007" spans="1:9" ht="12.75">
      <c r="A1007" s="355"/>
      <c r="B1007" s="355"/>
      <c r="C1007" s="322"/>
      <c r="D1007" s="1014"/>
      <c r="E1007" s="296"/>
      <c r="F1007" s="296"/>
      <c r="G1007" s="572"/>
      <c r="H1007" s="404"/>
      <c r="I1007" s="404"/>
    </row>
    <row r="1008" spans="1:9" ht="14.25">
      <c r="A1008" s="413"/>
      <c r="B1008" s="950" t="s">
        <v>1531</v>
      </c>
      <c r="C1008" s="322"/>
      <c r="D1008" s="1619" t="s">
        <v>1856</v>
      </c>
      <c r="E1008" s="1619"/>
      <c r="F1008" s="1619"/>
      <c r="G1008" s="572"/>
      <c r="H1008" s="404"/>
      <c r="I1008" s="404"/>
    </row>
    <row r="1009" spans="1:9" ht="12.75">
      <c r="A1009" s="355"/>
      <c r="B1009" s="355"/>
      <c r="C1009" s="322"/>
      <c r="D1009" s="1619"/>
      <c r="E1009" s="1619"/>
      <c r="F1009" s="1619"/>
      <c r="G1009" s="572"/>
      <c r="H1009" s="404"/>
      <c r="I1009" s="404"/>
    </row>
    <row r="1010" spans="1:9" ht="12.75">
      <c r="A1010" s="355"/>
      <c r="B1010" s="355"/>
      <c r="C1010" s="322"/>
      <c r="D1010" s="1619"/>
      <c r="E1010" s="1619"/>
      <c r="F1010" s="1619"/>
      <c r="G1010" s="572"/>
      <c r="H1010" s="404"/>
      <c r="I1010" s="404"/>
    </row>
    <row r="1011" spans="1:9" ht="12.75">
      <c r="A1011" s="355"/>
      <c r="B1011" s="355"/>
      <c r="C1011" s="322"/>
      <c r="E1011" s="282"/>
      <c r="F1011" s="282"/>
      <c r="G1011" s="572"/>
      <c r="H1011" s="404"/>
      <c r="I1011" s="404"/>
    </row>
    <row r="1012" spans="1:9" ht="14.25">
      <c r="A1012" s="413"/>
      <c r="B1012" s="1544" t="s">
        <v>136</v>
      </c>
      <c r="C1012" s="322"/>
      <c r="D1012" s="1619" t="s">
        <v>1857</v>
      </c>
      <c r="E1012" s="1619"/>
      <c r="F1012" s="1619"/>
      <c r="G1012" s="572"/>
      <c r="H1012" s="404"/>
      <c r="I1012" s="404"/>
    </row>
    <row r="1013" spans="1:9" ht="12.75">
      <c r="A1013" s="355"/>
      <c r="B1013" s="355"/>
      <c r="C1013" s="322"/>
      <c r="D1013" s="1619"/>
      <c r="E1013" s="1619"/>
      <c r="F1013" s="1619"/>
      <c r="G1013" s="572"/>
      <c r="H1013" s="404"/>
      <c r="I1013" s="404"/>
    </row>
    <row r="1014" spans="1:9" ht="12.75">
      <c r="A1014" s="355"/>
      <c r="B1014" s="355"/>
      <c r="C1014" s="322"/>
      <c r="D1014" s="1619"/>
      <c r="E1014" s="1619"/>
      <c r="F1014" s="1619"/>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2" t="s">
        <v>1658</v>
      </c>
      <c r="E1016" s="1582"/>
      <c r="F1016" s="1582"/>
      <c r="G1016" s="572"/>
      <c r="H1016" s="404"/>
      <c r="I1016" s="404"/>
    </row>
    <row r="1017" spans="1:9" ht="12.75">
      <c r="A1017" s="355"/>
      <c r="B1017" s="355"/>
      <c r="C1017" s="322"/>
      <c r="D1017" s="1014"/>
      <c r="E1017" s="296"/>
      <c r="F1017" s="296"/>
      <c r="G1017" s="572"/>
      <c r="H1017" s="404"/>
      <c r="I1017" s="404"/>
    </row>
    <row r="1018" spans="1:9" ht="14.25" customHeight="1">
      <c r="A1018" s="413"/>
      <c r="B1018" s="950" t="s">
        <v>1531</v>
      </c>
      <c r="C1018" s="322"/>
      <c r="D1018" s="1623" t="s">
        <v>1859</v>
      </c>
      <c r="E1018" s="1623"/>
      <c r="F1018" s="1623"/>
      <c r="G1018" s="477"/>
      <c r="H1018" s="480"/>
      <c r="I1018" s="480"/>
    </row>
    <row r="1019" spans="1:9" ht="12.75">
      <c r="A1019" s="355"/>
      <c r="B1019" s="355"/>
      <c r="C1019" s="322"/>
      <c r="D1019" s="1623"/>
      <c r="E1019" s="1623"/>
      <c r="F1019" s="1623"/>
      <c r="G1019" s="477"/>
      <c r="H1019" s="480"/>
      <c r="I1019" s="480"/>
    </row>
    <row r="1020" spans="1:9" ht="12.75">
      <c r="A1020" s="355"/>
      <c r="B1020" s="355"/>
      <c r="C1020" s="322"/>
      <c r="D1020" s="1623"/>
      <c r="E1020" s="1623"/>
      <c r="F1020" s="1623"/>
      <c r="G1020" s="477"/>
      <c r="H1020" s="480"/>
      <c r="I1020" s="480"/>
    </row>
    <row r="1021" spans="1:9" ht="12" customHeight="1">
      <c r="A1021" s="355"/>
      <c r="B1021" s="355"/>
      <c r="C1021" s="322"/>
      <c r="D1021" s="480"/>
      <c r="E1021" s="480"/>
      <c r="F1021" s="480"/>
      <c r="G1021" s="480"/>
      <c r="H1021" s="480"/>
      <c r="I1021" s="480"/>
    </row>
    <row r="1022" spans="1:9" ht="12.75" customHeight="1">
      <c r="A1022" s="355"/>
      <c r="B1022" s="1544" t="s">
        <v>136</v>
      </c>
      <c r="C1022" s="322"/>
      <c r="D1022" s="1623" t="s">
        <v>1858</v>
      </c>
      <c r="E1022" s="1623"/>
      <c r="F1022" s="1623"/>
      <c r="G1022" s="480"/>
      <c r="H1022" s="404"/>
      <c r="I1022" s="404"/>
    </row>
    <row r="1023" spans="1:9" ht="12.75">
      <c r="A1023" s="355"/>
      <c r="B1023" s="355"/>
      <c r="C1023" s="322"/>
      <c r="D1023" s="1623"/>
      <c r="E1023" s="1623"/>
      <c r="F1023" s="1623"/>
      <c r="G1023" s="480"/>
      <c r="H1023" s="404"/>
      <c r="I1023" s="404"/>
    </row>
    <row r="1024" spans="1:9" ht="12.75">
      <c r="A1024" s="355"/>
      <c r="B1024" s="355"/>
      <c r="C1024" s="322"/>
      <c r="D1024" s="1623"/>
      <c r="E1024" s="1623"/>
      <c r="F1024" s="1623"/>
      <c r="G1024" s="480"/>
      <c r="H1024" s="404"/>
      <c r="I1024" s="404"/>
    </row>
    <row r="1025" spans="1:9" ht="12" customHeight="1">
      <c r="A1025" s="355"/>
      <c r="B1025" s="355"/>
      <c r="C1025" s="322"/>
      <c r="D1025" s="287"/>
      <c r="E1025" s="296"/>
      <c r="F1025" s="296"/>
      <c r="G1025" s="572"/>
      <c r="H1025" s="404"/>
      <c r="I1025" s="404"/>
    </row>
    <row r="1026" spans="1:9" ht="12.75" customHeight="1">
      <c r="A1026" s="355"/>
      <c r="B1026" s="1544" t="s">
        <v>136</v>
      </c>
      <c r="C1026" s="322"/>
      <c r="D1026" s="1677" t="s">
        <v>1860</v>
      </c>
      <c r="E1026" s="1677"/>
      <c r="F1026" s="1677"/>
      <c r="G1026" s="564"/>
      <c r="H1026" s="404"/>
      <c r="I1026" s="404"/>
    </row>
    <row r="1027" spans="1:9" ht="12.75">
      <c r="A1027" s="355"/>
      <c r="B1027" s="355"/>
      <c r="C1027" s="322"/>
      <c r="D1027" s="1677"/>
      <c r="E1027" s="1677"/>
      <c r="F1027" s="1677"/>
      <c r="G1027" s="564"/>
      <c r="H1027" s="404"/>
      <c r="I1027" s="404"/>
    </row>
    <row r="1028" spans="1:9" ht="12.75">
      <c r="A1028" s="355"/>
      <c r="B1028" s="355"/>
      <c r="C1028" s="322"/>
      <c r="D1028" s="1677"/>
      <c r="E1028" s="1677"/>
      <c r="F1028" s="1677"/>
      <c r="G1028" s="564"/>
      <c r="H1028" s="404"/>
      <c r="I1028" s="404"/>
    </row>
    <row r="1029" spans="1:9" ht="12" customHeight="1">
      <c r="A1029" s="355"/>
      <c r="B1029" s="355"/>
      <c r="C1029" s="322"/>
      <c r="D1029" s="296"/>
      <c r="E1029" s="296"/>
      <c r="F1029" s="296"/>
      <c r="G1029" s="572"/>
      <c r="H1029" s="404"/>
      <c r="I1029" s="404"/>
    </row>
    <row r="1030" spans="1:9" ht="12.75" customHeight="1">
      <c r="A1030" s="355"/>
      <c r="B1030" s="1544" t="s">
        <v>136</v>
      </c>
      <c r="C1030" s="322"/>
      <c r="D1030" s="1623" t="s">
        <v>1861</v>
      </c>
      <c r="E1030" s="1623"/>
      <c r="F1030" s="1623"/>
      <c r="G1030" s="564"/>
      <c r="H1030" s="564"/>
      <c r="I1030" s="564"/>
    </row>
    <row r="1031" spans="1:9" ht="12.75">
      <c r="A1031" s="355"/>
      <c r="B1031" s="355"/>
      <c r="C1031" s="322"/>
      <c r="D1031" s="1623"/>
      <c r="E1031" s="1623"/>
      <c r="F1031" s="1623"/>
      <c r="G1031" s="564"/>
      <c r="H1031" s="564"/>
      <c r="I1031" s="564"/>
    </row>
    <row r="1032" spans="1:9" ht="12.75">
      <c r="A1032" s="355"/>
      <c r="B1032" s="355"/>
      <c r="C1032" s="322"/>
      <c r="D1032" s="1623"/>
      <c r="E1032" s="1623"/>
      <c r="F1032" s="1623"/>
      <c r="G1032" s="564"/>
      <c r="H1032" s="564"/>
      <c r="I1032" s="564"/>
    </row>
    <row r="1033" spans="1:9" ht="14.25">
      <c r="A1033" s="413"/>
      <c r="B1033" s="413"/>
      <c r="C1033" s="322"/>
      <c r="D1033" s="287"/>
      <c r="E1033" s="296"/>
      <c r="F1033" s="296"/>
      <c r="G1033" s="572"/>
      <c r="H1033" s="404"/>
      <c r="I1033" s="404"/>
    </row>
    <row r="1034" spans="1:9" ht="12.75" customHeight="1">
      <c r="A1034" s="355"/>
      <c r="B1034" s="1544" t="s">
        <v>136</v>
      </c>
      <c r="C1034" s="322"/>
      <c r="D1034" s="1623" t="s">
        <v>1862</v>
      </c>
      <c r="E1034" s="1623"/>
      <c r="F1034" s="1623"/>
      <c r="G1034" s="564"/>
      <c r="H1034" s="564"/>
      <c r="I1034" s="564"/>
    </row>
    <row r="1035" spans="1:9" ht="12.75">
      <c r="A1035" s="355"/>
      <c r="B1035" s="355"/>
      <c r="C1035" s="322"/>
      <c r="D1035" s="1623"/>
      <c r="E1035" s="1623"/>
      <c r="F1035" s="1623"/>
      <c r="G1035" s="564"/>
      <c r="H1035" s="564"/>
      <c r="I1035" s="564"/>
    </row>
    <row r="1036" spans="1:9" ht="12.75">
      <c r="A1036" s="355"/>
      <c r="B1036" s="355"/>
      <c r="C1036" s="322"/>
      <c r="D1036" s="1623"/>
      <c r="E1036" s="1623"/>
      <c r="F1036" s="1623"/>
      <c r="G1036" s="564"/>
      <c r="H1036" s="564"/>
      <c r="I1036" s="564"/>
    </row>
    <row r="1037" spans="1:9" ht="12.75">
      <c r="A1037" s="355"/>
      <c r="B1037" s="355"/>
      <c r="C1037" s="322"/>
      <c r="D1037" s="287"/>
      <c r="E1037" s="296"/>
      <c r="F1037" s="296"/>
      <c r="G1037" s="572"/>
      <c r="H1037" s="404"/>
      <c r="I1037" s="404"/>
    </row>
    <row r="1038" spans="1:9" ht="12.75" customHeight="1">
      <c r="A1038" s="355"/>
      <c r="B1038" s="1544" t="s">
        <v>136</v>
      </c>
      <c r="C1038" s="322"/>
      <c r="D1038" s="1623" t="s">
        <v>1659</v>
      </c>
      <c r="E1038" s="1623"/>
      <c r="F1038" s="1623"/>
      <c r="G1038" s="477"/>
      <c r="H1038" s="404"/>
      <c r="I1038" s="404"/>
    </row>
    <row r="1039" spans="1:9" ht="12.75">
      <c r="A1039" s="355"/>
      <c r="B1039" s="355"/>
      <c r="C1039" s="322"/>
      <c r="D1039" s="1623"/>
      <c r="E1039" s="1623"/>
      <c r="F1039" s="1623"/>
      <c r="G1039" s="477"/>
      <c r="H1039" s="404"/>
      <c r="I1039" s="404"/>
    </row>
    <row r="1040" spans="1:9" ht="12.75">
      <c r="A1040" s="355"/>
      <c r="B1040" s="355"/>
      <c r="C1040" s="322"/>
      <c r="D1040" s="1623"/>
      <c r="E1040" s="1623"/>
      <c r="F1040" s="1623"/>
      <c r="G1040" s="477"/>
      <c r="H1040" s="404"/>
      <c r="I1040" s="404"/>
    </row>
    <row r="1041" spans="1:9" ht="12.75">
      <c r="A1041" s="355"/>
      <c r="B1041" s="355"/>
      <c r="C1041" s="322"/>
      <c r="D1041" s="477"/>
      <c r="E1041" s="477"/>
      <c r="F1041" s="477"/>
      <c r="G1041" s="477"/>
      <c r="H1041" s="404"/>
      <c r="I1041" s="404"/>
    </row>
    <row r="1042" spans="1:9" ht="12.75" customHeight="1">
      <c r="A1042" s="355"/>
      <c r="B1042" s="1544" t="s">
        <v>136</v>
      </c>
      <c r="C1042" s="322"/>
      <c r="D1042" s="1623" t="s">
        <v>1660</v>
      </c>
      <c r="E1042" s="1623"/>
      <c r="F1042" s="1623"/>
      <c r="G1042" s="477"/>
      <c r="H1042" s="404"/>
      <c r="I1042" s="404"/>
    </row>
    <row r="1043" spans="1:9" ht="12.75">
      <c r="A1043" s="355"/>
      <c r="B1043" s="355"/>
      <c r="C1043" s="322"/>
      <c r="D1043" s="1623"/>
      <c r="E1043" s="1623"/>
      <c r="F1043" s="1623"/>
      <c r="G1043" s="477"/>
      <c r="H1043" s="404"/>
      <c r="I1043" s="404"/>
    </row>
    <row r="1044" spans="1:9" ht="12.75">
      <c r="A1044" s="355"/>
      <c r="B1044" s="355"/>
      <c r="C1044" s="322"/>
      <c r="D1044" s="1623"/>
      <c r="E1044" s="1623"/>
      <c r="F1044" s="1623"/>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24" t="s">
        <v>1247</v>
      </c>
      <c r="E1046" s="1624"/>
      <c r="F1046" s="1624"/>
      <c r="G1046" s="948"/>
      <c r="H1046" s="404"/>
      <c r="I1046" s="404"/>
    </row>
    <row r="1047" spans="1:9" ht="12.75">
      <c r="A1047" s="579"/>
      <c r="B1047" s="579"/>
      <c r="C1047" s="405"/>
      <c r="D1047" s="1624"/>
      <c r="E1047" s="1624"/>
      <c r="F1047" s="1624"/>
      <c r="G1047" s="948"/>
      <c r="H1047" s="404"/>
      <c r="I1047" s="404"/>
    </row>
    <row r="1048" spans="1:9" ht="12.75">
      <c r="A1048" s="579"/>
      <c r="B1048" s="579"/>
      <c r="C1048" s="405"/>
      <c r="D1048" s="1624"/>
      <c r="E1048" s="1624"/>
      <c r="F1048" s="1624"/>
      <c r="G1048" s="948"/>
      <c r="H1048" s="404"/>
      <c r="I1048" s="404"/>
    </row>
    <row r="1049" spans="1:9" ht="12.75">
      <c r="A1049" s="579"/>
      <c r="B1049" s="579"/>
      <c r="C1049" s="405"/>
      <c r="D1049" s="1624"/>
      <c r="E1049" s="1624"/>
      <c r="F1049" s="1624"/>
      <c r="G1049" s="948"/>
      <c r="H1049" s="404"/>
      <c r="I1049" s="404"/>
    </row>
    <row r="1050" spans="1:9" ht="12.75">
      <c r="A1050" s="579"/>
      <c r="B1050" s="579"/>
      <c r="C1050" s="405"/>
      <c r="D1050" s="1624"/>
      <c r="E1050" s="1624"/>
      <c r="F1050" s="1624"/>
      <c r="G1050" s="948"/>
      <c r="H1050" s="404"/>
      <c r="I1050" s="404"/>
    </row>
    <row r="1051" spans="1:9" ht="12.75">
      <c r="A1051" s="579"/>
      <c r="B1051" s="579"/>
      <c r="C1051" s="405"/>
      <c r="D1051" s="1624"/>
      <c r="E1051" s="1624"/>
      <c r="F1051" s="1624"/>
      <c r="G1051" s="948"/>
      <c r="H1051" s="404"/>
      <c r="I1051" s="404"/>
    </row>
    <row r="1052" spans="1:9" ht="12.75">
      <c r="A1052" s="579"/>
      <c r="B1052" s="579"/>
      <c r="C1052" s="405"/>
      <c r="D1052" s="1624"/>
      <c r="E1052" s="1624"/>
      <c r="F1052" s="1624"/>
      <c r="G1052" s="948"/>
      <c r="H1052" s="404"/>
      <c r="I1052" s="404"/>
    </row>
    <row r="1053" spans="1:9" ht="12.75">
      <c r="A1053" s="579"/>
      <c r="B1053" s="579"/>
      <c r="C1053" s="405"/>
      <c r="D1053" s="1624"/>
      <c r="E1053" s="1624"/>
      <c r="F1053" s="1624"/>
      <c r="G1053" s="948"/>
      <c r="H1053" s="404"/>
      <c r="I1053" s="404"/>
    </row>
    <row r="1054" spans="1:9" ht="12.75">
      <c r="A1054" s="579"/>
      <c r="B1054" s="579"/>
      <c r="C1054" s="405"/>
      <c r="D1054" s="1624"/>
      <c r="E1054" s="1624"/>
      <c r="F1054" s="1624"/>
      <c r="G1054" s="948"/>
      <c r="H1054" s="404"/>
      <c r="I1054" s="404"/>
    </row>
    <row r="1055" spans="1:9" ht="12.75">
      <c r="A1055" s="579"/>
      <c r="B1055" s="579"/>
      <c r="C1055" s="405"/>
      <c r="D1055" s="1624"/>
      <c r="E1055" s="1624"/>
      <c r="F1055" s="1624"/>
      <c r="G1055" s="948"/>
      <c r="H1055" s="404"/>
      <c r="I1055" s="404"/>
    </row>
    <row r="1056" spans="1:9" ht="27.6" customHeight="1">
      <c r="A1056" s="579"/>
      <c r="B1056" s="579"/>
      <c r="C1056" s="405"/>
      <c r="D1056" s="1624"/>
      <c r="E1056" s="1624"/>
      <c r="F1056" s="1624"/>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2" t="s">
        <v>1661</v>
      </c>
      <c r="E1058" s="1582"/>
      <c r="F1058" s="1582"/>
      <c r="G1058" s="664"/>
      <c r="H1058" s="404"/>
      <c r="I1058" s="404"/>
    </row>
    <row r="1059" spans="1:9" ht="12.75" customHeight="1">
      <c r="A1059" s="355"/>
      <c r="B1059" s="355"/>
      <c r="C1059" s="322"/>
      <c r="D1059" s="1014"/>
      <c r="E1059" s="1011"/>
      <c r="F1059" s="1011"/>
      <c r="G1059" s="664"/>
      <c r="H1059" s="404"/>
      <c r="I1059" s="404"/>
    </row>
    <row r="1060" spans="1:9" ht="14.25">
      <c r="A1060" s="413"/>
      <c r="B1060" s="1544" t="s">
        <v>136</v>
      </c>
      <c r="C1060" s="322"/>
      <c r="D1060" s="1575" t="s">
        <v>1863</v>
      </c>
      <c r="E1060" s="1575"/>
      <c r="F1060" s="1575"/>
      <c r="G1060" s="572"/>
      <c r="H1060" s="404"/>
      <c r="I1060" s="404"/>
    </row>
    <row r="1061" spans="1:9" ht="12.75">
      <c r="A1061" s="355"/>
      <c r="B1061" s="355"/>
      <c r="C1061" s="322"/>
      <c r="D1061" s="1575"/>
      <c r="E1061" s="1575"/>
      <c r="F1061" s="1575"/>
      <c r="G1061" s="572"/>
      <c r="H1061" s="404"/>
      <c r="I1061" s="404"/>
    </row>
    <row r="1062" spans="1:9" ht="12.75">
      <c r="A1062" s="355"/>
      <c r="B1062" s="355"/>
      <c r="C1062" s="322"/>
      <c r="D1062" s="1575"/>
      <c r="E1062" s="1575"/>
      <c r="F1062" s="1575"/>
      <c r="G1062" s="572"/>
      <c r="H1062" s="404"/>
      <c r="I1062" s="404"/>
    </row>
    <row r="1063" spans="1:9" ht="12.75">
      <c r="A1063" s="355"/>
      <c r="B1063" s="355"/>
      <c r="C1063" s="322"/>
      <c r="D1063" s="1575"/>
      <c r="E1063" s="1575"/>
      <c r="F1063" s="1575"/>
      <c r="G1063" s="572"/>
      <c r="H1063" s="404"/>
      <c r="I1063" s="404"/>
    </row>
    <row r="1064" spans="1:9" ht="12.75">
      <c r="A1064" s="355"/>
      <c r="B1064" s="355"/>
      <c r="C1064" s="322"/>
      <c r="D1064" s="296"/>
      <c r="E1064" s="296"/>
      <c r="F1064" s="296"/>
      <c r="G1064" s="572"/>
      <c r="H1064" s="404"/>
      <c r="I1064" s="404"/>
    </row>
    <row r="1065" spans="1:9" ht="14.25">
      <c r="A1065" s="413"/>
      <c r="B1065" s="1544" t="s">
        <v>136</v>
      </c>
      <c r="C1065" s="322"/>
      <c r="D1065" s="1575" t="s">
        <v>1864</v>
      </c>
      <c r="E1065" s="1575"/>
      <c r="F1065" s="1575"/>
      <c r="G1065" s="572"/>
      <c r="H1065" s="404"/>
      <c r="I1065" s="404"/>
    </row>
    <row r="1066" spans="1:9" ht="12.75">
      <c r="A1066" s="355"/>
      <c r="B1066" s="355"/>
      <c r="C1066" s="322"/>
      <c r="D1066" s="1575"/>
      <c r="E1066" s="1575"/>
      <c r="F1066" s="1575"/>
      <c r="G1066" s="572"/>
      <c r="H1066" s="404"/>
      <c r="I1066" s="404"/>
    </row>
    <row r="1067" spans="1:9" ht="12.75">
      <c r="A1067" s="355"/>
      <c r="B1067" s="355"/>
      <c r="C1067" s="322"/>
      <c r="D1067" s="1575"/>
      <c r="E1067" s="1575"/>
      <c r="F1067" s="1575"/>
      <c r="G1067" s="572"/>
      <c r="H1067" s="404"/>
      <c r="I1067" s="404"/>
    </row>
    <row r="1068" spans="1:9" ht="12.75">
      <c r="A1068" s="355"/>
      <c r="B1068" s="355"/>
      <c r="C1068" s="322"/>
      <c r="D1068" s="1575"/>
      <c r="E1068" s="1575"/>
      <c r="F1068" s="1575"/>
      <c r="G1068" s="572"/>
      <c r="H1068" s="404"/>
      <c r="I1068" s="404"/>
    </row>
    <row r="1069" spans="1:9" ht="12.75">
      <c r="A1069" s="355"/>
      <c r="B1069" s="355"/>
      <c r="C1069" s="322"/>
      <c r="D1069" s="296"/>
      <c r="E1069" s="296"/>
      <c r="F1069" s="296"/>
      <c r="G1069" s="572"/>
    </row>
    <row r="1070" spans="1:9" ht="12.75">
      <c r="A1070" s="355"/>
      <c r="B1070" s="1544" t="s">
        <v>136</v>
      </c>
      <c r="C1070" s="322"/>
      <c r="D1070" s="1643" t="s">
        <v>1865</v>
      </c>
      <c r="E1070" s="1643"/>
      <c r="F1070" s="1643"/>
      <c r="G1070" s="572"/>
    </row>
    <row r="1071" spans="1:9" ht="12.75">
      <c r="A1071" s="355"/>
      <c r="B1071" s="355"/>
      <c r="C1071" s="322"/>
      <c r="D1071" s="1643"/>
      <c r="E1071" s="1643"/>
      <c r="F1071" s="1643"/>
      <c r="G1071" s="572"/>
    </row>
    <row r="1072" spans="1:9" ht="12.75">
      <c r="A1072" s="355"/>
      <c r="B1072" s="355"/>
      <c r="C1072" s="322"/>
      <c r="D1072" s="1643"/>
      <c r="E1072" s="1643"/>
      <c r="F1072" s="1643"/>
      <c r="G1072" s="572"/>
    </row>
    <row r="1073" spans="1:7" ht="12.75">
      <c r="A1073" s="355"/>
      <c r="B1073" s="355"/>
      <c r="C1073" s="322"/>
      <c r="D1073" s="296"/>
      <c r="E1073" s="296"/>
      <c r="F1073" s="296"/>
      <c r="G1073" s="572"/>
    </row>
    <row r="1074" spans="1:7" ht="14.25">
      <c r="A1074" s="413"/>
      <c r="B1074" s="1544" t="s">
        <v>136</v>
      </c>
      <c r="C1074" s="680"/>
      <c r="D1074" s="1644" t="s">
        <v>1866</v>
      </c>
      <c r="E1074" s="1644"/>
      <c r="F1074" s="1644"/>
      <c r="G1074" s="712"/>
    </row>
    <row r="1075" spans="1:7" ht="12.75">
      <c r="A1075" s="679"/>
      <c r="B1075" s="679"/>
      <c r="C1075" s="680"/>
      <c r="D1075" s="1644"/>
      <c r="E1075" s="1644"/>
      <c r="F1075" s="1644"/>
      <c r="G1075" s="712"/>
    </row>
    <row r="1076" spans="1:7" ht="12.75">
      <c r="A1076" s="679"/>
      <c r="B1076" s="679"/>
      <c r="C1076" s="680"/>
      <c r="D1076" s="1644"/>
      <c r="E1076" s="1644"/>
      <c r="F1076" s="1644"/>
      <c r="G1076" s="712"/>
    </row>
    <row r="1077" spans="1:7" ht="12.75">
      <c r="A1077" s="355"/>
      <c r="B1077" s="355"/>
      <c r="C1077" s="322"/>
      <c r="D1077" s="296"/>
      <c r="E1077" s="296"/>
      <c r="F1077" s="296"/>
      <c r="G1077" s="572"/>
    </row>
    <row r="1078" spans="1:7" ht="12.75">
      <c r="A1078" s="14"/>
      <c r="B1078" s="14"/>
      <c r="C1078" s="322"/>
      <c r="D1078" s="1582" t="s">
        <v>1662</v>
      </c>
      <c r="E1078" s="1582"/>
      <c r="F1078" s="1582"/>
      <c r="G1078" s="572"/>
    </row>
    <row r="1079" spans="1:7" ht="12.75">
      <c r="A1079" s="14"/>
      <c r="B1079" s="14"/>
      <c r="C1079" s="322"/>
      <c r="D1079" s="1014"/>
      <c r="E1079" s="296"/>
      <c r="F1079" s="296"/>
      <c r="G1079" s="572"/>
    </row>
    <row r="1080" spans="1:7" ht="12.75">
      <c r="A1080" s="355"/>
      <c r="B1080" s="950" t="s">
        <v>1531</v>
      </c>
      <c r="C1080" s="322"/>
      <c r="D1080" s="1619" t="s">
        <v>1867</v>
      </c>
      <c r="E1080" s="1619"/>
      <c r="F1080" s="1619"/>
      <c r="G1080" s="572"/>
    </row>
    <row r="1081" spans="1:7" ht="12.75">
      <c r="A1081" s="355"/>
      <c r="B1081" s="355"/>
      <c r="C1081" s="322"/>
      <c r="D1081" s="1619"/>
      <c r="E1081" s="1619"/>
      <c r="F1081" s="1619"/>
      <c r="G1081" s="572"/>
    </row>
    <row r="1082" spans="1:7" ht="12.75">
      <c r="A1082" s="355"/>
      <c r="B1082" s="355"/>
      <c r="C1082" s="322"/>
      <c r="D1082" s="1619"/>
      <c r="E1082" s="1619"/>
      <c r="F1082" s="1619"/>
      <c r="G1082" s="572"/>
    </row>
    <row r="1083" spans="1:7" ht="12.75">
      <c r="A1083" s="355"/>
      <c r="B1083" s="355"/>
      <c r="C1083" s="322"/>
      <c r="D1083" s="572"/>
      <c r="E1083" s="296"/>
      <c r="F1083" s="296"/>
      <c r="G1083" s="572"/>
    </row>
    <row r="1084" spans="1:7" ht="14.25">
      <c r="A1084" s="413"/>
      <c r="B1084" s="1544" t="s">
        <v>136</v>
      </c>
      <c r="C1084" s="322"/>
      <c r="D1084" s="1619" t="s">
        <v>1868</v>
      </c>
      <c r="E1084" s="1619"/>
      <c r="F1084" s="1619"/>
      <c r="G1084" s="572"/>
    </row>
    <row r="1085" spans="1:7" ht="12.75">
      <c r="A1085" s="355"/>
      <c r="B1085" s="355"/>
      <c r="C1085" s="322"/>
      <c r="D1085" s="1619"/>
      <c r="E1085" s="1619"/>
      <c r="F1085" s="1619"/>
      <c r="G1085" s="572"/>
    </row>
    <row r="1086" spans="1:7" ht="12.75">
      <c r="A1086" s="355"/>
      <c r="B1086" s="355"/>
      <c r="C1086" s="322"/>
      <c r="D1086" s="1619"/>
      <c r="E1086" s="1619"/>
      <c r="F1086" s="1619"/>
      <c r="G1086" s="572"/>
    </row>
    <row r="1087" spans="1:7" ht="12.75">
      <c r="A1087" s="355"/>
      <c r="B1087" s="355"/>
      <c r="C1087" s="322"/>
      <c r="D1087" s="296"/>
      <c r="E1087" s="296"/>
      <c r="F1087" s="296"/>
      <c r="G1087" s="572"/>
    </row>
    <row r="1088" spans="1:7" ht="12.75">
      <c r="A1088" s="355"/>
      <c r="B1088" s="355"/>
      <c r="C1088" s="322"/>
      <c r="D1088" s="1582" t="s">
        <v>1238</v>
      </c>
      <c r="E1088" s="1582"/>
      <c r="F1088" s="1582"/>
      <c r="G1088" s="572"/>
    </row>
    <row r="1089" spans="1:7" ht="12.75">
      <c r="A1089" s="355"/>
      <c r="B1089" s="355"/>
      <c r="C1089" s="322"/>
      <c r="D1089" s="1577" t="s">
        <v>1663</v>
      </c>
      <c r="E1089" s="1577"/>
      <c r="F1089" s="1577"/>
      <c r="G1089" s="572"/>
    </row>
    <row r="1090" spans="1:7" ht="12.75">
      <c r="A1090" s="355"/>
      <c r="B1090" s="355"/>
      <c r="C1090" s="322"/>
      <c r="D1090" s="1015"/>
      <c r="E1090" s="296"/>
      <c r="F1090" s="296"/>
      <c r="G1090" s="572"/>
    </row>
    <row r="1091" spans="1:7" ht="14.25">
      <c r="A1091" s="413"/>
      <c r="B1091" s="1544" t="s">
        <v>136</v>
      </c>
      <c r="C1091" s="322"/>
      <c r="D1091" s="1575" t="s">
        <v>1869</v>
      </c>
      <c r="E1091" s="1575"/>
      <c r="F1091" s="1575"/>
      <c r="G1091" s="572"/>
    </row>
    <row r="1092" spans="1:7" ht="12.75">
      <c r="A1092" s="355"/>
      <c r="B1092" s="355"/>
      <c r="C1092" s="322"/>
      <c r="D1092" s="1575"/>
      <c r="E1092" s="1575"/>
      <c r="F1092" s="1575"/>
      <c r="G1092" s="572"/>
    </row>
    <row r="1093" spans="1:7" ht="12.75">
      <c r="A1093" s="355"/>
      <c r="B1093" s="355"/>
      <c r="C1093" s="322"/>
      <c r="D1093" s="296"/>
      <c r="E1093" s="296"/>
      <c r="F1093" s="296"/>
      <c r="G1093" s="572"/>
    </row>
    <row r="1094" spans="1:7" ht="14.25">
      <c r="A1094" s="413"/>
      <c r="B1094" s="1544" t="s">
        <v>136</v>
      </c>
      <c r="C1094" s="322"/>
      <c r="D1094" s="1575" t="s">
        <v>1870</v>
      </c>
      <c r="E1094" s="1575"/>
      <c r="F1094" s="1575"/>
      <c r="G1094" s="572"/>
    </row>
    <row r="1095" spans="1:7" ht="12.75">
      <c r="A1095" s="355"/>
      <c r="B1095" s="355"/>
      <c r="C1095" s="322"/>
      <c r="D1095" s="1575"/>
      <c r="E1095" s="1575"/>
      <c r="F1095" s="1575"/>
      <c r="G1095" s="572"/>
    </row>
    <row r="1096" spans="1:7" ht="12.75">
      <c r="A1096" s="355"/>
      <c r="B1096" s="355"/>
      <c r="C1096" s="322"/>
      <c r="D1096" s="282"/>
      <c r="E1096" s="296"/>
      <c r="F1096" s="296"/>
      <c r="G1096" s="572"/>
    </row>
    <row r="1097" spans="1:7" ht="12.75">
      <c r="A1097" s="355"/>
      <c r="B1097" s="355"/>
      <c r="C1097" s="322"/>
      <c r="D1097" s="1582" t="s">
        <v>1664</v>
      </c>
      <c r="E1097" s="1582"/>
      <c r="F1097" s="1582"/>
      <c r="G1097" s="572"/>
    </row>
    <row r="1098" spans="1:7" ht="12.75">
      <c r="A1098" s="355"/>
      <c r="B1098" s="355"/>
      <c r="C1098" s="322"/>
      <c r="D1098" s="1014"/>
      <c r="E1098" s="296"/>
      <c r="F1098" s="296"/>
      <c r="G1098" s="572"/>
    </row>
    <row r="1099" spans="1:7" ht="14.25">
      <c r="A1099" s="413"/>
      <c r="B1099" s="950" t="s">
        <v>1531</v>
      </c>
      <c r="C1099" s="322"/>
      <c r="D1099" s="1575" t="s">
        <v>1871</v>
      </c>
      <c r="E1099" s="1575"/>
      <c r="F1099" s="1575"/>
      <c r="G1099" s="572"/>
    </row>
    <row r="1100" spans="1:7" ht="12.75">
      <c r="A1100" s="355"/>
      <c r="B1100" s="355"/>
      <c r="C1100" s="322"/>
      <c r="D1100" s="1575"/>
      <c r="E1100" s="1575"/>
      <c r="F1100" s="1575"/>
      <c r="G1100" s="572"/>
    </row>
    <row r="1101" spans="1:7" ht="12.75">
      <c r="A1101" s="355"/>
      <c r="B1101" s="355"/>
      <c r="C1101" s="322"/>
      <c r="D1101" s="1575"/>
      <c r="E1101" s="1575"/>
      <c r="F1101" s="1575"/>
      <c r="G1101" s="572"/>
    </row>
    <row r="1102" spans="1:7" ht="12.75">
      <c r="A1102" s="355"/>
      <c r="B1102" s="355"/>
      <c r="C1102" s="322"/>
      <c r="D1102" s="1575"/>
      <c r="E1102" s="1575"/>
      <c r="F1102" s="1575"/>
      <c r="G1102" s="572"/>
    </row>
    <row r="1103" spans="1:7" ht="12.75">
      <c r="A1103" s="355"/>
      <c r="B1103" s="355"/>
      <c r="C1103" s="322"/>
      <c r="D1103" s="1575"/>
      <c r="E1103" s="1575"/>
      <c r="F1103" s="1575"/>
      <c r="G1103" s="572"/>
    </row>
    <row r="1104" spans="1:7" ht="12.75">
      <c r="A1104" s="355"/>
      <c r="B1104" s="355"/>
      <c r="C1104" s="322"/>
      <c r="D1104" s="1575"/>
      <c r="E1104" s="1575"/>
      <c r="F1104" s="1575"/>
      <c r="G1104" s="572"/>
    </row>
    <row r="1105" spans="1:7" ht="12.75">
      <c r="A1105" s="355"/>
      <c r="B1105" s="355"/>
      <c r="C1105" s="322"/>
      <c r="D1105" s="1575"/>
      <c r="E1105" s="1575"/>
      <c r="F1105" s="1575"/>
      <c r="G1105" s="572"/>
    </row>
    <row r="1106" spans="1:7" ht="12.75">
      <c r="A1106" s="355"/>
      <c r="B1106" s="355"/>
      <c r="C1106" s="322"/>
      <c r="D1106" s="296"/>
      <c r="E1106" s="296"/>
      <c r="F1106" s="296"/>
      <c r="G1106" s="572"/>
    </row>
    <row r="1107" spans="1:7" ht="14.25">
      <c r="A1107" s="413"/>
      <c r="B1107" s="1544" t="s">
        <v>136</v>
      </c>
      <c r="C1107" s="322"/>
      <c r="D1107" s="1575" t="s">
        <v>1872</v>
      </c>
      <c r="E1107" s="1575"/>
      <c r="F1107" s="1575"/>
      <c r="G1107" s="572"/>
    </row>
    <row r="1108" spans="1:7" ht="12.75">
      <c r="A1108" s="355"/>
      <c r="B1108" s="355"/>
      <c r="C1108" s="322"/>
      <c r="D1108" s="1575"/>
      <c r="E1108" s="1575"/>
      <c r="F1108" s="1575"/>
      <c r="G1108" s="572"/>
    </row>
    <row r="1109" spans="1:7" ht="12.75">
      <c r="A1109" s="355"/>
      <c r="B1109" s="355"/>
      <c r="C1109" s="322"/>
      <c r="D1109" s="1575"/>
      <c r="E1109" s="1575"/>
      <c r="F1109" s="1575"/>
      <c r="G1109" s="572"/>
    </row>
    <row r="1110" spans="1:7" ht="12.75">
      <c r="A1110" s="355"/>
      <c r="B1110" s="355"/>
      <c r="C1110" s="322"/>
      <c r="D1110" s="1575"/>
      <c r="E1110" s="1575"/>
      <c r="F1110" s="1575"/>
      <c r="G1110" s="572"/>
    </row>
    <row r="1111" spans="1:7" ht="12.75">
      <c r="A1111" s="355"/>
      <c r="B1111" s="355"/>
      <c r="C1111" s="322"/>
      <c r="D1111" s="1575"/>
      <c r="E1111" s="1575"/>
      <c r="F1111" s="1575"/>
      <c r="G1111" s="572"/>
    </row>
    <row r="1112" spans="1:7" ht="12.75">
      <c r="A1112" s="355"/>
      <c r="B1112" s="355"/>
      <c r="C1112" s="322"/>
      <c r="D1112" s="1575"/>
      <c r="E1112" s="1575"/>
      <c r="F1112" s="1575"/>
      <c r="G1112" s="572"/>
    </row>
    <row r="1113" spans="1:7" ht="12.75">
      <c r="A1113" s="355"/>
      <c r="B1113" s="355"/>
      <c r="C1113" s="322"/>
      <c r="D1113" s="1575"/>
      <c r="E1113" s="1575"/>
      <c r="F1113" s="1575"/>
      <c r="G1113" s="572"/>
    </row>
    <row r="1114" spans="1:7" ht="12.75">
      <c r="A1114" s="355"/>
      <c r="B1114" s="355"/>
      <c r="C1114" s="322"/>
      <c r="D1114" s="1125"/>
      <c r="E1114" s="1125"/>
      <c r="F1114" s="1125"/>
      <c r="G1114" s="572"/>
    </row>
    <row r="1115" spans="1:7" ht="12.4" customHeight="1">
      <c r="A1115" s="355"/>
      <c r="B1115" s="1544" t="s">
        <v>136</v>
      </c>
      <c r="C1115" s="322"/>
      <c r="D1115" s="1646" t="s">
        <v>2001</v>
      </c>
      <c r="E1115" s="1643"/>
      <c r="F1115" s="1643"/>
      <c r="G1115" s="572"/>
    </row>
    <row r="1116" spans="1:7" ht="12.4" customHeight="1">
      <c r="A1116" s="355"/>
      <c r="B1116" s="355"/>
      <c r="C1116" s="322"/>
      <c r="D1116" s="1643"/>
      <c r="E1116" s="1643"/>
      <c r="F1116" s="1643"/>
      <c r="G1116" s="572"/>
    </row>
    <row r="1117" spans="1:7" ht="12.75">
      <c r="A1117" s="355"/>
      <c r="B1117" s="355"/>
      <c r="C1117" s="322"/>
      <c r="D1117" s="1643"/>
      <c r="E1117" s="1643"/>
      <c r="F1117" s="1643"/>
      <c r="G1117" s="572"/>
    </row>
    <row r="1118" spans="1:7" ht="12.75">
      <c r="A1118" s="355"/>
      <c r="B1118" s="355"/>
      <c r="C1118" s="322"/>
      <c r="D1118" s="1126"/>
      <c r="E1118" s="1126"/>
      <c r="F1118" s="1126"/>
      <c r="G1118" s="572"/>
    </row>
    <row r="1119" spans="1:7" ht="12.75">
      <c r="A1119" s="140"/>
      <c r="B1119" s="140"/>
      <c r="C1119" s="14"/>
      <c r="D1119" s="1582" t="s">
        <v>1665</v>
      </c>
      <c r="E1119" s="1582"/>
      <c r="F1119" s="1582"/>
    </row>
    <row r="1120" spans="1:7" ht="12.75">
      <c r="A1120" s="1018"/>
      <c r="B1120" s="1018"/>
      <c r="C1120" s="14"/>
      <c r="D1120" s="1014"/>
      <c r="E1120" s="282"/>
      <c r="F1120" s="282"/>
    </row>
    <row r="1121" spans="1:7" ht="14.25">
      <c r="A1121" s="413"/>
      <c r="B1121" s="950" t="s">
        <v>1531</v>
      </c>
      <c r="C1121" s="14"/>
      <c r="D1121" s="1619" t="s">
        <v>1873</v>
      </c>
      <c r="E1121" s="1619"/>
      <c r="F1121" s="1619"/>
    </row>
    <row r="1122" spans="1:7" ht="12.75">
      <c r="A1122" s="140"/>
      <c r="B1122" s="140"/>
      <c r="C1122" s="14"/>
      <c r="D1122" s="1619"/>
      <c r="E1122" s="1619"/>
      <c r="F1122" s="1619"/>
    </row>
    <row r="1123" spans="1:7" ht="12.75">
      <c r="A1123" s="140"/>
      <c r="B1123" s="140"/>
      <c r="C1123" s="14"/>
      <c r="E1123" s="282"/>
      <c r="F1123" s="282"/>
    </row>
    <row r="1124" spans="1:7" ht="14.25">
      <c r="A1124" s="413"/>
      <c r="B1124" s="1544" t="s">
        <v>136</v>
      </c>
      <c r="C1124" s="14"/>
      <c r="D1124" s="1619" t="s">
        <v>1874</v>
      </c>
      <c r="E1124" s="1619"/>
      <c r="F1124" s="1619"/>
    </row>
    <row r="1125" spans="1:7" ht="12.75">
      <c r="A1125" s="140"/>
      <c r="B1125" s="140"/>
      <c r="C1125" s="14"/>
      <c r="D1125" s="1619"/>
      <c r="E1125" s="1619"/>
      <c r="F1125" s="1619"/>
    </row>
    <row r="1126" spans="1:7" ht="12.75">
      <c r="A1126" s="140"/>
      <c r="B1126" s="140"/>
      <c r="C1126" s="14"/>
      <c r="D1126" s="282"/>
      <c r="E1126" s="282"/>
      <c r="F1126" s="282"/>
    </row>
    <row r="1127" spans="1:7" ht="12.75">
      <c r="A1127" s="140"/>
      <c r="B1127" s="140"/>
      <c r="C1127" s="14"/>
      <c r="D1127" s="1582" t="s">
        <v>1666</v>
      </c>
      <c r="E1127" s="1582"/>
      <c r="F1127" s="1582"/>
    </row>
    <row r="1128" spans="1:7" ht="12.75">
      <c r="A1128" s="1018"/>
      <c r="B1128" s="1018"/>
      <c r="C1128" s="14"/>
      <c r="D1128" s="1014"/>
      <c r="E1128" s="282"/>
      <c r="F1128" s="282"/>
    </row>
    <row r="1129" spans="1:7" ht="14.25">
      <c r="A1129" s="413"/>
      <c r="B1129" s="1544" t="s">
        <v>136</v>
      </c>
      <c r="C1129" s="14"/>
      <c r="D1129" s="1577" t="s">
        <v>1875</v>
      </c>
      <c r="E1129" s="1577"/>
      <c r="F1129" s="1577"/>
    </row>
    <row r="1130" spans="1:7" ht="12.75">
      <c r="A1130" s="140"/>
      <c r="B1130" s="140"/>
      <c r="C1130" s="14"/>
      <c r="D1130" s="282"/>
      <c r="E1130" s="282"/>
      <c r="F1130" s="282"/>
    </row>
    <row r="1131" spans="1:7" ht="14.25">
      <c r="A1131" s="413"/>
      <c r="B1131" s="1544" t="s">
        <v>136</v>
      </c>
      <c r="C1131" s="14"/>
      <c r="D1131" s="1575" t="s">
        <v>1876</v>
      </c>
      <c r="E1131" s="1575"/>
      <c r="F1131" s="1575"/>
    </row>
    <row r="1132" spans="1:7" ht="14.25">
      <c r="A1132" s="413"/>
      <c r="B1132" s="413"/>
      <c r="C1132" s="14"/>
      <c r="D1132" s="1575"/>
      <c r="E1132" s="1575"/>
      <c r="F1132" s="1575"/>
    </row>
    <row r="1133" spans="1:7" ht="14.25">
      <c r="A1133" s="413"/>
      <c r="B1133" s="413"/>
      <c r="C1133" s="14"/>
      <c r="D1133" s="1022"/>
      <c r="E1133" s="1022"/>
      <c r="F1133" s="1022"/>
      <c r="G1133" s="2"/>
    </row>
    <row r="1134" spans="1:7" ht="12.75">
      <c r="A1134" s="1024"/>
      <c r="B1134" s="1024"/>
      <c r="C1134" s="14"/>
      <c r="D1134" s="1582" t="s">
        <v>1886</v>
      </c>
      <c r="E1134" s="1582"/>
      <c r="F1134" s="1582"/>
      <c r="G1134" s="2"/>
    </row>
    <row r="1135" spans="1:7" ht="12.75">
      <c r="A1135" s="1024"/>
      <c r="B1135" s="1024"/>
      <c r="C1135" s="14"/>
      <c r="D1135" s="1023"/>
      <c r="E1135" s="282"/>
      <c r="F1135" s="282"/>
      <c r="G1135" s="2"/>
    </row>
    <row r="1136" spans="1:7" ht="14.45" customHeight="1">
      <c r="A1136" s="413"/>
      <c r="B1136" s="1544" t="s">
        <v>136</v>
      </c>
      <c r="C1136" s="14"/>
      <c r="D1136" s="1574" t="s">
        <v>1982</v>
      </c>
      <c r="E1136" s="1575"/>
      <c r="F1136" s="1575"/>
      <c r="G1136" s="2"/>
    </row>
    <row r="1137" spans="1:7" ht="14.25">
      <c r="A1137" s="413"/>
      <c r="B1137" s="413"/>
      <c r="C1137" s="14"/>
      <c r="D1137" s="1575"/>
      <c r="E1137" s="1575"/>
      <c r="F1137" s="1575"/>
      <c r="G1137" s="2"/>
    </row>
    <row r="1138" spans="1:7" ht="14.25">
      <c r="A1138" s="413"/>
      <c r="B1138" s="413"/>
      <c r="C1138" s="14"/>
      <c r="D1138" s="1575"/>
      <c r="E1138" s="1575"/>
      <c r="F1138" s="1575"/>
      <c r="G1138" s="2"/>
    </row>
    <row r="1139" spans="1:7" ht="14.25">
      <c r="A1139" s="413"/>
      <c r="B1139" s="413"/>
      <c r="C1139" s="14"/>
      <c r="D1139" s="1575"/>
      <c r="E1139" s="1575"/>
      <c r="F1139" s="1575"/>
      <c r="G1139" s="2"/>
    </row>
    <row r="1140" spans="1:7" ht="14.25">
      <c r="A1140" s="413"/>
      <c r="B1140" s="413"/>
      <c r="C1140" s="14"/>
      <c r="D1140" s="1575"/>
      <c r="E1140" s="1575"/>
      <c r="F1140" s="1575"/>
      <c r="G1140" s="2"/>
    </row>
    <row r="1141" spans="1:7" ht="14.25">
      <c r="A1141" s="413"/>
      <c r="B1141" s="413"/>
      <c r="C1141" s="14"/>
      <c r="D1141" s="1575"/>
      <c r="E1141" s="1575"/>
      <c r="F1141" s="1575"/>
      <c r="G1141" s="2"/>
    </row>
    <row r="1142" spans="1:7" ht="14.25">
      <c r="A1142" s="413"/>
      <c r="B1142" s="413"/>
      <c r="C1142" s="14"/>
      <c r="D1142" s="1575"/>
      <c r="E1142" s="1575"/>
      <c r="F1142" s="1575"/>
      <c r="G1142" s="2"/>
    </row>
    <row r="1143" spans="1:7" ht="14.25">
      <c r="A1143" s="413"/>
      <c r="B1143" s="413"/>
      <c r="C1143" s="14"/>
      <c r="D1143" s="1575"/>
      <c r="E1143" s="1575"/>
      <c r="F1143" s="1575"/>
      <c r="G1143" s="2"/>
    </row>
    <row r="1144" spans="1:7" ht="14.25">
      <c r="A1144" s="413"/>
      <c r="B1144" s="413"/>
      <c r="C1144" s="14"/>
      <c r="D1144" s="1575"/>
      <c r="E1144" s="1575"/>
      <c r="F1144" s="1575"/>
      <c r="G1144" s="2"/>
    </row>
    <row r="1145" spans="1:7" ht="14.25">
      <c r="A1145" s="413"/>
      <c r="B1145" s="413"/>
      <c r="C1145" s="14"/>
      <c r="D1145" s="1575"/>
      <c r="E1145" s="1575"/>
      <c r="F1145" s="1575"/>
      <c r="G1145" s="2"/>
    </row>
    <row r="1146" spans="1:7" ht="14.25">
      <c r="A1146" s="413"/>
      <c r="B1146" s="413"/>
      <c r="C1146" s="14"/>
      <c r="D1146" s="1575"/>
      <c r="E1146" s="1575"/>
      <c r="F1146" s="1575"/>
      <c r="G1146" s="2"/>
    </row>
    <row r="1147" spans="1:7" ht="14.25">
      <c r="A1147" s="413"/>
      <c r="B1147" s="413"/>
      <c r="C1147" s="14"/>
      <c r="D1147" s="1575"/>
      <c r="E1147" s="1575"/>
      <c r="F1147" s="1575"/>
      <c r="G1147" s="2"/>
    </row>
    <row r="1148" spans="1:7" ht="14.25">
      <c r="A1148" s="413"/>
      <c r="B1148" s="413"/>
      <c r="C1148" s="14"/>
      <c r="D1148" s="1575"/>
      <c r="E1148" s="1575"/>
      <c r="F1148" s="1575"/>
      <c r="G1148" s="2"/>
    </row>
    <row r="1149" spans="1:7" ht="14.25">
      <c r="A1149" s="413"/>
      <c r="B1149" s="413"/>
      <c r="C1149" s="14"/>
      <c r="D1149" s="1575"/>
      <c r="E1149" s="1575"/>
      <c r="F1149" s="1575"/>
    </row>
    <row r="1150" spans="1:7" ht="12.75">
      <c r="A1150" s="140"/>
      <c r="B1150" s="140"/>
      <c r="C1150" s="14"/>
      <c r="D1150" s="282"/>
      <c r="E1150" s="282"/>
      <c r="F1150" s="282"/>
    </row>
    <row r="1151" spans="1:7" ht="12.75">
      <c r="A1151" s="1591" t="s">
        <v>1560</v>
      </c>
      <c r="B1151" s="1591"/>
      <c r="C1151" s="1591"/>
      <c r="D1151" s="1591"/>
      <c r="E1151" s="1591"/>
      <c r="F1151" s="1591"/>
      <c r="G1151" s="1591"/>
    </row>
    <row r="1152" spans="1:7" ht="12.75">
      <c r="A1152" s="143"/>
      <c r="B1152" s="143"/>
      <c r="C1152" s="14"/>
      <c r="D1152" s="282"/>
      <c r="E1152" s="282"/>
      <c r="F1152" s="282"/>
    </row>
    <row r="1153" spans="1:7" ht="12.75">
      <c r="A1153" s="140"/>
      <c r="B1153" s="140"/>
      <c r="C1153" s="322"/>
      <c r="D1153" s="1582" t="s">
        <v>1877</v>
      </c>
      <c r="E1153" s="1582"/>
      <c r="F1153" s="1582"/>
    </row>
    <row r="1154" spans="1:7" ht="12.75">
      <c r="A1154" s="414"/>
      <c r="B1154" s="414"/>
      <c r="C1154" s="298"/>
      <c r="D1154" s="1679" t="s">
        <v>1670</v>
      </c>
      <c r="E1154" s="1577"/>
      <c r="F1154" s="1577"/>
    </row>
    <row r="1155" spans="1:7" ht="12.75">
      <c r="A1155" s="414"/>
      <c r="B1155" s="414"/>
      <c r="C1155" s="298"/>
      <c r="D1155" s="282"/>
      <c r="E1155" s="282"/>
      <c r="F1155" s="296"/>
      <c r="G1155" s="2"/>
    </row>
    <row r="1156" spans="1:7" ht="13.7" customHeight="1">
      <c r="A1156" s="140"/>
      <c r="B1156" s="950" t="s">
        <v>1531</v>
      </c>
      <c r="C1156" s="14"/>
      <c r="D1156" s="1645" t="s">
        <v>1983</v>
      </c>
      <c r="E1156" s="1645"/>
      <c r="F1156" s="1645"/>
      <c r="G1156" s="2"/>
    </row>
    <row r="1157" spans="1:7" ht="12.75">
      <c r="A1157" s="140"/>
      <c r="B1157" s="140"/>
      <c r="C1157" s="14"/>
      <c r="D1157" s="1645"/>
      <c r="E1157" s="1645"/>
      <c r="F1157" s="1645"/>
      <c r="G1157" s="2"/>
    </row>
    <row r="1158" spans="1:7" ht="12.75">
      <c r="A1158" s="140"/>
      <c r="B1158" s="140"/>
      <c r="C1158" s="14"/>
      <c r="D1158" s="1645"/>
      <c r="E1158" s="1645"/>
      <c r="F1158" s="1645"/>
      <c r="G1158" s="2"/>
    </row>
    <row r="1159" spans="1:7" ht="12.75">
      <c r="A1159" s="150"/>
      <c r="B1159" s="150"/>
      <c r="D1159" s="1645"/>
      <c r="E1159" s="1645"/>
      <c r="F1159" s="1645"/>
      <c r="G1159" s="2"/>
    </row>
    <row r="1160" spans="1:7" ht="12.75">
      <c r="A1160" s="150"/>
      <c r="B1160" s="150"/>
      <c r="D1160" s="1645"/>
      <c r="E1160" s="1645"/>
      <c r="F1160" s="1645"/>
      <c r="G1160" s="2"/>
    </row>
    <row r="1161" spans="1:7" ht="12.75">
      <c r="A1161" s="415"/>
      <c r="B1161" s="415"/>
      <c r="C1161" s="299"/>
      <c r="D1161" s="1645"/>
      <c r="E1161" s="1645"/>
      <c r="F1161" s="1645"/>
      <c r="G1161" s="2"/>
    </row>
    <row r="1162" spans="1:7" ht="14.45" customHeight="1">
      <c r="A1162" s="415"/>
      <c r="B1162" s="415"/>
      <c r="C1162" s="299"/>
      <c r="D1162" s="1645"/>
      <c r="E1162" s="1645"/>
      <c r="F1162" s="1645"/>
      <c r="G1162" s="2"/>
    </row>
    <row r="1163" spans="1:7" ht="12.75">
      <c r="A1163" s="415"/>
      <c r="B1163" s="415"/>
      <c r="C1163" s="299"/>
      <c r="D1163" s="1013"/>
      <c r="E1163" s="1013"/>
      <c r="F1163" s="1013"/>
      <c r="G1163" s="2"/>
    </row>
    <row r="1164" spans="1:7" ht="12.75">
      <c r="A1164" s="415"/>
      <c r="B1164" s="1544" t="s">
        <v>136</v>
      </c>
      <c r="C1164" s="299"/>
      <c r="D1164" s="1619" t="s">
        <v>1887</v>
      </c>
      <c r="E1164" s="1619"/>
      <c r="F1164" s="1619"/>
      <c r="G1164" s="2"/>
    </row>
    <row r="1165" spans="1:7" ht="12.75">
      <c r="A1165" s="415"/>
      <c r="B1165" s="415"/>
      <c r="C1165" s="299"/>
      <c r="D1165" s="1619"/>
      <c r="E1165" s="1619"/>
      <c r="F1165" s="1619"/>
      <c r="G1165" s="2"/>
    </row>
    <row r="1166" spans="1:7" ht="12.75">
      <c r="A1166" s="415"/>
      <c r="B1166" s="415"/>
      <c r="C1166" s="299"/>
      <c r="D1166" s="1619"/>
      <c r="E1166" s="1619"/>
      <c r="F1166" s="1619"/>
      <c r="G1166" s="2"/>
    </row>
    <row r="1167" spans="1:7" ht="12.75">
      <c r="A1167" s="415"/>
      <c r="B1167" s="415"/>
      <c r="C1167" s="299"/>
      <c r="D1167" s="1619"/>
      <c r="E1167" s="1619"/>
      <c r="F1167" s="1619"/>
      <c r="G1167" s="2"/>
    </row>
    <row r="1168" spans="1:7" ht="12.75">
      <c r="A1168" s="415"/>
      <c r="B1168" s="415"/>
      <c r="C1168" s="299"/>
      <c r="D1168" s="1096"/>
      <c r="E1168" s="1096"/>
      <c r="F1168" s="1096"/>
      <c r="G1168" s="2"/>
    </row>
    <row r="1169" spans="1:7" ht="12.75">
      <c r="A1169" s="415"/>
      <c r="B1169" s="1544" t="s">
        <v>136</v>
      </c>
      <c r="C1169" s="299"/>
      <c r="D1169" s="1620" t="s">
        <v>1984</v>
      </c>
      <c r="E1169" s="1619"/>
      <c r="F1169" s="1619"/>
      <c r="G1169" s="2"/>
    </row>
    <row r="1170" spans="1:7" ht="12.75">
      <c r="A1170" s="415"/>
      <c r="B1170" s="415"/>
      <c r="C1170" s="299"/>
      <c r="D1170" s="1619"/>
      <c r="E1170" s="1619"/>
      <c r="F1170" s="1619"/>
      <c r="G1170" s="2"/>
    </row>
    <row r="1171" spans="1:7" ht="12.75">
      <c r="A1171" s="415"/>
      <c r="B1171" s="415"/>
      <c r="C1171" s="299"/>
      <c r="D1171" s="1096"/>
      <c r="E1171" s="1096"/>
      <c r="F1171" s="1096"/>
      <c r="G1171" s="2"/>
    </row>
    <row r="1172" spans="1:7" ht="14.25">
      <c r="A1172" s="413"/>
      <c r="B1172" s="1544" t="s">
        <v>136</v>
      </c>
      <c r="C1172" s="14"/>
      <c r="D1172" s="1577" t="s">
        <v>1878</v>
      </c>
      <c r="E1172" s="1577"/>
      <c r="F1172" s="1577"/>
      <c r="G1172" s="2"/>
    </row>
    <row r="1173" spans="1:7" ht="12.75">
      <c r="A1173" s="140"/>
      <c r="B1173" s="140"/>
      <c r="C1173" s="14"/>
      <c r="D1173" s="282"/>
      <c r="E1173" s="282"/>
      <c r="F1173" s="282"/>
      <c r="G1173" s="2"/>
    </row>
    <row r="1174" spans="1:7" ht="14.25">
      <c r="A1174" s="413"/>
      <c r="B1174" s="950" t="s">
        <v>1531</v>
      </c>
      <c r="C1174" s="14"/>
      <c r="D1174" s="1577" t="s">
        <v>1879</v>
      </c>
      <c r="E1174" s="1577"/>
      <c r="F1174" s="1577"/>
      <c r="G1174" s="2"/>
    </row>
    <row r="1175" spans="1:7" ht="12.75">
      <c r="A1175" s="140"/>
      <c r="B1175" s="140"/>
      <c r="C1175" s="14"/>
      <c r="D1175" s="287"/>
      <c r="E1175" s="282"/>
      <c r="F1175" s="282"/>
      <c r="G1175" s="2"/>
    </row>
    <row r="1176" spans="1:7" ht="14.25">
      <c r="A1176" s="413"/>
      <c r="B1176" s="950" t="s">
        <v>1531</v>
      </c>
      <c r="C1176" s="14"/>
      <c r="D1176" s="1577" t="s">
        <v>1880</v>
      </c>
      <c r="E1176" s="1577"/>
      <c r="F1176" s="1577"/>
      <c r="G1176" s="2"/>
    </row>
    <row r="1177" spans="1:7" ht="12.75">
      <c r="A1177" s="140"/>
      <c r="B1177" s="140"/>
      <c r="C1177" s="14"/>
      <c r="D1177" s="287"/>
      <c r="E1177" s="282"/>
      <c r="F1177" s="282"/>
      <c r="G1177" s="2"/>
    </row>
    <row r="1178" spans="1:7" ht="14.25">
      <c r="A1178" s="413"/>
      <c r="B1178" s="1544" t="s">
        <v>136</v>
      </c>
      <c r="C1178" s="14"/>
      <c r="D1178" s="1575" t="s">
        <v>1881</v>
      </c>
      <c r="E1178" s="1575"/>
      <c r="F1178" s="1575"/>
      <c r="G1178" s="2"/>
    </row>
    <row r="1179" spans="1:7" ht="14.25">
      <c r="A1179" s="413"/>
      <c r="B1179" s="413"/>
      <c r="C1179" s="14"/>
      <c r="D1179" s="1575"/>
      <c r="E1179" s="1575"/>
      <c r="F1179" s="1575"/>
      <c r="G1179" s="2"/>
    </row>
    <row r="1180" spans="1:7" ht="14.25">
      <c r="A1180" s="413"/>
      <c r="B1180" s="413"/>
      <c r="C1180" s="14"/>
      <c r="D1180" s="287"/>
      <c r="E1180" s="282"/>
      <c r="F1180" s="282"/>
    </row>
    <row r="1181" spans="1:7" s="707" customFormat="1" ht="14.25">
      <c r="A1181" s="464"/>
      <c r="B1181" s="1544" t="s">
        <v>136</v>
      </c>
      <c r="C1181" s="465"/>
      <c r="D1181" s="1628" t="s">
        <v>1882</v>
      </c>
      <c r="E1181" s="1628"/>
      <c r="F1181" s="1628"/>
      <c r="G1181" s="708"/>
    </row>
    <row r="1182" spans="1:7" s="707" customFormat="1" ht="12.75">
      <c r="A1182" s="465"/>
      <c r="B1182" s="465"/>
      <c r="C1182" s="465"/>
      <c r="D1182" s="1628"/>
      <c r="E1182" s="1628"/>
      <c r="F1182" s="1628"/>
      <c r="G1182" s="708"/>
    </row>
    <row r="1183" spans="1:7" s="707" customFormat="1" ht="12.75">
      <c r="A1183" s="465"/>
      <c r="B1183" s="465"/>
      <c r="C1183" s="465"/>
      <c r="D1183" s="466"/>
      <c r="E1183" s="467"/>
      <c r="F1183" s="467"/>
      <c r="G1183" s="708"/>
    </row>
    <row r="1184" spans="1:7" s="707" customFormat="1" ht="14.25">
      <c r="A1184" s="464"/>
      <c r="B1184" s="1544" t="s">
        <v>136</v>
      </c>
      <c r="C1184" s="465"/>
      <c r="D1184" s="1678" t="s">
        <v>1883</v>
      </c>
      <c r="E1184" s="1678"/>
      <c r="F1184" s="1678"/>
      <c r="G1184" s="708"/>
    </row>
    <row r="1185" spans="1:7" s="707" customFormat="1" ht="12.75">
      <c r="A1185" s="465"/>
      <c r="B1185" s="465"/>
      <c r="C1185" s="465"/>
      <c r="D1185" s="466"/>
      <c r="E1185" s="467"/>
      <c r="F1185" s="467"/>
      <c r="G1185" s="708"/>
    </row>
    <row r="1186" spans="1:7" ht="14.25">
      <c r="A1186" s="413"/>
      <c r="B1186" s="1544" t="s">
        <v>136</v>
      </c>
      <c r="C1186" s="14"/>
      <c r="D1186" s="1577" t="s">
        <v>1884</v>
      </c>
      <c r="E1186" s="1577"/>
      <c r="F1186" s="1577"/>
    </row>
    <row r="1187" spans="1:7" ht="14.25">
      <c r="A1187" s="413"/>
      <c r="B1187" s="413"/>
      <c r="C1187" s="14"/>
      <c r="D1187" s="287"/>
      <c r="E1187" s="282"/>
      <c r="F1187" s="282"/>
    </row>
    <row r="1188" spans="1:7" ht="14.25">
      <c r="A1188" s="413"/>
      <c r="B1188" s="1544" t="s">
        <v>136</v>
      </c>
      <c r="C1188" s="14"/>
      <c r="D1188" s="1575" t="s">
        <v>1885</v>
      </c>
      <c r="E1188" s="1575"/>
      <c r="F1188" s="1575"/>
    </row>
    <row r="1189" spans="1:7" ht="14.25">
      <c r="A1189" s="413"/>
      <c r="B1189" s="413"/>
      <c r="C1189" s="14"/>
      <c r="D1189" s="1575"/>
      <c r="E1189" s="1575"/>
      <c r="F1189" s="1575"/>
    </row>
    <row r="1190" spans="1:7" ht="12.75">
      <c r="A1190" s="140"/>
      <c r="B1190" s="140"/>
      <c r="C1190" s="14"/>
      <c r="D1190" s="282"/>
      <c r="E1190" s="282"/>
      <c r="F1190" s="282"/>
    </row>
    <row r="1191" spans="1:7" ht="12.75">
      <c r="A1191" s="1591" t="s">
        <v>2308</v>
      </c>
      <c r="B1191" s="1591"/>
      <c r="C1191" s="1591"/>
      <c r="D1191" s="1591"/>
      <c r="E1191" s="1591"/>
      <c r="F1191" s="1591"/>
      <c r="G1191" s="1591"/>
    </row>
    <row r="1192" spans="1:7" ht="12.75">
      <c r="A1192" s="140"/>
      <c r="B1192" s="140"/>
      <c r="C1192" s="14"/>
      <c r="D1192" s="282"/>
      <c r="E1192" s="282"/>
      <c r="F1192" s="282"/>
    </row>
    <row r="1193" spans="1:7" ht="12.75">
      <c r="A1193" s="1591" t="s">
        <v>1561</v>
      </c>
      <c r="B1193" s="1591"/>
      <c r="C1193" s="1591"/>
      <c r="D1193" s="1591"/>
      <c r="E1193" s="1591"/>
      <c r="F1193" s="1591"/>
      <c r="G1193" s="1591"/>
    </row>
    <row r="1194" spans="1:7" ht="12.75">
      <c r="A1194" s="140"/>
      <c r="B1194" s="140"/>
      <c r="C1194" s="14"/>
      <c r="D1194" s="282"/>
      <c r="E1194" s="282"/>
      <c r="F1194" s="282"/>
    </row>
    <row r="1195" spans="1:7" ht="12.75">
      <c r="A1195" s="150"/>
      <c r="B1195" s="150"/>
      <c r="D1195" s="1638" t="s">
        <v>1690</v>
      </c>
      <c r="E1195" s="1638"/>
      <c r="F1195" s="1638"/>
    </row>
    <row r="1196" spans="1:7" ht="12.75">
      <c r="A1196" s="150"/>
      <c r="B1196" s="150"/>
      <c r="D1196" s="1639" t="s">
        <v>2186</v>
      </c>
      <c r="E1196" s="1639"/>
      <c r="F1196" s="1639"/>
    </row>
    <row r="1197" spans="1:7" ht="12.75">
      <c r="A1197" s="430"/>
      <c r="B1197" s="430"/>
      <c r="C1197" s="406"/>
    </row>
    <row r="1198" spans="1:7" ht="14.25">
      <c r="A1198" s="413"/>
      <c r="B1198" s="413"/>
      <c r="C1198" s="299"/>
      <c r="D1198" s="1638" t="s">
        <v>1691</v>
      </c>
      <c r="E1198" s="1638"/>
      <c r="F1198" s="1638"/>
    </row>
    <row r="1199" spans="1:7" ht="12.75">
      <c r="A1199" s="140"/>
      <c r="B1199" s="950" t="s">
        <v>1531</v>
      </c>
      <c r="C1199" s="14"/>
      <c r="D1199" s="1642" t="s">
        <v>1692</v>
      </c>
      <c r="E1199" s="1642"/>
      <c r="F1199" s="1642"/>
    </row>
    <row r="1200" spans="1:7" ht="12.75">
      <c r="A1200" s="140"/>
      <c r="B1200" s="140"/>
      <c r="C1200" s="14"/>
      <c r="D1200" s="1639" t="s">
        <v>2187</v>
      </c>
      <c r="E1200" s="1639"/>
      <c r="F1200" s="1639"/>
    </row>
    <row r="1201" spans="1:7" ht="12.75">
      <c r="A1201" s="150"/>
      <c r="B1201" s="150"/>
      <c r="G1201" s="2"/>
    </row>
    <row r="1202" spans="1:7" ht="12.75" customHeight="1">
      <c r="A1202" s="150"/>
      <c r="B1202" s="1304" t="s">
        <v>1531</v>
      </c>
      <c r="D1202" s="1593" t="s">
        <v>2076</v>
      </c>
      <c r="E1202" s="1593"/>
      <c r="F1202" s="1593"/>
      <c r="G1202" s="2"/>
    </row>
    <row r="1203" spans="1:7" ht="12.75">
      <c r="A1203" s="150"/>
      <c r="B1203" s="150"/>
      <c r="D1203" s="1593"/>
      <c r="E1203" s="1593"/>
      <c r="F1203" s="1593"/>
      <c r="G1203" s="2"/>
    </row>
    <row r="1204" spans="1:7" ht="12.75">
      <c r="A1204" s="150"/>
      <c r="B1204" s="150"/>
      <c r="G1204" s="2"/>
    </row>
    <row r="1205" spans="1:7" ht="12.75" customHeight="1">
      <c r="A1205" s="150"/>
      <c r="B1205" s="150"/>
    </row>
    <row r="1206" spans="1:7" ht="12.75">
      <c r="A1206" s="1625" t="s">
        <v>1563</v>
      </c>
      <c r="B1206" s="1625"/>
      <c r="C1206" s="1625"/>
      <c r="D1206" s="1625"/>
      <c r="E1206" s="1625"/>
      <c r="F1206" s="1625"/>
      <c r="G1206" s="1625"/>
    </row>
    <row r="1207" spans="1:7" ht="12.75">
      <c r="A1207" s="76"/>
      <c r="B1207" s="76"/>
      <c r="C1207" s="285"/>
      <c r="D1207" s="288"/>
      <c r="E1207" s="288"/>
      <c r="F1207" s="288"/>
      <c r="G1207" s="288"/>
    </row>
    <row r="1208" spans="1:7" ht="12.75" customHeight="1">
      <c r="A1208" s="76"/>
      <c r="B1208" s="76"/>
      <c r="C1208" s="285"/>
      <c r="D1208" s="1636" t="s">
        <v>1562</v>
      </c>
      <c r="E1208" s="1636"/>
      <c r="F1208" s="1636"/>
      <c r="G1208" s="288"/>
    </row>
    <row r="1209" spans="1:7" ht="12.75" customHeight="1">
      <c r="A1209" s="76"/>
      <c r="B1209" s="76"/>
      <c r="C1209" s="285"/>
      <c r="D1209" s="1637" t="s">
        <v>1572</v>
      </c>
      <c r="E1209" s="1637"/>
      <c r="F1209" s="1637"/>
      <c r="G1209" s="288"/>
    </row>
    <row r="1210" spans="1:7" ht="12.75" customHeight="1">
      <c r="A1210" s="76"/>
      <c r="B1210" s="76"/>
      <c r="C1210" s="285"/>
      <c r="D1210" s="288"/>
      <c r="E1210" s="288"/>
      <c r="F1210" s="288"/>
      <c r="G1210" s="288"/>
    </row>
    <row r="1211" spans="1:7" ht="14.25">
      <c r="A1211" s="413"/>
      <c r="B1211" s="1544" t="s">
        <v>136</v>
      </c>
      <c r="C1211" s="14"/>
      <c r="D1211" s="1584" t="s">
        <v>1125</v>
      </c>
      <c r="E1211" s="1584"/>
      <c r="F1211" s="1584"/>
    </row>
    <row r="1212" spans="1:7" ht="12.75">
      <c r="A1212" s="140"/>
      <c r="B1212" s="140"/>
      <c r="C1212" s="14"/>
      <c r="D1212" s="1577" t="s">
        <v>1256</v>
      </c>
      <c r="E1212" s="1577"/>
      <c r="F1212" s="1577"/>
    </row>
    <row r="1213" spans="1:7" ht="12.75">
      <c r="A1213" s="140"/>
      <c r="B1213" s="140"/>
      <c r="C1213" s="14"/>
      <c r="D1213" s="282"/>
      <c r="E1213" s="1601" t="s">
        <v>1693</v>
      </c>
      <c r="F1213" s="1601"/>
    </row>
    <row r="1214" spans="1:7" ht="12.75">
      <c r="A1214" s="140"/>
      <c r="B1214" s="140"/>
      <c r="C1214" s="14"/>
      <c r="D1214" s="6"/>
      <c r="E1214" s="282"/>
      <c r="F1214" s="282"/>
    </row>
    <row r="1215" spans="1:7" ht="12.75">
      <c r="A1215" s="140"/>
      <c r="B1215" s="140"/>
      <c r="C1215" s="14"/>
      <c r="D1215" s="1635" t="s">
        <v>1407</v>
      </c>
      <c r="E1215" s="1635"/>
      <c r="F1215" s="1635"/>
    </row>
    <row r="1216" spans="1:7" ht="12.75">
      <c r="A1216" s="140"/>
      <c r="B1216" s="1544" t="s">
        <v>136</v>
      </c>
      <c r="C1216" s="140"/>
      <c r="D1216" s="1575" t="s">
        <v>1694</v>
      </c>
      <c r="E1216" s="1575"/>
      <c r="F1216" s="1575"/>
      <c r="G1216" s="2"/>
    </row>
    <row r="1217" spans="1:7" ht="12.75">
      <c r="A1217" s="140"/>
      <c r="B1217" s="140"/>
      <c r="C1217" s="14"/>
      <c r="D1217" s="1575"/>
      <c r="E1217" s="1575"/>
      <c r="F1217" s="1575"/>
      <c r="G1217" s="2"/>
    </row>
    <row r="1218" spans="1:7" ht="12.75">
      <c r="A1218" s="140"/>
      <c r="B1218" s="140"/>
      <c r="C1218" s="14"/>
      <c r="D1218" s="810" t="s">
        <v>1410</v>
      </c>
      <c r="E1218" s="2"/>
      <c r="F1218" s="2"/>
      <c r="G1218" s="2"/>
    </row>
    <row r="1219" spans="1:7" ht="13.7" customHeight="1">
      <c r="A1219" s="140"/>
      <c r="B1219" s="140"/>
      <c r="C1219" s="14"/>
      <c r="D1219" s="1575" t="s">
        <v>1695</v>
      </c>
      <c r="E1219" s="1575"/>
      <c r="F1219" s="1575"/>
      <c r="G1219" s="2"/>
    </row>
    <row r="1220" spans="1:7" ht="12.75">
      <c r="A1220" s="140"/>
      <c r="B1220" s="140"/>
      <c r="C1220" s="14"/>
      <c r="D1220" s="1575"/>
      <c r="E1220" s="1575"/>
      <c r="F1220" s="1575"/>
      <c r="G1220" s="2"/>
    </row>
    <row r="1221" spans="1:7" ht="12.75">
      <c r="A1221" s="140"/>
      <c r="B1221" s="140"/>
      <c r="C1221" s="14"/>
      <c r="D1221" s="1575"/>
      <c r="E1221" s="1575"/>
      <c r="F1221" s="1575"/>
      <c r="G1221" s="2"/>
    </row>
    <row r="1222" spans="1:7" ht="12.75">
      <c r="A1222" s="140"/>
      <c r="B1222" s="140"/>
      <c r="C1222" s="14"/>
      <c r="D1222" s="1575"/>
      <c r="E1222" s="1575"/>
      <c r="F1222" s="1575"/>
      <c r="G1222" s="2"/>
    </row>
    <row r="1223" spans="1:7" ht="12.75">
      <c r="A1223" s="140"/>
      <c r="B1223" s="140"/>
      <c r="C1223" s="14"/>
      <c r="D1223" s="1601" t="s">
        <v>1128</v>
      </c>
      <c r="E1223" s="1601"/>
      <c r="F1223" s="1601"/>
      <c r="G1223" s="2"/>
    </row>
    <row r="1224" spans="1:7" ht="12.75">
      <c r="A1224" s="140"/>
      <c r="B1224" s="1544" t="s">
        <v>136</v>
      </c>
      <c r="C1224" s="140"/>
      <c r="D1224" s="1584" t="s">
        <v>1408</v>
      </c>
      <c r="E1224" s="1584"/>
      <c r="F1224" s="1584"/>
      <c r="G1224" s="2"/>
    </row>
    <row r="1225" spans="1:7" ht="12.75">
      <c r="A1225" s="140"/>
      <c r="B1225" s="140"/>
      <c r="C1225" s="14"/>
      <c r="D1225" s="282"/>
      <c r="E1225" s="2"/>
      <c r="F1225" s="2"/>
      <c r="G1225" s="2"/>
    </row>
    <row r="1226" spans="1:7" ht="12.75">
      <c r="A1226" s="140"/>
      <c r="B1226" s="140"/>
      <c r="C1226" s="14"/>
      <c r="D1226" s="1607" t="s">
        <v>1409</v>
      </c>
      <c r="E1226" s="1607"/>
      <c r="F1226" s="1607"/>
      <c r="G1226" s="2"/>
    </row>
    <row r="1227" spans="1:7" ht="12.75">
      <c r="A1227" s="140"/>
      <c r="B1227" s="140"/>
      <c r="C1227" s="14"/>
      <c r="D1227" s="6" t="s">
        <v>1126</v>
      </c>
      <c r="E1227" s="2"/>
      <c r="F1227" s="2"/>
      <c r="G1227" s="2"/>
    </row>
    <row r="1228" spans="1:7" ht="14.45" customHeight="1">
      <c r="A1228" s="413"/>
      <c r="B1228" s="1544" t="s">
        <v>136</v>
      </c>
      <c r="C1228" s="140"/>
      <c r="D1228" s="1575" t="s">
        <v>1696</v>
      </c>
      <c r="E1228" s="1575"/>
      <c r="F1228" s="1575"/>
      <c r="G1228" s="2"/>
    </row>
    <row r="1229" spans="1:7" ht="14.25">
      <c r="A1229" s="413"/>
      <c r="B1229" s="413"/>
      <c r="C1229" s="140"/>
      <c r="D1229" s="1575"/>
      <c r="E1229" s="1575"/>
      <c r="F1229" s="1575"/>
      <c r="G1229" s="2"/>
    </row>
    <row r="1230" spans="1:7" ht="14.25">
      <c r="A1230" s="413"/>
      <c r="B1230" s="413"/>
      <c r="C1230" s="140"/>
      <c r="D1230" s="1575"/>
      <c r="E1230" s="1575"/>
      <c r="F1230" s="1575"/>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1544" t="s">
        <v>136</v>
      </c>
      <c r="C1233" s="14"/>
      <c r="D1233" s="1575" t="s">
        <v>1697</v>
      </c>
      <c r="E1233" s="1575"/>
      <c r="F1233" s="1575"/>
    </row>
    <row r="1234" spans="1:7" ht="14.25">
      <c r="A1234" s="413"/>
      <c r="B1234" s="413"/>
      <c r="C1234" s="14"/>
      <c r="D1234" s="1575"/>
      <c r="E1234" s="1575"/>
      <c r="F1234" s="1575"/>
    </row>
    <row r="1235" spans="1:7" ht="14.25">
      <c r="A1235" s="413"/>
      <c r="B1235" s="413"/>
      <c r="C1235" s="14"/>
      <c r="D1235" s="1575"/>
      <c r="E1235" s="1575"/>
      <c r="F1235" s="1575"/>
    </row>
    <row r="1236" spans="1:7" ht="14.25">
      <c r="A1236" s="413"/>
      <c r="B1236" s="413"/>
      <c r="C1236" s="14"/>
      <c r="D1236" s="1575"/>
      <c r="E1236" s="1575"/>
      <c r="F1236" s="1575"/>
    </row>
    <row r="1237" spans="1:7" ht="14.25">
      <c r="A1237" s="413"/>
      <c r="B1237" s="413"/>
      <c r="C1237" s="14"/>
      <c r="D1237" s="1575"/>
      <c r="E1237" s="1575"/>
      <c r="F1237" s="1575"/>
    </row>
    <row r="1238" spans="1:7" ht="12.75" customHeight="1">
      <c r="A1238" s="76"/>
      <c r="B1238" s="76"/>
      <c r="C1238" s="285"/>
      <c r="D1238" s="288"/>
      <c r="E1238" s="288"/>
      <c r="F1238" s="288"/>
      <c r="G1238" s="288"/>
    </row>
    <row r="1239" spans="1:7" ht="12.75">
      <c r="A1239" s="1625" t="s">
        <v>1605</v>
      </c>
      <c r="B1239" s="1625"/>
      <c r="C1239" s="1625"/>
      <c r="D1239" s="1625"/>
      <c r="E1239" s="1625"/>
      <c r="F1239" s="1625"/>
      <c r="G1239" s="1625"/>
    </row>
    <row r="1240" spans="1:7" ht="12.75">
      <c r="A1240" s="76"/>
      <c r="B1240" s="76"/>
      <c r="C1240" s="285"/>
      <c r="D1240" s="288"/>
      <c r="E1240" s="288"/>
      <c r="F1240" s="288"/>
      <c r="G1240" s="288"/>
    </row>
    <row r="1241" spans="1:7" ht="12.75">
      <c r="A1241" s="76"/>
      <c r="B1241" s="76"/>
      <c r="C1241" s="285"/>
      <c r="D1241" s="1621" t="s">
        <v>1606</v>
      </c>
      <c r="E1241" s="1621"/>
      <c r="F1241" s="1621"/>
      <c r="G1241" s="288"/>
    </row>
    <row r="1242" spans="1:7" ht="12.75">
      <c r="A1242" s="419"/>
      <c r="B1242" s="419"/>
      <c r="C1242" s="407"/>
      <c r="D1242" s="1622" t="s">
        <v>1623</v>
      </c>
      <c r="E1242" s="1622"/>
      <c r="F1242" s="1622"/>
      <c r="G1242" s="408"/>
    </row>
    <row r="1243" spans="1:7" ht="10.5" customHeight="1">
      <c r="A1243" s="150"/>
      <c r="B1243" s="150"/>
    </row>
    <row r="1244" spans="1:7" ht="14.25">
      <c r="A1244" s="413"/>
      <c r="B1244" s="1544" t="s">
        <v>136</v>
      </c>
      <c r="D1244" s="1584" t="s">
        <v>1257</v>
      </c>
      <c r="E1244" s="1584"/>
      <c r="F1244" s="1584"/>
    </row>
    <row r="1245" spans="1:7" ht="12.75">
      <c r="A1245" s="150"/>
      <c r="B1245" s="150"/>
      <c r="D1245" s="282"/>
      <c r="E1245" s="1607" t="s">
        <v>1532</v>
      </c>
      <c r="F1245" s="1607"/>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598" zoomScale="85" zoomScaleNormal="85" zoomScaleSheetLayoutView="100" workbookViewId="0">
      <selection activeCell="Z607" sqref="Z607:AK607"/>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4" t="s">
        <v>868</v>
      </c>
      <c r="B9" s="2004"/>
      <c r="C9" s="2004"/>
      <c r="D9" s="2004"/>
      <c r="E9" s="2004"/>
      <c r="F9" s="2004"/>
      <c r="G9" s="2004"/>
      <c r="H9" s="2004"/>
      <c r="I9" s="2004"/>
      <c r="J9" s="2004"/>
      <c r="K9" s="2004"/>
      <c r="L9" s="2004"/>
      <c r="M9" s="2004"/>
      <c r="N9" s="2004"/>
      <c r="O9" s="2004"/>
      <c r="P9" s="2004"/>
      <c r="Q9" s="2004"/>
      <c r="R9" s="2004"/>
      <c r="S9" s="2004"/>
      <c r="T9" s="2004"/>
      <c r="U9" s="2004"/>
      <c r="V9" s="2004"/>
      <c r="W9" s="2004"/>
      <c r="X9" s="2004"/>
      <c r="Y9" s="2004"/>
      <c r="Z9" s="2004"/>
      <c r="AA9" s="2004"/>
      <c r="AB9" s="2004"/>
      <c r="AC9" s="2004"/>
      <c r="AD9" s="2004"/>
      <c r="AE9" s="2004"/>
      <c r="AF9" s="2004"/>
      <c r="AG9" s="2004"/>
      <c r="AH9" s="2004"/>
      <c r="AI9" s="2004"/>
      <c r="AJ9" s="2004"/>
      <c r="AK9" s="2004"/>
      <c r="AL9" s="2004"/>
    </row>
    <row r="10" spans="1:38" ht="15" customHeight="1">
      <c r="A10" s="2006" t="s">
        <v>2246</v>
      </c>
      <c r="B10" s="2006"/>
      <c r="C10" s="2006"/>
      <c r="D10" s="2006"/>
      <c r="E10" s="2006"/>
      <c r="F10" s="2006"/>
      <c r="G10" s="2006"/>
      <c r="H10" s="2006"/>
      <c r="I10" s="2006"/>
      <c r="J10" s="2006"/>
      <c r="K10" s="2006"/>
      <c r="L10" s="2006"/>
      <c r="M10" s="2006"/>
      <c r="N10" s="2006"/>
      <c r="O10" s="2006"/>
      <c r="P10" s="2006"/>
      <c r="Q10" s="2006"/>
      <c r="R10" s="2006"/>
      <c r="S10" s="2006"/>
      <c r="T10" s="2006"/>
      <c r="U10" s="2006"/>
      <c r="V10" s="2006"/>
      <c r="W10" s="2006"/>
      <c r="X10" s="2006"/>
      <c r="Y10" s="2006"/>
      <c r="Z10" s="2006"/>
      <c r="AA10" s="2006"/>
      <c r="AB10" s="2006"/>
      <c r="AC10" s="2006"/>
      <c r="AD10" s="2006"/>
      <c r="AE10" s="2006"/>
      <c r="AF10" s="2006"/>
      <c r="AG10" s="2006"/>
      <c r="AH10" s="2006"/>
      <c r="AI10" s="2006"/>
      <c r="AJ10" s="2006"/>
      <c r="AK10" s="2006"/>
      <c r="AL10" s="2006"/>
    </row>
    <row r="11" spans="1:38" s="644" customFormat="1" ht="12.75">
      <c r="A11" s="2007" t="s">
        <v>2369</v>
      </c>
      <c r="B11" s="2008"/>
      <c r="C11" s="2008"/>
      <c r="D11" s="2008"/>
      <c r="E11" s="2008"/>
      <c r="F11" s="2008"/>
      <c r="G11" s="2008"/>
      <c r="H11" s="2008"/>
      <c r="I11" s="2008"/>
      <c r="J11" s="2008"/>
      <c r="K11" s="2008"/>
      <c r="L11" s="2008"/>
      <c r="M11" s="2008"/>
      <c r="N11" s="2008"/>
      <c r="O11" s="2008"/>
      <c r="P11" s="2008"/>
      <c r="Q11" s="2008"/>
      <c r="R11" s="2008"/>
      <c r="S11" s="2008"/>
      <c r="T11" s="2008"/>
      <c r="U11" s="2008"/>
      <c r="V11" s="2008"/>
      <c r="W11" s="2008"/>
      <c r="X11" s="2008"/>
      <c r="Y11" s="2008"/>
      <c r="Z11" s="2008"/>
      <c r="AA11" s="2008"/>
      <c r="AB11" s="2008"/>
      <c r="AC11" s="2008"/>
      <c r="AD11" s="2008"/>
      <c r="AE11" s="2008"/>
      <c r="AF11" s="2008"/>
      <c r="AG11" s="2008"/>
      <c r="AH11" s="2008"/>
      <c r="AI11" s="2008"/>
      <c r="AJ11" s="2008"/>
      <c r="AK11" s="2008"/>
      <c r="AL11" s="2008"/>
    </row>
    <row r="12" spans="1:38" ht="12.75">
      <c r="A12" s="1547" t="s">
        <v>2136</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row>
    <row r="13" spans="1:38" ht="12.75" customHeight="1" thickBot="1">
      <c r="A13" s="1549"/>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54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1" t="s">
        <v>2370</v>
      </c>
      <c r="I15" s="1841"/>
      <c r="J15" s="1841"/>
      <c r="K15" s="1841"/>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row>
    <row r="16" spans="1:38" ht="12.75" customHeight="1"/>
    <row r="17" spans="1:40" ht="12.75" customHeight="1">
      <c r="A17" s="142" t="s">
        <v>869</v>
      </c>
      <c r="C17" s="8"/>
      <c r="D17" s="8"/>
      <c r="E17" s="8"/>
      <c r="F17" s="8"/>
      <c r="G17" s="8"/>
      <c r="H17" s="1694" t="s">
        <v>2371</v>
      </c>
      <c r="I17" s="1686"/>
      <c r="J17" s="1686"/>
      <c r="K17" s="1686"/>
      <c r="L17" s="1686"/>
      <c r="M17" s="1686"/>
      <c r="N17" s="1686"/>
      <c r="O17" s="1686"/>
      <c r="P17" s="1686"/>
      <c r="Q17" s="1686"/>
      <c r="R17" s="1686"/>
      <c r="S17" s="1686"/>
      <c r="T17" s="1686"/>
      <c r="U17" s="1686"/>
      <c r="V17" s="1686"/>
      <c r="W17" s="1686"/>
      <c r="X17" s="1686"/>
      <c r="Y17" s="1686"/>
      <c r="Z17" s="1686"/>
      <c r="AA17" s="1686"/>
      <c r="AB17" s="1686"/>
      <c r="AC17" s="1686"/>
      <c r="AD17" s="1686"/>
      <c r="AE17" s="1686"/>
      <c r="AF17" s="1686"/>
      <c r="AG17" s="1686"/>
      <c r="AH17" s="1686"/>
      <c r="AI17" s="1686"/>
      <c r="AJ17" s="1686"/>
    </row>
    <row r="18" spans="1:40" ht="12.75" customHeight="1"/>
    <row r="19" spans="1:40" ht="15" customHeight="1">
      <c r="A19" s="1568" t="s">
        <v>1218</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75" customHeight="1">
      <c r="A20" s="2009" t="s">
        <v>1493</v>
      </c>
      <c r="B20" s="2009"/>
      <c r="C20" s="2009"/>
      <c r="D20" s="2009"/>
      <c r="E20" s="2009"/>
      <c r="F20" s="2009"/>
      <c r="G20" s="2009"/>
      <c r="H20" s="2009"/>
      <c r="I20" s="2009"/>
      <c r="J20" s="2009"/>
      <c r="K20" s="2009"/>
      <c r="L20" s="2009"/>
      <c r="M20" s="2009"/>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c r="AL20" s="200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1">
        <f>ROUND('Basis &amp; Credits'!AB55,0)</f>
        <v>2318741</v>
      </c>
      <c r="N25" s="1991"/>
      <c r="O25" s="1991"/>
      <c r="P25" s="1991"/>
      <c r="Q25" s="1991"/>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1">
        <f>'Basis &amp; Credits'!AB76</f>
        <v>7729136</v>
      </c>
      <c r="N27" s="1991"/>
      <c r="O27" s="1991"/>
      <c r="P27" s="1991"/>
      <c r="Q27" s="1991"/>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8" t="s">
        <v>119</v>
      </c>
      <c r="P33" s="1688"/>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29"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29"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29"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29"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29"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0"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29"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29"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99"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01"/>
      <c r="H128" s="1801"/>
      <c r="I128" s="72" t="s">
        <v>461</v>
      </c>
      <c r="J128" s="72"/>
      <c r="L128" s="1849"/>
      <c r="M128" s="1849"/>
      <c r="N128" s="1849"/>
      <c r="O128" s="72" t="s">
        <v>2247</v>
      </c>
      <c r="P128" s="72"/>
      <c r="Q128" s="72"/>
      <c r="R128" s="72"/>
      <c r="S128" s="72"/>
      <c r="T128" s="72"/>
      <c r="U128" s="72"/>
      <c r="V128" s="72"/>
      <c r="W128" s="72"/>
      <c r="X128" s="72" t="s">
        <v>463</v>
      </c>
      <c r="Y128" s="1345"/>
      <c r="Z128" s="1345"/>
      <c r="AA128" s="1345"/>
      <c r="AB128" s="1345"/>
      <c r="AC128" s="1345"/>
      <c r="AD128" s="1345"/>
      <c r="AE128" s="1345"/>
      <c r="AF128" s="1345"/>
      <c r="AG128" s="1345"/>
      <c r="AH128" s="1345"/>
      <c r="AI128" s="1345"/>
      <c r="AJ128" s="1345"/>
      <c r="AK128" s="134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49"/>
      <c r="D130" s="1849"/>
      <c r="E130" s="1849"/>
      <c r="F130" s="1849"/>
      <c r="G130" s="1849"/>
      <c r="H130" s="1849"/>
      <c r="I130" s="1849"/>
      <c r="J130" s="1849"/>
      <c r="K130" s="1849"/>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6"/>
      <c r="Z131" s="1686"/>
      <c r="AA131" s="1686"/>
      <c r="AB131" s="1686"/>
      <c r="AC131" s="1686"/>
      <c r="AD131" s="1686"/>
      <c r="AE131" s="1686"/>
      <c r="AF131" s="1686"/>
      <c r="AG131" s="1686"/>
      <c r="AH131" s="1686"/>
      <c r="AI131" s="1686"/>
      <c r="AJ131" s="1686"/>
      <c r="AK131" s="168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0"/>
      <c r="B134" s="1340"/>
      <c r="C134" s="72"/>
      <c r="D134" s="72"/>
      <c r="E134" s="72"/>
      <c r="F134" s="72"/>
      <c r="G134" s="72"/>
      <c r="H134" s="72"/>
      <c r="I134" s="72"/>
      <c r="J134" s="72"/>
      <c r="K134" s="72"/>
      <c r="L134" s="72"/>
      <c r="M134" s="72"/>
      <c r="N134" s="72"/>
      <c r="O134" s="72"/>
      <c r="P134" s="72"/>
      <c r="Q134" s="72"/>
      <c r="R134" s="72"/>
      <c r="S134" s="72"/>
      <c r="T134" s="72"/>
      <c r="U134" s="72"/>
      <c r="V134" s="72"/>
      <c r="W134" s="72"/>
      <c r="X134" s="72"/>
      <c r="Y134" s="1686"/>
      <c r="Z134" s="1686"/>
      <c r="AA134" s="1686"/>
      <c r="AB134" s="1686"/>
      <c r="AC134" s="1686"/>
      <c r="AD134" s="1686"/>
      <c r="AE134" s="1686"/>
      <c r="AF134" s="1686"/>
      <c r="AG134" s="1686"/>
      <c r="AH134" s="1686"/>
      <c r="AI134" s="1686"/>
      <c r="AJ134" s="1686"/>
      <c r="AK134" s="1686"/>
      <c r="AL134" s="1331"/>
      <c r="AM134" s="1331"/>
      <c r="AN134" s="1331"/>
      <c r="AO134" s="1331"/>
      <c r="AP134" s="1331"/>
      <c r="AQ134" s="1331"/>
      <c r="AR134" s="1331"/>
      <c r="AS134" s="1331"/>
      <c r="AT134" s="1331"/>
      <c r="AU134" s="1331"/>
      <c r="AV134" s="1331"/>
      <c r="AW134" s="1331"/>
      <c r="AX134" s="1331"/>
      <c r="AY134" s="1331"/>
      <c r="AZ134" s="1331"/>
      <c r="BA134" s="1331"/>
      <c r="BB134" s="1331"/>
      <c r="BC134" s="1331"/>
      <c r="BD134" s="1331"/>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4" t="s">
        <v>2372</v>
      </c>
      <c r="P156" s="1694"/>
      <c r="Q156" s="1694"/>
      <c r="R156" s="1694"/>
      <c r="S156" s="1694"/>
      <c r="T156" s="1694"/>
      <c r="U156" s="1694"/>
      <c r="V156" s="1694"/>
      <c r="W156" s="1694"/>
      <c r="X156" s="1694"/>
      <c r="Y156" s="1694"/>
      <c r="Z156" s="1694"/>
      <c r="AA156" s="1694"/>
      <c r="AB156" s="1694"/>
      <c r="AC156" s="1694"/>
      <c r="AD156" s="1694"/>
      <c r="AE156" s="1694"/>
      <c r="AF156" s="1694"/>
      <c r="AG156" s="1694"/>
      <c r="AH156" s="1694"/>
      <c r="BT156" s="16" t="s">
        <v>86</v>
      </c>
    </row>
    <row r="157" spans="1:72" ht="12.75" customHeight="1">
      <c r="D157" s="734" t="s">
        <v>602</v>
      </c>
      <c r="F157" s="42"/>
      <c r="G157" s="42"/>
      <c r="H157" s="42"/>
      <c r="I157" s="42"/>
      <c r="J157" s="42"/>
      <c r="K157" s="42"/>
      <c r="L157" s="42"/>
      <c r="M157" s="42"/>
      <c r="N157" s="42"/>
      <c r="O157" s="1692" t="s">
        <v>2373</v>
      </c>
      <c r="P157" s="1692"/>
      <c r="Q157" s="1692"/>
      <c r="R157" s="1692"/>
      <c r="S157" s="1692"/>
      <c r="T157" s="1692"/>
      <c r="U157" s="1692"/>
      <c r="V157" s="1692"/>
      <c r="W157" s="1692"/>
      <c r="X157" s="1692"/>
      <c r="Y157" s="1692"/>
      <c r="Z157" s="1692"/>
      <c r="AA157" s="1692"/>
      <c r="AB157" s="1692"/>
      <c r="AC157" s="1692"/>
      <c r="AD157" s="1692"/>
      <c r="AE157" s="1692"/>
      <c r="AF157" s="1692"/>
      <c r="AG157" s="1692"/>
      <c r="AH157" s="1692"/>
      <c r="AI157" s="16" t="s">
        <v>775</v>
      </c>
      <c r="BN157" s="47" t="s">
        <v>471</v>
      </c>
      <c r="BT157" s="16" t="s">
        <v>32</v>
      </c>
    </row>
    <row r="158" spans="1:72" ht="12.75" customHeight="1">
      <c r="D158" s="17" t="s">
        <v>603</v>
      </c>
      <c r="F158" s="17"/>
      <c r="G158" s="17"/>
      <c r="H158" s="17"/>
      <c r="I158" s="17"/>
      <c r="J158" s="17"/>
      <c r="K158" s="17"/>
      <c r="L158" s="17"/>
      <c r="M158" s="17"/>
      <c r="N158" s="17"/>
      <c r="O158" s="1847" t="s">
        <v>604</v>
      </c>
      <c r="P158" s="1847"/>
      <c r="Q158" s="1847"/>
      <c r="R158" s="1847"/>
      <c r="S158" s="1847"/>
      <c r="T158" s="1847"/>
      <c r="U158" s="1847"/>
      <c r="V158" s="1847"/>
      <c r="W158" s="1847"/>
      <c r="X158" s="1847"/>
      <c r="Y158" s="1847"/>
      <c r="Z158" s="1847"/>
      <c r="AA158" s="1847"/>
      <c r="AB158" s="1847"/>
      <c r="AC158" s="1847"/>
      <c r="AD158" s="1847"/>
      <c r="AE158" s="1847"/>
      <c r="AF158" s="1847"/>
      <c r="AG158" s="1847"/>
      <c r="AH158" s="1847"/>
      <c r="BN158" s="47" t="s">
        <v>472</v>
      </c>
      <c r="BT158" s="16" t="s">
        <v>33</v>
      </c>
    </row>
    <row r="159" spans="1:72" ht="12.75" customHeight="1">
      <c r="D159" s="42" t="s">
        <v>713</v>
      </c>
      <c r="F159" s="42"/>
      <c r="G159" s="42"/>
      <c r="H159" s="42"/>
      <c r="I159" s="42"/>
      <c r="J159" s="42"/>
      <c r="K159" s="42"/>
      <c r="L159" s="42"/>
      <c r="M159" s="42"/>
      <c r="N159" s="42"/>
      <c r="O159" s="1694" t="s">
        <v>2374</v>
      </c>
      <c r="P159" s="1691"/>
      <c r="Q159" s="1691"/>
      <c r="R159" s="1691"/>
      <c r="S159" s="1691"/>
      <c r="T159" s="1691"/>
      <c r="U159" s="1691"/>
      <c r="V159" s="1691"/>
      <c r="W159" s="1691"/>
      <c r="X159" s="1691"/>
      <c r="Y159" s="1691"/>
      <c r="Z159" s="1691"/>
      <c r="AA159" s="1691"/>
      <c r="AB159" s="1691"/>
      <c r="AC159" s="1691"/>
      <c r="AD159" s="1691"/>
      <c r="AE159" s="1691"/>
      <c r="AF159" s="1691"/>
      <c r="AG159" s="1691"/>
      <c r="AH159" s="1691"/>
      <c r="BN159" s="47" t="s">
        <v>80</v>
      </c>
      <c r="BT159" s="16" t="s">
        <v>432</v>
      </c>
    </row>
    <row r="160" spans="1:72" ht="12.75" customHeight="1">
      <c r="D160" s="42" t="s">
        <v>714</v>
      </c>
      <c r="F160" s="42"/>
      <c r="G160" s="42"/>
      <c r="H160" s="42"/>
      <c r="I160" s="42"/>
      <c r="J160" s="42"/>
      <c r="K160" s="42"/>
      <c r="L160" s="42"/>
      <c r="M160" s="42"/>
      <c r="N160" s="42"/>
      <c r="O160" s="1694" t="s">
        <v>124</v>
      </c>
      <c r="P160" s="1694"/>
      <c r="Q160" s="1694"/>
      <c r="R160" s="1694"/>
      <c r="S160" s="1694"/>
      <c r="T160" s="1694"/>
      <c r="U160" s="1694"/>
      <c r="V160" s="1694"/>
      <c r="W160" s="1694"/>
      <c r="X160" s="169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2">
        <v>92101</v>
      </c>
      <c r="P161" s="1852"/>
      <c r="Q161" s="1852"/>
      <c r="R161" s="185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36" t="s">
        <v>2375</v>
      </c>
      <c r="P162" s="1836"/>
      <c r="Q162" s="1836"/>
      <c r="R162" s="1836"/>
      <c r="S162" s="1836"/>
      <c r="T162" s="1836"/>
      <c r="V162" s="271" t="s">
        <v>12</v>
      </c>
      <c r="W162" s="1853"/>
      <c r="X162" s="1853"/>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36" t="s">
        <v>2375</v>
      </c>
      <c r="P163" s="1836"/>
      <c r="Q163" s="1836"/>
      <c r="R163" s="1836"/>
      <c r="S163" s="1836"/>
      <c r="T163" s="183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7" t="s">
        <v>2376</v>
      </c>
      <c r="P164" s="1687"/>
      <c r="Q164" s="1687"/>
      <c r="R164" s="1687"/>
      <c r="S164" s="1687"/>
      <c r="T164" s="1687"/>
      <c r="U164" s="1687"/>
      <c r="V164" s="1687"/>
      <c r="W164" s="1687"/>
      <c r="X164" s="1687"/>
      <c r="Y164" s="1687"/>
      <c r="Z164" s="1687"/>
      <c r="AA164" s="1687"/>
      <c r="AB164" s="1687"/>
      <c r="AC164" s="1687"/>
      <c r="AD164" s="1687"/>
      <c r="AE164" s="1687"/>
      <c r="AF164" s="1687"/>
      <c r="AG164" s="1687"/>
      <c r="AH164" s="1687"/>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1" t="s">
        <v>2195</v>
      </c>
      <c r="E167" s="1851"/>
      <c r="F167" s="1851"/>
      <c r="G167" s="1851"/>
      <c r="H167" s="1851"/>
      <c r="I167" s="1851"/>
      <c r="J167" s="1851"/>
      <c r="K167" s="1851"/>
      <c r="L167" s="1851"/>
      <c r="M167" s="1851"/>
      <c r="N167" s="1851"/>
      <c r="O167" s="1851"/>
      <c r="P167" s="1851"/>
      <c r="Q167" s="1851"/>
      <c r="R167" s="1851"/>
      <c r="S167" s="1851"/>
      <c r="T167" s="1851"/>
      <c r="U167" s="1851"/>
      <c r="V167" s="1851"/>
      <c r="W167" s="1851"/>
      <c r="X167" s="1851"/>
      <c r="Y167" s="185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0" t="s">
        <v>423</v>
      </c>
      <c r="B169" s="1680"/>
      <c r="C169" s="1680"/>
      <c r="D169" s="1680"/>
      <c r="E169" s="1680"/>
      <c r="F169" s="1680"/>
      <c r="G169" s="1680"/>
      <c r="H169" s="1680"/>
      <c r="I169" s="1680"/>
      <c r="J169" s="1680"/>
      <c r="K169" s="1680"/>
      <c r="L169" s="1680"/>
      <c r="M169" s="1680"/>
      <c r="N169" s="1680"/>
      <c r="O169" s="1680"/>
      <c r="P169" s="1680"/>
      <c r="Q169" s="1680"/>
      <c r="R169" s="1680"/>
      <c r="S169" s="1680"/>
      <c r="T169" s="1680"/>
      <c r="U169" s="1680"/>
      <c r="V169" s="1680"/>
      <c r="W169" s="1680"/>
      <c r="X169" s="1680"/>
      <c r="Y169" s="1680"/>
      <c r="Z169" s="1680"/>
      <c r="AA169" s="1680"/>
      <c r="AB169" s="1680"/>
      <c r="AC169" s="1680"/>
      <c r="AD169" s="1680"/>
      <c r="AE169" s="1680"/>
      <c r="AF169" s="1680"/>
      <c r="AG169" s="1680"/>
      <c r="AH169" s="1680"/>
      <c r="AI169" s="1680"/>
      <c r="AJ169" s="1680"/>
      <c r="AK169" s="1680"/>
      <c r="AL169" s="1680"/>
      <c r="BN169" s="47" t="s">
        <v>535</v>
      </c>
      <c r="BT169" s="16" t="s">
        <v>442</v>
      </c>
    </row>
    <row r="170" spans="1:72" ht="12.75" customHeight="1" thickBot="1">
      <c r="A170" s="1681"/>
      <c r="B170" s="1681"/>
      <c r="C170" s="1681"/>
      <c r="D170" s="1681"/>
      <c r="E170" s="1681"/>
      <c r="F170" s="1681"/>
      <c r="G170" s="1681"/>
      <c r="H170" s="1681"/>
      <c r="I170" s="1681"/>
      <c r="J170" s="1681"/>
      <c r="K170" s="1681"/>
      <c r="L170" s="1681"/>
      <c r="M170" s="1681"/>
      <c r="N170" s="1681"/>
      <c r="O170" s="1681"/>
      <c r="P170" s="1681"/>
      <c r="Q170" s="1681"/>
      <c r="R170" s="1681"/>
      <c r="S170" s="1681"/>
      <c r="T170" s="1681"/>
      <c r="U170" s="1681"/>
      <c r="V170" s="1681"/>
      <c r="W170" s="1681"/>
      <c r="X170" s="1681"/>
      <c r="Y170" s="1681"/>
      <c r="Z170" s="1681"/>
      <c r="AA170" s="1681"/>
      <c r="AB170" s="1681"/>
      <c r="AC170" s="1681"/>
      <c r="AD170" s="1681"/>
      <c r="AE170" s="1681"/>
      <c r="AF170" s="1681"/>
      <c r="AG170" s="1681"/>
      <c r="AH170" s="1681"/>
      <c r="AI170" s="1681"/>
      <c r="AJ170" s="1681"/>
      <c r="AK170" s="1681"/>
      <c r="AL170" s="1681"/>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48" t="s">
        <v>563</v>
      </c>
      <c r="K173" s="1848"/>
      <c r="L173" s="1848"/>
      <c r="M173" s="1848"/>
      <c r="N173" s="1848"/>
      <c r="O173" s="1848"/>
      <c r="P173" s="1848"/>
      <c r="Q173" s="1848"/>
      <c r="R173" s="1848"/>
      <c r="S173" s="1848"/>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88" t="s">
        <v>531</v>
      </c>
      <c r="V174" s="1688"/>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45"/>
      <c r="V175" s="1845"/>
      <c r="W175" s="4" t="s">
        <v>259</v>
      </c>
      <c r="X175" s="1850"/>
      <c r="Y175" s="1850"/>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88" t="s">
        <v>531</v>
      </c>
      <c r="V176" s="1688"/>
      <c r="W176" s="3"/>
      <c r="X176" s="3"/>
      <c r="Y176" s="3"/>
      <c r="AD176" s="35"/>
      <c r="AF176" s="35"/>
      <c r="AH176" s="35"/>
      <c r="AJ176" s="3"/>
      <c r="AK176" s="3"/>
      <c r="AL176" s="3"/>
      <c r="BN176" s="47" t="s">
        <v>663</v>
      </c>
      <c r="BT176" s="16" t="s">
        <v>449</v>
      </c>
    </row>
    <row r="177" spans="1:72" ht="12.75">
      <c r="A177" s="35"/>
      <c r="C177" s="54"/>
      <c r="D177" s="596" t="s">
        <v>1363</v>
      </c>
      <c r="AD177" s="35"/>
      <c r="AF177" s="35"/>
      <c r="AH177" s="35"/>
      <c r="AJ177" s="3"/>
      <c r="AK177" s="3"/>
      <c r="AL177" s="3"/>
      <c r="BN177" s="47" t="s">
        <v>664</v>
      </c>
      <c r="BT177" s="16" t="s">
        <v>450</v>
      </c>
    </row>
    <row r="178" spans="1:72" ht="12.75">
      <c r="A178" s="35"/>
      <c r="C178" s="54"/>
      <c r="E178" s="782" t="s">
        <v>257</v>
      </c>
      <c r="F178" s="597"/>
      <c r="G178" s="782"/>
      <c r="H178" s="782" t="s">
        <v>258</v>
      </c>
      <c r="I178" s="597"/>
      <c r="J178" s="1999"/>
      <c r="K178" s="1999"/>
      <c r="L178" s="781" t="s">
        <v>259</v>
      </c>
      <c r="M178" s="1857"/>
      <c r="N178" s="1857"/>
      <c r="O178" s="597"/>
      <c r="P178" s="597"/>
      <c r="Q178" s="597"/>
      <c r="R178" s="597"/>
      <c r="U178" s="743" t="s">
        <v>1364</v>
      </c>
      <c r="V178" s="597"/>
      <c r="W178" s="782"/>
      <c r="X178" s="782"/>
      <c r="Y178" s="782"/>
      <c r="Z178" s="782"/>
      <c r="AA178" s="782"/>
      <c r="AB178" s="782"/>
      <c r="AD178" s="2000"/>
      <c r="AE178" s="2000"/>
      <c r="AF178" s="2000"/>
      <c r="AG178" s="2000"/>
      <c r="AH178" s="2000"/>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88" t="s">
        <v>531</v>
      </c>
      <c r="Z180" s="1837"/>
      <c r="AE180" s="35"/>
      <c r="AJ180" s="3"/>
      <c r="AK180" s="3"/>
      <c r="AL180" s="3"/>
      <c r="BN180" s="47" t="s">
        <v>668</v>
      </c>
      <c r="BT180" s="16" t="s">
        <v>453</v>
      </c>
    </row>
    <row r="181" spans="1:72" ht="12.75">
      <c r="A181" s="35"/>
      <c r="C181" s="55"/>
      <c r="D181" s="57"/>
      <c r="E181" s="596" t="s">
        <v>1362</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40" t="str">
        <f>H17</f>
        <v>Ventana al Sur</v>
      </c>
      <c r="J184" s="1840"/>
      <c r="K184" s="1840"/>
      <c r="L184" s="1840"/>
      <c r="M184" s="1840"/>
      <c r="N184" s="1840"/>
      <c r="O184" s="1840"/>
      <c r="P184" s="1840"/>
      <c r="Q184" s="1840"/>
      <c r="R184" s="1840"/>
      <c r="S184" s="1840"/>
      <c r="T184" s="1840"/>
      <c r="U184" s="1840"/>
      <c r="V184" s="1840"/>
      <c r="W184" s="1840"/>
      <c r="X184" s="1840"/>
      <c r="Y184" s="1840"/>
      <c r="Z184" s="1840"/>
      <c r="AA184" s="1840"/>
      <c r="AB184" s="1840"/>
      <c r="AC184" s="1840"/>
      <c r="AD184" s="1840"/>
      <c r="AE184" s="1840"/>
      <c r="AF184" s="35"/>
      <c r="AH184" s="35"/>
      <c r="AJ184" s="3"/>
      <c r="AK184" s="3"/>
      <c r="AL184" s="3"/>
      <c r="BC184" s="35" t="s">
        <v>132</v>
      </c>
      <c r="BN184" s="47" t="s">
        <v>634</v>
      </c>
      <c r="BT184" s="16" t="s">
        <v>457</v>
      </c>
    </row>
    <row r="185" spans="1:72" ht="12.75">
      <c r="A185" s="35"/>
      <c r="C185" s="58"/>
      <c r="D185" s="35" t="s">
        <v>478</v>
      </c>
      <c r="E185" s="35"/>
      <c r="F185" s="35"/>
      <c r="G185" s="35"/>
      <c r="H185" s="35"/>
      <c r="I185" s="1690" t="s">
        <v>2377</v>
      </c>
      <c r="J185" s="1690"/>
      <c r="K185" s="1690"/>
      <c r="L185" s="1690"/>
      <c r="M185" s="1690"/>
      <c r="N185" s="1690"/>
      <c r="O185" s="1690"/>
      <c r="P185" s="1690"/>
      <c r="Q185" s="1690"/>
      <c r="R185" s="1690"/>
      <c r="S185" s="1690"/>
      <c r="T185" s="1690"/>
      <c r="U185" s="1690"/>
      <c r="V185" s="1690"/>
      <c r="W185" s="1690"/>
      <c r="X185" s="1690"/>
      <c r="Y185" s="1690"/>
      <c r="Z185" s="1690"/>
      <c r="AA185" s="1690"/>
      <c r="AB185" s="1690"/>
      <c r="AC185" s="1690"/>
      <c r="AD185" s="1690"/>
      <c r="AE185" s="1690"/>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1"/>
      <c r="F187" s="2001"/>
      <c r="G187" s="2001"/>
      <c r="H187" s="2001"/>
      <c r="I187" s="2001"/>
      <c r="J187" s="2001"/>
      <c r="K187" s="2001"/>
      <c r="L187" s="2001"/>
      <c r="M187" s="2001"/>
      <c r="N187" s="2001"/>
      <c r="O187" s="2001"/>
      <c r="P187" s="2001"/>
      <c r="Q187" s="2001"/>
      <c r="R187" s="2001"/>
      <c r="S187" s="2001"/>
      <c r="T187" s="2001"/>
      <c r="U187" s="2001"/>
      <c r="V187" s="2001"/>
      <c r="W187" s="2001"/>
      <c r="X187" s="2001"/>
      <c r="Y187" s="2001"/>
      <c r="Z187" s="2001"/>
      <c r="AA187" s="2001"/>
      <c r="AB187" s="2001"/>
      <c r="AC187" s="2001"/>
      <c r="AD187" s="2001"/>
      <c r="AE187" s="2001"/>
      <c r="AF187" s="35"/>
      <c r="AH187" s="35"/>
      <c r="AJ187" s="3"/>
      <c r="AK187" s="3"/>
      <c r="AL187" s="3"/>
      <c r="BN187" s="47" t="s">
        <v>637</v>
      </c>
      <c r="BT187" s="16" t="s">
        <v>923</v>
      </c>
    </row>
    <row r="188" spans="1:72" ht="12.75">
      <c r="A188" s="35"/>
      <c r="C188" s="58"/>
      <c r="D188" s="35"/>
      <c r="E188" s="2002"/>
      <c r="F188" s="2002"/>
      <c r="G188" s="2002"/>
      <c r="H188" s="2002"/>
      <c r="I188" s="2002"/>
      <c r="J188" s="2002"/>
      <c r="K188" s="2002"/>
      <c r="L188" s="2002"/>
      <c r="M188" s="2002"/>
      <c r="N188" s="2002"/>
      <c r="O188" s="2002"/>
      <c r="P188" s="2002"/>
      <c r="Q188" s="2002"/>
      <c r="R188" s="2002"/>
      <c r="S188" s="2002"/>
      <c r="T188" s="2002"/>
      <c r="U188" s="2002"/>
      <c r="V188" s="2002"/>
      <c r="W188" s="2002"/>
      <c r="X188" s="2002"/>
      <c r="Y188" s="2002"/>
      <c r="Z188" s="2002"/>
      <c r="AA188" s="2002"/>
      <c r="AB188" s="2002"/>
      <c r="AC188" s="2002"/>
      <c r="AD188" s="2002"/>
      <c r="AE188" s="2002"/>
      <c r="AF188" s="35"/>
      <c r="AH188" s="35"/>
      <c r="AJ188" s="3"/>
      <c r="AK188" s="3"/>
      <c r="AL188" s="3"/>
      <c r="BN188" s="47" t="s">
        <v>639</v>
      </c>
      <c r="BT188" s="16" t="s">
        <v>924</v>
      </c>
    </row>
    <row r="189" spans="1:72" ht="12.75">
      <c r="A189" s="35"/>
      <c r="C189" s="58"/>
      <c r="D189" s="35" t="s">
        <v>479</v>
      </c>
      <c r="E189" s="35"/>
      <c r="I189" s="1691" t="s">
        <v>2378</v>
      </c>
      <c r="J189" s="1691"/>
      <c r="K189" s="1691"/>
      <c r="L189" s="1691"/>
      <c r="M189" s="1691"/>
      <c r="N189" s="1691"/>
      <c r="O189" s="1691"/>
      <c r="P189" s="1691"/>
      <c r="Q189" s="35" t="s">
        <v>481</v>
      </c>
      <c r="T189" s="1691" t="s">
        <v>124</v>
      </c>
      <c r="U189" s="1691"/>
      <c r="V189" s="1691"/>
      <c r="W189" s="1691"/>
      <c r="X189" s="1691"/>
      <c r="Y189" s="1691"/>
      <c r="Z189" s="1691"/>
      <c r="AA189" s="1691"/>
      <c r="AB189" s="1691"/>
      <c r="AC189" s="1691"/>
      <c r="AD189" s="1691"/>
      <c r="AE189" s="1691"/>
      <c r="AH189" s="35"/>
      <c r="AJ189" s="3"/>
      <c r="AK189" s="3"/>
      <c r="AL189" s="3"/>
      <c r="BC189" s="16" t="s">
        <v>86</v>
      </c>
      <c r="BH189" s="72" t="s">
        <v>136</v>
      </c>
      <c r="BN189" s="47" t="s">
        <v>640</v>
      </c>
      <c r="BT189" s="16" t="s">
        <v>120</v>
      </c>
    </row>
    <row r="190" spans="1:72" ht="12.75">
      <c r="A190" s="35"/>
      <c r="C190" s="59"/>
      <c r="D190" s="35" t="s">
        <v>482</v>
      </c>
      <c r="E190" s="35"/>
      <c r="F190" s="35"/>
      <c r="G190" s="35"/>
      <c r="I190" s="1690">
        <v>92173</v>
      </c>
      <c r="J190" s="1690"/>
      <c r="K190" s="1690"/>
      <c r="L190" s="1690"/>
      <c r="M190" s="1690"/>
      <c r="N190" s="1690"/>
      <c r="O190" s="35" t="s">
        <v>484</v>
      </c>
      <c r="P190" s="35"/>
      <c r="Q190" s="35"/>
      <c r="R190" s="35"/>
      <c r="S190" s="35"/>
      <c r="T190" s="1846">
        <v>100.05</v>
      </c>
      <c r="U190" s="1846"/>
      <c r="V190" s="1846"/>
      <c r="W190" s="1846"/>
      <c r="X190" s="1846"/>
      <c r="Y190" s="1846"/>
      <c r="Z190" s="1846"/>
      <c r="AA190" s="1846"/>
      <c r="AB190" s="1846"/>
      <c r="AC190" s="1846"/>
      <c r="AD190" s="1846"/>
      <c r="AE190" s="1846"/>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11" t="s">
        <v>2379</v>
      </c>
      <c r="O191" s="2011"/>
      <c r="P191" s="2011"/>
      <c r="Q191" s="2011"/>
      <c r="R191" s="2011"/>
      <c r="S191" s="2011"/>
      <c r="T191" s="2011"/>
      <c r="U191" s="2011"/>
      <c r="V191" s="2011"/>
      <c r="W191" s="2011"/>
      <c r="X191" s="2011"/>
      <c r="Y191" s="2011"/>
      <c r="Z191" s="2011"/>
      <c r="AA191" s="2011"/>
      <c r="AB191" s="2011"/>
      <c r="AC191" s="2011"/>
      <c r="AD191" s="2011"/>
      <c r="AE191" s="2011"/>
      <c r="AF191" s="35"/>
      <c r="AH191" s="35"/>
      <c r="AJ191" s="3"/>
      <c r="AK191" s="3"/>
      <c r="AL191" s="3"/>
      <c r="BC191" s="16" t="s">
        <v>1583</v>
      </c>
      <c r="BH191" s="16" t="s">
        <v>1583</v>
      </c>
      <c r="BN191" s="47" t="s">
        <v>642</v>
      </c>
      <c r="BT191" s="16" t="s">
        <v>122</v>
      </c>
    </row>
    <row r="192" spans="1:72" ht="12.75">
      <c r="A192" s="35"/>
      <c r="C192" s="59"/>
      <c r="D192" s="35"/>
      <c r="E192" s="35"/>
      <c r="F192" s="35"/>
      <c r="G192" s="35"/>
      <c r="H192" s="35"/>
      <c r="I192" s="35"/>
      <c r="J192" s="35"/>
      <c r="K192" s="35"/>
      <c r="L192" s="35"/>
      <c r="M192" s="316"/>
      <c r="N192" s="2002"/>
      <c r="O192" s="2002"/>
      <c r="P192" s="2002"/>
      <c r="Q192" s="2002"/>
      <c r="R192" s="2002"/>
      <c r="S192" s="2002"/>
      <c r="T192" s="2002"/>
      <c r="U192" s="2002"/>
      <c r="V192" s="2002"/>
      <c r="W192" s="2002"/>
      <c r="X192" s="2002"/>
      <c r="Y192" s="2002"/>
      <c r="Z192" s="2002"/>
      <c r="AA192" s="2002"/>
      <c r="AB192" s="2002"/>
      <c r="AC192" s="2002"/>
      <c r="AD192" s="2002"/>
      <c r="AE192" s="2002"/>
      <c r="AF192" s="35"/>
      <c r="AH192" s="35"/>
      <c r="AJ192" s="3"/>
      <c r="AK192" s="3"/>
      <c r="AL192" s="3"/>
      <c r="BC192" s="16" t="s">
        <v>730</v>
      </c>
      <c r="BH192" s="8" t="s">
        <v>1590</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88" t="s">
        <v>531</v>
      </c>
      <c r="U193" s="1688"/>
      <c r="W193" s="72" t="s">
        <v>2154</v>
      </c>
      <c r="AA193" s="1844"/>
      <c r="AB193" s="1844"/>
      <c r="AC193" s="1844"/>
      <c r="AJ193" s="3"/>
      <c r="AK193" s="3"/>
      <c r="AL193" s="3"/>
      <c r="BC193" s="16" t="s">
        <v>624</v>
      </c>
      <c r="BH193" s="8" t="s">
        <v>1591</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3" t="s">
        <v>119</v>
      </c>
      <c r="U194" s="1723"/>
      <c r="W194" s="35" t="s">
        <v>68</v>
      </c>
      <c r="X194" s="35"/>
      <c r="Y194" s="35"/>
      <c r="Z194" s="35"/>
      <c r="AA194" s="35"/>
      <c r="AB194" s="35"/>
      <c r="AC194" s="35"/>
      <c r="AD194" s="35"/>
      <c r="AE194" s="35"/>
      <c r="AF194" s="35"/>
      <c r="AG194" s="35"/>
      <c r="AH194" s="35"/>
      <c r="AI194" s="1688" t="s">
        <v>531</v>
      </c>
      <c r="AJ194" s="1688"/>
      <c r="AK194" s="3"/>
      <c r="AL194" s="3"/>
      <c r="AX194" s="8" t="s">
        <v>136</v>
      </c>
      <c r="BC194" s="16" t="s">
        <v>681</v>
      </c>
      <c r="BN194" s="47" t="s">
        <v>825</v>
      </c>
      <c r="BT194" s="16" t="s">
        <v>125</v>
      </c>
    </row>
    <row r="195" spans="1:73" ht="12.75">
      <c r="A195" s="35"/>
      <c r="C195" s="59"/>
      <c r="D195" s="1098" t="s">
        <v>1957</v>
      </c>
      <c r="E195" s="3"/>
      <c r="F195" s="3"/>
      <c r="G195" s="3"/>
      <c r="H195" s="3"/>
      <c r="I195" s="3"/>
      <c r="J195" s="3"/>
      <c r="K195" s="3"/>
      <c r="L195" s="3"/>
      <c r="M195" s="3"/>
      <c r="N195" s="35"/>
      <c r="O195" s="35"/>
      <c r="P195" s="35"/>
      <c r="Q195" s="35"/>
      <c r="R195" s="35"/>
      <c r="T195" s="1723" t="s">
        <v>119</v>
      </c>
      <c r="U195" s="1723"/>
      <c r="X195" s="1348" t="s">
        <v>2176</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3" t="s">
        <v>531</v>
      </c>
      <c r="U196" s="1723"/>
      <c r="W196" s="3"/>
      <c r="X196" s="3"/>
      <c r="Y196" s="3"/>
      <c r="Z196" s="3"/>
      <c r="AA196" s="3"/>
      <c r="AB196" s="3"/>
      <c r="AC196" s="3"/>
      <c r="AD196" s="3"/>
      <c r="AE196" s="3"/>
      <c r="AF196" s="3"/>
      <c r="AG196" s="3"/>
      <c r="AH196" s="3"/>
      <c r="AI196" s="3"/>
      <c r="AJ196" s="3"/>
      <c r="AK196" s="1843"/>
      <c r="AL196" s="1843"/>
      <c r="AX196" s="8" t="s">
        <v>1276</v>
      </c>
      <c r="BN196" s="47" t="s">
        <v>827</v>
      </c>
      <c r="BT196" s="16" t="s">
        <v>127</v>
      </c>
    </row>
    <row r="197" spans="1:73" ht="12.75">
      <c r="A197" s="35"/>
      <c r="C197" s="59"/>
      <c r="D197" s="72" t="s">
        <v>2155</v>
      </c>
      <c r="T197" s="1688" t="s">
        <v>531</v>
      </c>
      <c r="U197" s="1688"/>
      <c r="AJ197" s="3"/>
      <c r="AK197" s="3"/>
      <c r="AL197" s="3"/>
      <c r="AX197" s="8" t="s">
        <v>1277</v>
      </c>
      <c r="BC197" s="16" t="s">
        <v>86</v>
      </c>
      <c r="BN197" s="47" t="s">
        <v>828</v>
      </c>
      <c r="BT197" s="16" t="s">
        <v>128</v>
      </c>
    </row>
    <row r="198" spans="1:73" ht="12.75">
      <c r="A198" s="35"/>
      <c r="C198" s="59"/>
      <c r="D198" s="1098" t="s">
        <v>2185</v>
      </c>
      <c r="W198" s="1838" t="s">
        <v>531</v>
      </c>
      <c r="X198" s="1688"/>
      <c r="AG198" s="35"/>
      <c r="AH198" s="3"/>
      <c r="AI198" s="3"/>
      <c r="AJ198" s="3"/>
      <c r="AK198" s="3"/>
      <c r="AL198" s="3"/>
      <c r="AX198" s="8" t="s">
        <v>1278</v>
      </c>
      <c r="BC198" s="645" t="s">
        <v>1222</v>
      </c>
      <c r="BN198" s="47" t="s">
        <v>829</v>
      </c>
      <c r="BT198" s="16" t="s">
        <v>885</v>
      </c>
    </row>
    <row r="199" spans="1:73" ht="12.75">
      <c r="A199" s="35"/>
      <c r="C199" s="59"/>
      <c r="D199" s="1098" t="s">
        <v>2330</v>
      </c>
      <c r="L199" s="1496"/>
      <c r="M199" s="1496"/>
      <c r="N199" s="1496"/>
      <c r="O199" s="1496"/>
      <c r="P199" s="1496"/>
      <c r="Q199" s="1496"/>
      <c r="R199" s="1842" t="s">
        <v>2326</v>
      </c>
      <c r="S199" s="1842"/>
      <c r="T199" s="1842"/>
      <c r="U199" s="1842"/>
      <c r="V199" s="1842"/>
      <c r="W199" s="1842"/>
      <c r="X199" s="1842"/>
      <c r="Y199" s="1842"/>
      <c r="Z199" s="1842"/>
      <c r="AA199" s="1842"/>
      <c r="AB199" s="1842"/>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2367</v>
      </c>
      <c r="BC200" s="1076" t="s">
        <v>2368</v>
      </c>
      <c r="BN200" s="1530" t="s">
        <v>724</v>
      </c>
      <c r="BO200" s="65"/>
      <c r="BP200" s="68"/>
      <c r="BQ200" s="68"/>
      <c r="BR200" s="68"/>
      <c r="BS200" s="68"/>
      <c r="BT200" s="68" t="s">
        <v>887</v>
      </c>
    </row>
    <row r="201" spans="1:73" ht="12.75" customHeight="1">
      <c r="A201" s="35"/>
      <c r="C201" s="59"/>
      <c r="G201" s="1495" t="s">
        <v>2328</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1603</v>
      </c>
      <c r="BN202" s="47" t="s">
        <v>726</v>
      </c>
      <c r="BT202" s="69" t="s">
        <v>889</v>
      </c>
      <c r="BU202" s="65"/>
    </row>
    <row r="203" spans="1:73" ht="12.75">
      <c r="A203" s="35"/>
      <c r="C203" s="35"/>
      <c r="D203" s="1840" t="str">
        <f>IF(AND(M25&gt;0,M27&gt;0),"Federal and State","Federal Only")</f>
        <v>Federal and State</v>
      </c>
      <c r="E203" s="1840"/>
      <c r="F203" s="1840"/>
      <c r="G203" s="1840"/>
      <c r="H203" s="1840"/>
      <c r="I203" s="1840"/>
      <c r="J203" s="1840"/>
      <c r="K203" s="1840"/>
      <c r="L203" s="1840"/>
      <c r="M203" s="1840"/>
      <c r="P203" s="2005">
        <f>M25</f>
        <v>2318741</v>
      </c>
      <c r="Q203" s="2005"/>
      <c r="R203" s="2005"/>
      <c r="S203" s="2005"/>
      <c r="T203" s="2005"/>
      <c r="U203" s="2005"/>
      <c r="V203" s="35"/>
      <c r="W203" s="2005">
        <f>M27</f>
        <v>7729136</v>
      </c>
      <c r="X203" s="2005"/>
      <c r="Y203" s="2005"/>
      <c r="Z203" s="2005"/>
      <c r="AA203" s="2005"/>
      <c r="AB203" s="2005"/>
      <c r="AD203" s="35"/>
      <c r="AE203" s="35"/>
      <c r="AF203" s="35"/>
      <c r="AG203" s="35"/>
      <c r="AH203" s="35"/>
      <c r="AI203" s="35"/>
      <c r="AJ203" s="3"/>
      <c r="AK203" s="3"/>
      <c r="AL203" s="3"/>
      <c r="AV203" s="16" t="s">
        <v>136</v>
      </c>
      <c r="AX203" s="8" t="s">
        <v>730</v>
      </c>
      <c r="BC203" s="3" t="s">
        <v>1601</v>
      </c>
      <c r="BN203" s="47" t="s">
        <v>727</v>
      </c>
      <c r="BT203" s="69" t="s">
        <v>890</v>
      </c>
      <c r="BU203" s="65"/>
    </row>
    <row r="204" spans="1:73" ht="12.75">
      <c r="A204" s="35"/>
      <c r="C204" s="58"/>
      <c r="E204" s="35"/>
      <c r="F204" s="35"/>
      <c r="G204" s="35"/>
      <c r="P204" s="1993" t="s">
        <v>192</v>
      </c>
      <c r="Q204" s="1993"/>
      <c r="R204" s="1993"/>
      <c r="S204" s="1993"/>
      <c r="T204" s="1993"/>
      <c r="U204" s="1993"/>
      <c r="V204" s="60"/>
      <c r="W204" s="1993" t="s">
        <v>193</v>
      </c>
      <c r="X204" s="1993"/>
      <c r="Y204" s="1993"/>
      <c r="Z204" s="1993"/>
      <c r="AA204" s="1993"/>
      <c r="AB204" s="1993"/>
      <c r="AD204" s="35"/>
      <c r="AE204" s="35"/>
      <c r="AF204" s="35"/>
      <c r="AG204" s="35"/>
      <c r="AH204" s="35"/>
      <c r="AI204" s="35"/>
      <c r="AJ204" s="3"/>
      <c r="AK204" s="3"/>
      <c r="AL204" s="3"/>
      <c r="AV204" s="16" t="s">
        <v>119</v>
      </c>
      <c r="AX204" s="8" t="s">
        <v>1529</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56"/>
      <c r="Y206" s="1357"/>
      <c r="Z206" s="1357"/>
      <c r="AA206" s="1357"/>
      <c r="AB206" s="1357"/>
      <c r="AC206" s="1357"/>
      <c r="AD206" s="1357"/>
      <c r="AE206" s="1357"/>
      <c r="AF206" s="1357"/>
      <c r="AG206" s="1357"/>
      <c r="AH206" s="1357"/>
      <c r="AI206" s="1357"/>
      <c r="AJ206" s="1357"/>
      <c r="AK206" s="1358"/>
      <c r="AL206" s="3"/>
      <c r="AX206" s="16" t="s">
        <v>86</v>
      </c>
      <c r="BC206" s="273" t="s">
        <v>1604</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59"/>
      <c r="Y207" s="1523" t="s">
        <v>2357</v>
      </c>
      <c r="Z207" s="1360"/>
      <c r="AA207" s="1360"/>
      <c r="AB207" s="1360"/>
      <c r="AC207" s="1360"/>
      <c r="AD207" s="1360"/>
      <c r="AE207" s="1360"/>
      <c r="AF207" s="1360"/>
      <c r="AG207" s="1360"/>
      <c r="AH207" s="1360"/>
      <c r="AI207" s="1360"/>
      <c r="AJ207" s="1360"/>
      <c r="AK207" s="1361"/>
      <c r="AL207" s="3"/>
      <c r="AX207" s="16" t="s">
        <v>2322</v>
      </c>
      <c r="BC207" s="272" t="s">
        <v>1985</v>
      </c>
      <c r="BN207" s="47" t="s">
        <v>1</v>
      </c>
      <c r="BT207" s="69" t="s">
        <v>893</v>
      </c>
    </row>
    <row r="208" spans="1:73" ht="12.75">
      <c r="A208" s="35"/>
      <c r="C208" s="58"/>
      <c r="D208" s="1686" t="s">
        <v>2380</v>
      </c>
      <c r="E208" s="1686"/>
      <c r="F208" s="1686"/>
      <c r="G208" s="1686"/>
      <c r="H208" s="1686"/>
      <c r="I208" s="1686"/>
      <c r="J208" s="1686"/>
      <c r="K208" s="1686"/>
      <c r="L208" s="1686"/>
      <c r="M208" s="1686"/>
      <c r="N208" s="35"/>
      <c r="O208" s="35"/>
      <c r="P208" s="35"/>
      <c r="Q208" s="35"/>
      <c r="R208" s="35"/>
      <c r="S208" s="35"/>
      <c r="T208" s="35"/>
      <c r="U208" s="35"/>
      <c r="V208" s="35"/>
      <c r="W208" s="35"/>
      <c r="X208" s="1359"/>
      <c r="Y208" s="1524" t="s">
        <v>2359</v>
      </c>
      <c r="Z208" s="1360"/>
      <c r="AA208" s="1360"/>
      <c r="AB208" s="1360"/>
      <c r="AC208" s="1360"/>
      <c r="AD208" s="1360"/>
      <c r="AE208" s="1360"/>
      <c r="AF208" s="1360"/>
      <c r="AG208" s="1360"/>
      <c r="AH208" s="1360"/>
      <c r="AI208" s="1360"/>
      <c r="AJ208" s="1360"/>
      <c r="AK208" s="1361"/>
      <c r="AL208" s="3"/>
      <c r="AX208" s="16" t="s">
        <v>2323</v>
      </c>
      <c r="BC208" s="3" t="s">
        <v>1602</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59"/>
      <c r="Y209" s="1525" t="s">
        <v>2360</v>
      </c>
      <c r="Z209" s="1360"/>
      <c r="AA209" s="1360"/>
      <c r="AB209" s="1360"/>
      <c r="AC209" s="1360"/>
      <c r="AD209" s="1360"/>
      <c r="AE209" s="1360"/>
      <c r="AF209" s="1360"/>
      <c r="AG209" s="1360"/>
      <c r="AH209" s="1360"/>
      <c r="AI209" s="1360"/>
      <c r="AJ209" s="1360"/>
      <c r="AK209" s="1361"/>
      <c r="AL209" s="3"/>
      <c r="AX209" s="16" t="s">
        <v>2324</v>
      </c>
      <c r="BC209" s="272" t="s">
        <v>81</v>
      </c>
      <c r="BN209" s="47" t="s">
        <v>3</v>
      </c>
      <c r="BT209" s="69" t="s">
        <v>895</v>
      </c>
    </row>
    <row r="210" spans="1:72" ht="12.75">
      <c r="A210" s="63" t="s">
        <v>135</v>
      </c>
      <c r="C210" s="63" t="s">
        <v>1273</v>
      </c>
      <c r="X210" s="1359"/>
      <c r="Y210" s="1526" t="s">
        <v>2358</v>
      </c>
      <c r="Z210" s="1360"/>
      <c r="AA210" s="1360"/>
      <c r="AB210" s="1360"/>
      <c r="AC210" s="1360"/>
      <c r="AD210" s="1360"/>
      <c r="AE210" s="1360"/>
      <c r="AF210" s="1360"/>
      <c r="AG210" s="1360"/>
      <c r="AH210" s="1360"/>
      <c r="AI210" s="1360"/>
      <c r="AJ210" s="1360"/>
      <c r="AK210" s="1361"/>
      <c r="AL210" s="3"/>
      <c r="AX210" s="16" t="s">
        <v>2325</v>
      </c>
      <c r="BN210" s="47" t="s">
        <v>4</v>
      </c>
      <c r="BT210" s="69" t="s">
        <v>896</v>
      </c>
    </row>
    <row r="211" spans="1:72" ht="12.75">
      <c r="C211" s="58"/>
      <c r="D211" s="1686" t="s">
        <v>1275</v>
      </c>
      <c r="E211" s="1686"/>
      <c r="F211" s="1686"/>
      <c r="G211" s="1686"/>
      <c r="H211" s="1686"/>
      <c r="I211" s="1686"/>
      <c r="J211" s="1686"/>
      <c r="K211" s="1686"/>
      <c r="L211" s="1686"/>
      <c r="M211" s="1686"/>
      <c r="N211" s="1686"/>
      <c r="O211" s="1686"/>
      <c r="P211" s="1686"/>
      <c r="X211" s="1359"/>
      <c r="Y211" s="1688" t="s">
        <v>531</v>
      </c>
      <c r="Z211" s="1688"/>
      <c r="AA211" s="1360"/>
      <c r="AB211" s="1360"/>
      <c r="AC211" s="1360"/>
      <c r="AD211" s="1360"/>
      <c r="AE211" s="1360"/>
      <c r="AF211" s="1360"/>
      <c r="AG211" s="1360"/>
      <c r="AH211" s="1360"/>
      <c r="AI211" s="1360"/>
      <c r="AJ211" s="1360"/>
      <c r="AK211" s="1361"/>
      <c r="AL211" s="3"/>
      <c r="AX211" s="16" t="s">
        <v>2326</v>
      </c>
      <c r="BN211" s="47" t="s">
        <v>21</v>
      </c>
      <c r="BT211" s="69" t="s">
        <v>22</v>
      </c>
    </row>
    <row r="212" spans="1:72" ht="13.5" thickBot="1">
      <c r="X212" s="1364"/>
      <c r="Y212" s="1362"/>
      <c r="Z212" s="1362"/>
      <c r="AA212" s="1362"/>
      <c r="AB212" s="1362"/>
      <c r="AC212" s="1362"/>
      <c r="AD212" s="1362"/>
      <c r="AE212" s="1362"/>
      <c r="AF212" s="1362"/>
      <c r="AG212" s="1362"/>
      <c r="AH212" s="1362"/>
      <c r="AI212" s="1362"/>
      <c r="AJ212" s="1362"/>
      <c r="AK212" s="1363"/>
      <c r="AL212" s="3"/>
      <c r="AX212" s="16" t="s">
        <v>2327</v>
      </c>
      <c r="BC212" s="750" t="s">
        <v>86</v>
      </c>
      <c r="BN212" s="47" t="s">
        <v>5</v>
      </c>
      <c r="BT212" s="69" t="s">
        <v>897</v>
      </c>
    </row>
    <row r="213" spans="1:72" ht="12.75">
      <c r="A213" s="63" t="s">
        <v>137</v>
      </c>
      <c r="C213" s="63" t="s">
        <v>1584</v>
      </c>
      <c r="AG213" s="3"/>
      <c r="AJ213" s="3"/>
      <c r="AK213" s="3"/>
      <c r="AL213" s="3"/>
      <c r="AX213" s="72" t="s">
        <v>2329</v>
      </c>
      <c r="BC213" s="16" t="s">
        <v>692</v>
      </c>
      <c r="BN213" s="47" t="s">
        <v>6</v>
      </c>
      <c r="BT213" s="69" t="s">
        <v>898</v>
      </c>
    </row>
    <row r="214" spans="1:72" ht="12.75">
      <c r="C214" s="58"/>
      <c r="D214" s="1686" t="s">
        <v>1583</v>
      </c>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G214" s="3"/>
      <c r="AJ214" s="3"/>
      <c r="AK214" s="3"/>
      <c r="AL214" s="3"/>
      <c r="BC214" s="16" t="s">
        <v>696</v>
      </c>
      <c r="BN214" s="47" t="s">
        <v>492</v>
      </c>
      <c r="BT214" s="69" t="s">
        <v>899</v>
      </c>
    </row>
    <row r="215" spans="1:72" ht="12.75">
      <c r="D215" s="64"/>
      <c r="E215" s="8" t="s">
        <v>1600</v>
      </c>
      <c r="AE215" s="2003">
        <v>0.25</v>
      </c>
      <c r="AF215" s="2003"/>
      <c r="AG215" s="3"/>
      <c r="AJ215" s="3"/>
      <c r="AK215" s="3"/>
      <c r="AL215" s="3"/>
      <c r="BC215" s="16" t="s">
        <v>693</v>
      </c>
    </row>
    <row r="216" spans="1:72" ht="12.75" customHeight="1">
      <c r="D216" s="64"/>
      <c r="E216" s="8" t="s">
        <v>1597</v>
      </c>
      <c r="AG216" s="3"/>
      <c r="AJ216" s="3"/>
      <c r="AK216" s="3"/>
      <c r="AL216" s="3"/>
      <c r="BC216" s="16" t="s">
        <v>812</v>
      </c>
    </row>
    <row r="217" spans="1:72" ht="12.75">
      <c r="E217" s="2010" t="s">
        <v>136</v>
      </c>
      <c r="F217" s="2002"/>
      <c r="G217" s="2002"/>
      <c r="H217" s="2002"/>
      <c r="I217" s="2002"/>
      <c r="J217" s="2002"/>
      <c r="K217" s="2002"/>
      <c r="L217" s="2002"/>
      <c r="M217" s="2002"/>
      <c r="N217" s="2002"/>
      <c r="O217" s="2002"/>
      <c r="P217" s="2002"/>
      <c r="Q217" s="2002"/>
      <c r="R217" s="2002"/>
      <c r="S217" s="2002"/>
      <c r="T217" s="2002"/>
      <c r="U217" s="2002"/>
      <c r="V217" s="2002"/>
      <c r="W217" s="2002"/>
      <c r="X217" s="2002"/>
      <c r="Y217" s="2002"/>
      <c r="Z217" s="2002"/>
      <c r="AA217" s="83"/>
      <c r="AB217" s="83"/>
      <c r="AC217" s="83"/>
      <c r="AD217" s="83"/>
      <c r="AE217" s="83"/>
      <c r="AF217" s="83"/>
      <c r="AG217" s="3"/>
      <c r="AJ217" s="3"/>
      <c r="AK217" s="3"/>
      <c r="AL217" s="3"/>
      <c r="BC217" s="16" t="s">
        <v>694</v>
      </c>
    </row>
    <row r="218" spans="1:72" ht="12.75">
      <c r="E218" s="72" t="s">
        <v>2248</v>
      </c>
      <c r="AA218" s="83"/>
      <c r="AC218" s="1839">
        <v>62</v>
      </c>
      <c r="AD218" s="1839"/>
      <c r="AE218" s="1839"/>
      <c r="AF218" s="1839"/>
      <c r="AG218" s="1839"/>
      <c r="AH218" s="1839"/>
      <c r="AI218" s="1839"/>
      <c r="AJ218" s="1839"/>
      <c r="AK218" s="1839"/>
      <c r="AL218" s="1839"/>
      <c r="AM218" s="1839"/>
      <c r="BC218" s="16" t="s">
        <v>695</v>
      </c>
      <c r="BI218" s="67"/>
    </row>
    <row r="219" spans="1:72" ht="12.75" customHeight="1">
      <c r="E219" s="72" t="s">
        <v>2249</v>
      </c>
      <c r="AA219" s="83"/>
      <c r="AC219" s="1839"/>
      <c r="AD219" s="1839"/>
      <c r="AE219" s="1839"/>
      <c r="AF219" s="1839"/>
      <c r="AG219" s="1839"/>
      <c r="AH219" s="1839"/>
      <c r="AI219" s="1839"/>
      <c r="AJ219" s="1839"/>
      <c r="AK219" s="1839"/>
      <c r="AL219" s="1839"/>
      <c r="AM219" s="183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4" t="s">
        <v>945</v>
      </c>
      <c r="E223" s="1694"/>
      <c r="F223" s="1694"/>
      <c r="G223" s="1694"/>
      <c r="H223" s="1694"/>
      <c r="I223" s="1694"/>
      <c r="J223" s="1694"/>
      <c r="K223" s="1694"/>
      <c r="L223" s="1694"/>
      <c r="M223" s="1694"/>
      <c r="N223" s="1694"/>
      <c r="O223" s="1694"/>
      <c r="P223" s="1694"/>
      <c r="Q223" s="1694"/>
      <c r="R223" s="1694"/>
      <c r="S223" s="1694"/>
      <c r="T223" s="1694"/>
      <c r="U223" s="1694"/>
      <c r="V223" s="1694"/>
      <c r="W223" s="1694"/>
      <c r="X223" s="1694"/>
      <c r="Y223" s="1694"/>
      <c r="Z223" s="1694"/>
      <c r="AA223" s="1694"/>
      <c r="AB223" s="1694"/>
      <c r="AC223" s="1694"/>
      <c r="AD223" s="1694"/>
      <c r="AE223" s="1694"/>
      <c r="AF223" s="1694"/>
      <c r="AG223" s="1694"/>
      <c r="AH223" s="1694"/>
      <c r="AI223" s="1694"/>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8">
        <v>51</v>
      </c>
      <c r="P225" s="1688"/>
    </row>
    <row r="226" spans="1:59" ht="12.75" customHeight="1">
      <c r="D226" s="35" t="s">
        <v>618</v>
      </c>
      <c r="E226" s="35"/>
      <c r="F226" s="35"/>
      <c r="G226" s="35"/>
      <c r="H226" s="35"/>
      <c r="I226" s="35"/>
      <c r="J226" s="35"/>
      <c r="K226" s="35"/>
      <c r="L226" s="35"/>
      <c r="M226" s="35"/>
      <c r="N226" s="35"/>
      <c r="O226" s="1688">
        <v>80</v>
      </c>
      <c r="P226" s="1688"/>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8">
        <v>40</v>
      </c>
      <c r="P227" s="1688"/>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1680" t="s">
        <v>544</v>
      </c>
      <c r="B231" s="1680"/>
      <c r="C231" s="1680"/>
      <c r="D231" s="1680"/>
      <c r="E231" s="1680"/>
      <c r="F231" s="1680"/>
      <c r="G231" s="1680"/>
      <c r="H231" s="1680"/>
      <c r="I231" s="1680"/>
      <c r="J231" s="1680"/>
      <c r="K231" s="1680"/>
      <c r="L231" s="1680"/>
      <c r="M231" s="1680"/>
      <c r="N231" s="1680"/>
      <c r="O231" s="1680"/>
      <c r="P231" s="1680"/>
      <c r="Q231" s="1680"/>
      <c r="R231" s="1680"/>
      <c r="S231" s="1680"/>
      <c r="T231" s="1680"/>
      <c r="U231" s="1680"/>
      <c r="V231" s="1680"/>
      <c r="W231" s="1680"/>
      <c r="X231" s="1680"/>
      <c r="Y231" s="1680"/>
      <c r="Z231" s="1680"/>
      <c r="AA231" s="1680"/>
      <c r="AB231" s="1680"/>
      <c r="AC231" s="1680"/>
      <c r="AD231" s="1680"/>
      <c r="AE231" s="1680"/>
      <c r="AF231" s="1680"/>
      <c r="AG231" s="1680"/>
      <c r="AH231" s="1680"/>
      <c r="AI231" s="1680"/>
      <c r="AJ231" s="1680"/>
      <c r="AK231" s="1680"/>
      <c r="AL231" s="1680"/>
    </row>
    <row r="232" spans="1:59" ht="13.5" thickBot="1">
      <c r="A232" s="1681"/>
      <c r="B232" s="1681"/>
      <c r="C232" s="1681"/>
      <c r="D232" s="1681"/>
      <c r="E232" s="1681"/>
      <c r="F232" s="1681"/>
      <c r="G232" s="1681"/>
      <c r="H232" s="1681"/>
      <c r="I232" s="1681"/>
      <c r="J232" s="1681"/>
      <c r="K232" s="1681"/>
      <c r="L232" s="1681"/>
      <c r="M232" s="1681"/>
      <c r="N232" s="1681"/>
      <c r="O232" s="1681"/>
      <c r="P232" s="1681"/>
      <c r="Q232" s="1681"/>
      <c r="R232" s="1681"/>
      <c r="S232" s="1681"/>
      <c r="T232" s="1681"/>
      <c r="U232" s="1681"/>
      <c r="V232" s="1681"/>
      <c r="W232" s="1681"/>
      <c r="X232" s="1681"/>
      <c r="Y232" s="1681"/>
      <c r="Z232" s="1681"/>
      <c r="AA232" s="1681"/>
      <c r="AB232" s="1681"/>
      <c r="AC232" s="1681"/>
      <c r="AD232" s="1681"/>
      <c r="AE232" s="1681"/>
      <c r="AF232" s="1681"/>
      <c r="AG232" s="1681"/>
      <c r="AH232" s="1681"/>
      <c r="AI232" s="1681"/>
      <c r="AJ232" s="1681"/>
      <c r="AK232" s="1681"/>
      <c r="AL232" s="1681"/>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92" t="str">
        <f>H15</f>
        <v>MAAC, Inc</v>
      </c>
      <c r="N235" s="1992"/>
      <c r="O235" s="1992"/>
      <c r="P235" s="1992"/>
      <c r="Q235" s="1992"/>
      <c r="R235" s="1992"/>
      <c r="S235" s="1992"/>
      <c r="T235" s="1992"/>
      <c r="U235" s="1992"/>
      <c r="V235" s="1992"/>
      <c r="W235" s="1992"/>
      <c r="X235" s="1992"/>
      <c r="Y235" s="1992"/>
      <c r="Z235" s="1992"/>
      <c r="AA235" s="1992"/>
      <c r="AB235" s="1992"/>
      <c r="AC235" s="1992"/>
      <c r="AD235" s="1992"/>
      <c r="AE235" s="1992"/>
      <c r="AF235" s="1992"/>
      <c r="AG235" s="1992"/>
      <c r="AH235" s="1992"/>
      <c r="AI235" s="1992"/>
      <c r="AJ235" s="1992"/>
      <c r="AK235" s="1992"/>
      <c r="BB235" s="62"/>
      <c r="BC235" s="35"/>
      <c r="BD235" s="35"/>
      <c r="BE235" s="35"/>
      <c r="BF235" s="35"/>
      <c r="BG235" s="71"/>
    </row>
    <row r="236" spans="1:59" ht="12.75" customHeight="1">
      <c r="D236" s="71" t="s">
        <v>416</v>
      </c>
      <c r="E236" s="71"/>
      <c r="F236" s="71"/>
      <c r="G236" s="71"/>
      <c r="H236" s="71"/>
      <c r="I236" s="71"/>
      <c r="J236" s="71"/>
      <c r="K236" s="8"/>
      <c r="M236" s="1694" t="s">
        <v>2381</v>
      </c>
      <c r="N236" s="1694"/>
      <c r="O236" s="1694"/>
      <c r="P236" s="1694"/>
      <c r="Q236" s="1694"/>
      <c r="R236" s="1694"/>
      <c r="S236" s="1694"/>
      <c r="T236" s="1694"/>
      <c r="U236" s="1694"/>
      <c r="V236" s="1694"/>
      <c r="W236" s="1694"/>
      <c r="X236" s="1694"/>
      <c r="Y236" s="1694"/>
      <c r="Z236" s="1694"/>
      <c r="AA236" s="1694"/>
      <c r="AB236" s="1694"/>
      <c r="AC236" s="1694"/>
      <c r="AD236" s="1694"/>
      <c r="AE236" s="1694"/>
      <c r="AM236" s="72"/>
      <c r="AN236" s="72"/>
      <c r="BB236" s="16" t="s">
        <v>703</v>
      </c>
      <c r="BG236" s="646">
        <f>IF(AND(AND($M$251="nonprofit",$M$259="nonprofit",$M$267="nonprofit")),1,0)</f>
        <v>0</v>
      </c>
    </row>
    <row r="237" spans="1:59" ht="12.75">
      <c r="D237" s="71" t="s">
        <v>479</v>
      </c>
      <c r="E237" s="71"/>
      <c r="M237" s="1694" t="s">
        <v>2382</v>
      </c>
      <c r="N237" s="1694"/>
      <c r="O237" s="1694"/>
      <c r="P237" s="1694"/>
      <c r="Q237" s="1694"/>
      <c r="R237" s="1694"/>
      <c r="S237" s="1694"/>
      <c r="T237" s="1694"/>
      <c r="V237" s="73" t="s">
        <v>417</v>
      </c>
      <c r="W237" s="1692" t="s">
        <v>2383</v>
      </c>
      <c r="X237" s="1696"/>
      <c r="Y237" s="71" t="s">
        <v>482</v>
      </c>
      <c r="AC237" s="1686">
        <v>91911</v>
      </c>
      <c r="AD237" s="1686"/>
      <c r="AE237" s="1686"/>
      <c r="AN237" s="72"/>
      <c r="BB237" s="16" t="s">
        <v>703</v>
      </c>
      <c r="BG237" s="646">
        <f>IF(AND(AND($M$251="nonprofit",$M$259="nonprofit",$M$267="(select one)")),1,0)</f>
        <v>1</v>
      </c>
    </row>
    <row r="238" spans="1:59" ht="12.75">
      <c r="D238" s="74" t="s">
        <v>418</v>
      </c>
      <c r="E238" s="8"/>
      <c r="F238" s="8"/>
      <c r="G238" s="8"/>
      <c r="H238" s="8"/>
      <c r="I238" s="8"/>
      <c r="J238" s="8"/>
      <c r="K238" s="39"/>
      <c r="M238" s="1694" t="s">
        <v>2384</v>
      </c>
      <c r="N238" s="1686"/>
      <c r="O238" s="1686"/>
      <c r="P238" s="1686"/>
      <c r="Q238" s="1686"/>
      <c r="R238" s="1686"/>
      <c r="S238" s="1686"/>
      <c r="T238" s="1686"/>
      <c r="U238" s="1686"/>
      <c r="V238" s="1686"/>
      <c r="W238" s="1686"/>
      <c r="X238" s="1686"/>
      <c r="Y238" s="1686"/>
      <c r="Z238" s="1686"/>
      <c r="AA238" s="1686"/>
      <c r="AB238" s="1686"/>
      <c r="AC238" s="1686"/>
      <c r="AD238" s="1686"/>
      <c r="AE238" s="1686"/>
      <c r="AI238" s="8"/>
      <c r="AJ238" s="8"/>
      <c r="AK238" s="8"/>
      <c r="AL238" s="8"/>
      <c r="AN238" s="72"/>
      <c r="BB238" s="16" t="s">
        <v>703</v>
      </c>
      <c r="BG238" s="646">
        <f>IF(AND(AND($M$251="nonprofit",$M$259="(select one)",$M$267="(select one)")),1,0)</f>
        <v>0</v>
      </c>
    </row>
    <row r="239" spans="1:59" ht="12.75">
      <c r="D239" s="74" t="s">
        <v>419</v>
      </c>
      <c r="E239" s="8"/>
      <c r="F239" s="8"/>
      <c r="M239" s="1682" t="s">
        <v>2385</v>
      </c>
      <c r="N239" s="1683"/>
      <c r="O239" s="1683"/>
      <c r="P239" s="1683"/>
      <c r="Q239" s="1683"/>
      <c r="R239" s="1683"/>
      <c r="S239" s="8" t="s">
        <v>900</v>
      </c>
      <c r="T239" s="8"/>
      <c r="U239" s="1696"/>
      <c r="V239" s="1696"/>
      <c r="W239" s="1696"/>
      <c r="X239" s="8" t="s">
        <v>420</v>
      </c>
      <c r="Z239" s="1683"/>
      <c r="AA239" s="1683"/>
      <c r="AB239" s="1683"/>
      <c r="AC239" s="1683"/>
      <c r="AD239" s="1683"/>
      <c r="AE239" s="1683"/>
      <c r="AM239" s="72"/>
      <c r="AN239" s="72"/>
      <c r="BB239" s="16" t="s">
        <v>1114</v>
      </c>
      <c r="BG239" s="646">
        <f>IF(AND(AND($M$251="for profit",$M$259="for profit",$M$267="for profit")),3,0)</f>
        <v>0</v>
      </c>
    </row>
    <row r="240" spans="1:59" ht="12.75">
      <c r="D240" s="74" t="s">
        <v>421</v>
      </c>
      <c r="E240" s="8"/>
      <c r="F240" s="8"/>
      <c r="M240" s="1687" t="s">
        <v>2386</v>
      </c>
      <c r="N240" s="1687"/>
      <c r="O240" s="1687"/>
      <c r="P240" s="1687"/>
      <c r="Q240" s="1687"/>
      <c r="R240" s="1687"/>
      <c r="S240" s="1687"/>
      <c r="T240" s="1687"/>
      <c r="U240" s="1687"/>
      <c r="V240" s="1687"/>
      <c r="W240" s="1687"/>
      <c r="X240" s="1687"/>
      <c r="Y240" s="1687"/>
      <c r="Z240" s="1687"/>
      <c r="AA240" s="1687"/>
      <c r="AB240" s="1687"/>
      <c r="AC240" s="1687"/>
      <c r="AD240" s="1687"/>
      <c r="AE240" s="1687"/>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90" t="s">
        <v>543</v>
      </c>
      <c r="N241" s="1690"/>
      <c r="O241" s="1690"/>
      <c r="P241" s="1690"/>
      <c r="Q241" s="1690"/>
      <c r="R241" s="1690"/>
      <c r="S241" s="1690"/>
      <c r="T241" s="1690"/>
      <c r="U241" s="8" t="s">
        <v>1267</v>
      </c>
      <c r="AA241" s="1693"/>
      <c r="AB241" s="1693"/>
      <c r="AC241" s="1693"/>
      <c r="AD241" s="1693"/>
      <c r="AE241" s="1693"/>
      <c r="AF241" s="1693"/>
      <c r="AG241" s="1693"/>
      <c r="AH241" s="1693"/>
      <c r="AI241" s="1693"/>
      <c r="AJ241" s="1693"/>
      <c r="AK241" s="1693"/>
      <c r="AL241" s="72"/>
      <c r="AM241" s="8"/>
      <c r="AN241" s="72"/>
      <c r="AO241" s="72"/>
      <c r="BB241" s="16" t="s">
        <v>1114</v>
      </c>
      <c r="BC241" s="35"/>
      <c r="BD241" s="35"/>
      <c r="BE241" s="35"/>
      <c r="BF241" s="35"/>
      <c r="BG241" s="647">
        <f>IF(AND(AND($M$251="for profit",$M$259="(select one)",$M$267="(select one)")),3,0)</f>
        <v>0</v>
      </c>
    </row>
    <row r="242" spans="1:67" ht="12.75">
      <c r="D242" s="16" t="s">
        <v>697</v>
      </c>
      <c r="M242" s="1691"/>
      <c r="N242" s="1691"/>
      <c r="O242" s="1691"/>
      <c r="P242" s="1691"/>
      <c r="Q242" s="1691"/>
      <c r="R242" s="1691"/>
      <c r="S242" s="1691"/>
      <c r="T242" s="1691"/>
      <c r="U242" s="1691"/>
      <c r="V242" s="1691"/>
      <c r="W242" s="1691"/>
      <c r="X242" s="1691"/>
      <c r="Y242" s="1691"/>
      <c r="Z242" s="1691"/>
      <c r="AA242" s="1691"/>
      <c r="AB242" s="1691"/>
      <c r="AC242" s="1691"/>
      <c r="AD242" s="1691"/>
      <c r="AE242" s="1691"/>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ustomHeight="1">
      <c r="A245" s="39"/>
      <c r="C245" s="147" t="s">
        <v>1641</v>
      </c>
      <c r="D245" s="71" t="s">
        <v>698</v>
      </c>
      <c r="E245" s="71"/>
      <c r="F245" s="71"/>
      <c r="G245" s="71"/>
      <c r="H245" s="71"/>
      <c r="I245" s="71"/>
      <c r="J245" s="71"/>
      <c r="K245" s="71"/>
      <c r="L245" s="8"/>
      <c r="M245" s="1841" t="s">
        <v>2387</v>
      </c>
      <c r="N245" s="1841"/>
      <c r="O245" s="1841"/>
      <c r="P245" s="1841"/>
      <c r="Q245" s="1841"/>
      <c r="R245" s="1841"/>
      <c r="S245" s="1841"/>
      <c r="T245" s="1841"/>
      <c r="U245" s="1841"/>
      <c r="V245" s="1841"/>
      <c r="W245" s="1841"/>
      <c r="X245" s="1841"/>
      <c r="Y245" s="1841"/>
      <c r="Z245" s="1841"/>
      <c r="AA245" s="1841"/>
      <c r="AB245" s="1841"/>
      <c r="AC245" s="1841"/>
      <c r="AD245" s="1841"/>
      <c r="AE245" s="1841"/>
      <c r="AF245" s="1841" t="s">
        <v>2388</v>
      </c>
      <c r="AG245" s="1841"/>
      <c r="AH245" s="1841"/>
      <c r="AI245" s="1841"/>
      <c r="AJ245" s="1841"/>
      <c r="AK245" s="1841"/>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694" t="s">
        <v>2381</v>
      </c>
      <c r="N246" s="1686"/>
      <c r="O246" s="1686"/>
      <c r="P246" s="1686"/>
      <c r="Q246" s="1686"/>
      <c r="R246" s="1686"/>
      <c r="S246" s="1686"/>
      <c r="T246" s="1686"/>
      <c r="U246" s="1686"/>
      <c r="V246" s="1686"/>
      <c r="W246" s="1686"/>
      <c r="X246" s="1686"/>
      <c r="Y246" s="1686"/>
      <c r="Z246" s="1686"/>
      <c r="AA246" s="1686"/>
      <c r="AB246" s="1686"/>
      <c r="AC246" s="1686"/>
      <c r="AD246" s="1686"/>
      <c r="AE246" s="1686"/>
      <c r="AL246" s="8"/>
      <c r="AN246" s="72"/>
      <c r="BB246" s="8" t="s">
        <v>503</v>
      </c>
      <c r="BH246" s="16">
        <v>3</v>
      </c>
      <c r="BI246" s="16" t="s">
        <v>702</v>
      </c>
    </row>
    <row r="247" spans="1:67" ht="12.75">
      <c r="A247" s="39"/>
      <c r="B247" s="8"/>
      <c r="C247" s="8"/>
      <c r="D247" s="71" t="s">
        <v>479</v>
      </c>
      <c r="E247" s="71"/>
      <c r="M247" s="1694" t="s">
        <v>2382</v>
      </c>
      <c r="N247" s="1686"/>
      <c r="O247" s="1686"/>
      <c r="P247" s="1686"/>
      <c r="Q247" s="1686"/>
      <c r="R247" s="1686"/>
      <c r="S247" s="1686"/>
      <c r="T247" s="1686"/>
      <c r="V247" s="73" t="s">
        <v>417</v>
      </c>
      <c r="W247" s="1692" t="s">
        <v>2383</v>
      </c>
      <c r="X247" s="1696"/>
      <c r="Y247" s="71" t="s">
        <v>482</v>
      </c>
      <c r="AC247" s="1686">
        <v>91911</v>
      </c>
      <c r="AD247" s="1686"/>
      <c r="AE247" s="1686"/>
      <c r="AN247" s="72"/>
    </row>
    <row r="248" spans="1:67" ht="12.75">
      <c r="A248" s="39"/>
      <c r="B248" s="8"/>
      <c r="C248" s="8"/>
      <c r="D248" s="74" t="s">
        <v>418</v>
      </c>
      <c r="E248" s="8"/>
      <c r="F248" s="8"/>
      <c r="G248" s="8"/>
      <c r="H248" s="8"/>
      <c r="I248" s="8"/>
      <c r="J248" s="8"/>
      <c r="K248" s="8"/>
      <c r="L248" s="39"/>
      <c r="M248" s="1694" t="s">
        <v>2384</v>
      </c>
      <c r="N248" s="1686"/>
      <c r="O248" s="1686"/>
      <c r="P248" s="1686"/>
      <c r="Q248" s="1686"/>
      <c r="R248" s="1686"/>
      <c r="S248" s="1686"/>
      <c r="T248" s="1686"/>
      <c r="U248" s="1686"/>
      <c r="V248" s="1686"/>
      <c r="W248" s="1686"/>
      <c r="X248" s="1686"/>
      <c r="Y248" s="1686"/>
      <c r="Z248" s="1686"/>
      <c r="AA248" s="1686"/>
      <c r="AB248" s="1686"/>
      <c r="AC248" s="1686"/>
      <c r="AD248" s="1686"/>
      <c r="AE248" s="1686"/>
      <c r="AJ248" s="8"/>
      <c r="AK248" s="8"/>
      <c r="AL248" s="8"/>
      <c r="AN248" s="72"/>
    </row>
    <row r="249" spans="1:67" ht="12.75">
      <c r="A249" s="39"/>
      <c r="B249" s="8"/>
      <c r="C249" s="8"/>
      <c r="D249" s="74" t="s">
        <v>419</v>
      </c>
      <c r="E249" s="8"/>
      <c r="F249" s="8"/>
      <c r="M249" s="1682" t="s">
        <v>2385</v>
      </c>
      <c r="N249" s="1683"/>
      <c r="O249" s="1683"/>
      <c r="P249" s="1683"/>
      <c r="Q249" s="1683"/>
      <c r="R249" s="1683"/>
      <c r="S249" s="8" t="s">
        <v>900</v>
      </c>
      <c r="T249" s="8"/>
      <c r="U249" s="1696"/>
      <c r="V249" s="1696"/>
      <c r="W249" s="1696"/>
      <c r="X249" s="8" t="s">
        <v>420</v>
      </c>
      <c r="Z249" s="1683"/>
      <c r="AA249" s="1683"/>
      <c r="AB249" s="1683"/>
      <c r="AC249" s="1683"/>
      <c r="AD249" s="1683"/>
      <c r="AE249" s="1683"/>
      <c r="AM249" s="8"/>
      <c r="AN249" s="72"/>
    </row>
    <row r="250" spans="1:67" ht="12.75">
      <c r="A250" s="39"/>
      <c r="B250" s="8"/>
      <c r="C250" s="8"/>
      <c r="D250" s="74" t="s">
        <v>421</v>
      </c>
      <c r="E250" s="8"/>
      <c r="F250" s="8"/>
      <c r="M250" s="1687" t="s">
        <v>2386</v>
      </c>
      <c r="N250" s="1687"/>
      <c r="O250" s="1687"/>
      <c r="P250" s="1687"/>
      <c r="Q250" s="1687"/>
      <c r="R250" s="1687"/>
      <c r="S250" s="1687"/>
      <c r="T250" s="1687"/>
      <c r="U250" s="1687"/>
      <c r="V250" s="1687"/>
      <c r="W250" s="1687"/>
      <c r="X250" s="1687"/>
      <c r="Y250" s="1687"/>
      <c r="Z250" s="1687"/>
      <c r="AA250" s="1687"/>
      <c r="AB250" s="1687"/>
      <c r="AC250" s="1687"/>
      <c r="AD250" s="1687"/>
      <c r="AE250" s="1687"/>
      <c r="AG250" s="8"/>
      <c r="AH250" s="8"/>
      <c r="AI250" s="8"/>
      <c r="AJ250" s="8"/>
      <c r="AK250" s="8"/>
      <c r="AL250" s="8"/>
    </row>
    <row r="251" spans="1:67" ht="12.75">
      <c r="A251" s="33"/>
      <c r="B251" s="8"/>
      <c r="C251" s="147"/>
      <c r="D251" s="74" t="s">
        <v>701</v>
      </c>
      <c r="E251" s="8"/>
      <c r="F251" s="8"/>
      <c r="G251" s="8"/>
      <c r="H251" s="8"/>
      <c r="I251" s="8"/>
      <c r="J251" s="8"/>
      <c r="K251" s="8"/>
      <c r="L251" s="8"/>
      <c r="M251" s="1690" t="s">
        <v>700</v>
      </c>
      <c r="N251" s="1690"/>
      <c r="O251" s="1690"/>
      <c r="P251" s="1690"/>
      <c r="Q251" s="1690"/>
      <c r="R251" s="1690"/>
      <c r="S251" s="1690"/>
      <c r="T251" s="1690"/>
      <c r="U251" s="8" t="s">
        <v>1267</v>
      </c>
      <c r="AA251" s="1695" t="s">
        <v>2370</v>
      </c>
      <c r="AB251" s="1695"/>
      <c r="AC251" s="1695"/>
      <c r="AD251" s="1695"/>
      <c r="AE251" s="1695"/>
      <c r="AF251" s="1695"/>
      <c r="AG251" s="1695"/>
      <c r="AH251" s="1695"/>
      <c r="AI251" s="1695"/>
      <c r="AJ251" s="1695"/>
      <c r="AK251" s="1695"/>
      <c r="AM251" s="8"/>
    </row>
    <row r="252" spans="1:67" ht="12.95" customHeight="1">
      <c r="A252" s="39"/>
      <c r="B252" s="8"/>
      <c r="C252" s="8"/>
      <c r="D252" s="8"/>
      <c r="E252" s="8"/>
      <c r="F252" s="8"/>
      <c r="G252" s="8"/>
      <c r="H252" s="8"/>
      <c r="I252" s="8"/>
      <c r="J252" s="8"/>
      <c r="K252" s="8"/>
      <c r="L252" s="8"/>
      <c r="AG252" s="8"/>
      <c r="AH252" s="8"/>
      <c r="AI252" s="8"/>
      <c r="AJ252" s="71"/>
    </row>
    <row r="253" spans="1:67" ht="12.75" customHeight="1">
      <c r="A253" s="116"/>
      <c r="B253" s="8"/>
      <c r="C253" s="147" t="s">
        <v>1642</v>
      </c>
      <c r="D253" s="71" t="s">
        <v>1342</v>
      </c>
      <c r="E253" s="71"/>
      <c r="F253" s="71"/>
      <c r="G253" s="71"/>
      <c r="H253" s="71"/>
      <c r="I253" s="71"/>
      <c r="J253" s="71"/>
      <c r="K253" s="71"/>
      <c r="L253" s="8"/>
      <c r="M253" s="1841" t="s">
        <v>2389</v>
      </c>
      <c r="N253" s="1841"/>
      <c r="O253" s="1841"/>
      <c r="P253" s="1841"/>
      <c r="Q253" s="1841"/>
      <c r="R253" s="1841"/>
      <c r="S253" s="1841"/>
      <c r="T253" s="1841"/>
      <c r="U253" s="1841"/>
      <c r="V253" s="1841"/>
      <c r="W253" s="1841"/>
      <c r="X253" s="1841"/>
      <c r="Y253" s="1841"/>
      <c r="Z253" s="1841"/>
      <c r="AA253" s="1841"/>
      <c r="AB253" s="1841"/>
      <c r="AC253" s="1841"/>
      <c r="AD253" s="1841"/>
      <c r="AE253" s="1841"/>
      <c r="AF253" s="1841" t="s">
        <v>2390</v>
      </c>
      <c r="AG253" s="1841"/>
      <c r="AH253" s="1841"/>
      <c r="AI253" s="1841"/>
      <c r="AJ253" s="1841"/>
      <c r="AK253" s="1841"/>
      <c r="AM253" s="8"/>
    </row>
    <row r="254" spans="1:67" ht="12.75">
      <c r="A254" s="39"/>
      <c r="B254" s="8"/>
      <c r="C254" s="8"/>
      <c r="D254" s="71" t="s">
        <v>416</v>
      </c>
      <c r="E254" s="71"/>
      <c r="F254" s="71"/>
      <c r="G254" s="71"/>
      <c r="H254" s="71"/>
      <c r="I254" s="71"/>
      <c r="J254" s="71"/>
      <c r="K254" s="71"/>
      <c r="L254" s="8"/>
      <c r="M254" s="1694" t="s">
        <v>2391</v>
      </c>
      <c r="N254" s="1686"/>
      <c r="O254" s="1686"/>
      <c r="P254" s="1686"/>
      <c r="Q254" s="1686"/>
      <c r="R254" s="1686"/>
      <c r="S254" s="1686"/>
      <c r="T254" s="1686"/>
      <c r="U254" s="1686"/>
      <c r="V254" s="1686"/>
      <c r="W254" s="1686"/>
      <c r="X254" s="1686"/>
      <c r="Y254" s="1686"/>
      <c r="Z254" s="1686"/>
      <c r="AA254" s="1686"/>
      <c r="AB254" s="1686"/>
      <c r="AC254" s="1686"/>
      <c r="AD254" s="1686"/>
      <c r="AE254" s="1686"/>
      <c r="AL254" s="8"/>
    </row>
    <row r="255" spans="1:67" ht="12.75">
      <c r="A255" s="39"/>
      <c r="B255" s="8"/>
      <c r="C255" s="8"/>
      <c r="D255" s="71" t="s">
        <v>479</v>
      </c>
      <c r="E255" s="71"/>
      <c r="M255" s="1694" t="s">
        <v>120</v>
      </c>
      <c r="N255" s="1686"/>
      <c r="O255" s="1686"/>
      <c r="P255" s="1686"/>
      <c r="Q255" s="1686"/>
      <c r="R255" s="1686"/>
      <c r="S255" s="1686"/>
      <c r="T255" s="1686"/>
      <c r="V255" s="73" t="s">
        <v>417</v>
      </c>
      <c r="W255" s="1692" t="s">
        <v>2383</v>
      </c>
      <c r="X255" s="1696"/>
      <c r="Y255" s="71" t="s">
        <v>482</v>
      </c>
      <c r="AC255" s="1686">
        <v>92507</v>
      </c>
      <c r="AD255" s="1686"/>
      <c r="AE255" s="1686"/>
    </row>
    <row r="256" spans="1:67" ht="12.75">
      <c r="A256" s="39"/>
      <c r="B256" s="8"/>
      <c r="C256" s="8"/>
      <c r="D256" s="74" t="s">
        <v>418</v>
      </c>
      <c r="E256" s="8"/>
      <c r="F256" s="8"/>
      <c r="G256" s="8"/>
      <c r="H256" s="8"/>
      <c r="I256" s="8"/>
      <c r="J256" s="8"/>
      <c r="K256" s="8"/>
      <c r="L256" s="39"/>
      <c r="M256" s="1694" t="s">
        <v>2392</v>
      </c>
      <c r="N256" s="1686"/>
      <c r="O256" s="1686"/>
      <c r="P256" s="1686"/>
      <c r="Q256" s="1686"/>
      <c r="R256" s="1686"/>
      <c r="S256" s="1686"/>
      <c r="T256" s="1686"/>
      <c r="U256" s="1686"/>
      <c r="V256" s="1686"/>
      <c r="W256" s="1686"/>
      <c r="X256" s="1686"/>
      <c r="Y256" s="1686"/>
      <c r="Z256" s="1686"/>
      <c r="AA256" s="1686"/>
      <c r="AB256" s="1686"/>
      <c r="AC256" s="1686"/>
      <c r="AD256" s="1686"/>
      <c r="AE256" s="1686"/>
      <c r="AJ256" s="8"/>
      <c r="AK256" s="8"/>
      <c r="AL256" s="8"/>
    </row>
    <row r="257" spans="1:53" ht="12.75">
      <c r="A257" s="39"/>
      <c r="B257" s="8"/>
      <c r="C257" s="8"/>
      <c r="D257" s="74" t="s">
        <v>419</v>
      </c>
      <c r="E257" s="8"/>
      <c r="F257" s="8"/>
      <c r="M257" s="1682" t="s">
        <v>2393</v>
      </c>
      <c r="N257" s="1683"/>
      <c r="O257" s="1683"/>
      <c r="P257" s="1683"/>
      <c r="Q257" s="1683"/>
      <c r="R257" s="1683"/>
      <c r="S257" s="8" t="s">
        <v>900</v>
      </c>
      <c r="T257" s="8"/>
      <c r="U257" s="1696"/>
      <c r="V257" s="1696"/>
      <c r="W257" s="1696"/>
      <c r="X257" s="8" t="s">
        <v>420</v>
      </c>
      <c r="Z257" s="1683"/>
      <c r="AA257" s="1683"/>
      <c r="AB257" s="1683"/>
      <c r="AC257" s="1683"/>
      <c r="AD257" s="1683"/>
      <c r="AE257" s="1683"/>
      <c r="BA257" s="75"/>
    </row>
    <row r="258" spans="1:53" ht="12.75">
      <c r="A258" s="39"/>
      <c r="B258" s="8"/>
      <c r="C258" s="8"/>
      <c r="D258" s="74" t="s">
        <v>421</v>
      </c>
      <c r="E258" s="8"/>
      <c r="F258" s="8"/>
      <c r="M258" s="1687" t="s">
        <v>2394</v>
      </c>
      <c r="N258" s="1687"/>
      <c r="O258" s="1687"/>
      <c r="P258" s="1687"/>
      <c r="Q258" s="1687"/>
      <c r="R258" s="1687"/>
      <c r="S258" s="1687"/>
      <c r="T258" s="1687"/>
      <c r="U258" s="1687"/>
      <c r="V258" s="1687"/>
      <c r="W258" s="1687"/>
      <c r="X258" s="1687"/>
      <c r="Y258" s="1687"/>
      <c r="Z258" s="1687"/>
      <c r="AA258" s="1687"/>
      <c r="AB258" s="1687"/>
      <c r="AC258" s="1687"/>
      <c r="AD258" s="1687"/>
      <c r="AE258" s="1687"/>
      <c r="AG258" s="8"/>
      <c r="AH258" s="8"/>
      <c r="AI258" s="8"/>
      <c r="AJ258" s="8"/>
      <c r="AK258" s="8"/>
      <c r="AL258" s="8"/>
      <c r="BA258" s="35"/>
    </row>
    <row r="259" spans="1:53" ht="12.75">
      <c r="A259" s="33"/>
      <c r="B259" s="8"/>
      <c r="C259" s="147"/>
      <c r="D259" s="74" t="s">
        <v>701</v>
      </c>
      <c r="E259" s="8"/>
      <c r="F259" s="8"/>
      <c r="G259" s="8"/>
      <c r="H259" s="8"/>
      <c r="I259" s="8"/>
      <c r="J259" s="8"/>
      <c r="K259" s="8"/>
      <c r="L259" s="8"/>
      <c r="M259" s="1690" t="s">
        <v>700</v>
      </c>
      <c r="N259" s="1690"/>
      <c r="O259" s="1690"/>
      <c r="P259" s="1690"/>
      <c r="Q259" s="1690"/>
      <c r="R259" s="1690"/>
      <c r="S259" s="1690"/>
      <c r="T259" s="1690"/>
      <c r="U259" s="8" t="s">
        <v>1267</v>
      </c>
      <c r="AA259" s="1695" t="s">
        <v>2395</v>
      </c>
      <c r="AB259" s="1693"/>
      <c r="AC259" s="1693"/>
      <c r="AD259" s="1693"/>
      <c r="AE259" s="1693"/>
      <c r="AF259" s="1693"/>
      <c r="AG259" s="1693"/>
      <c r="AH259" s="1693"/>
      <c r="AI259" s="1693"/>
      <c r="AJ259" s="1693"/>
      <c r="AK259" s="169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2153</v>
      </c>
      <c r="D261" s="71" t="s">
        <v>698</v>
      </c>
      <c r="E261" s="71"/>
      <c r="F261" s="71"/>
      <c r="G261" s="71"/>
      <c r="H261" s="71"/>
      <c r="I261" s="71"/>
      <c r="J261" s="71"/>
      <c r="K261" s="71"/>
      <c r="L261" s="8"/>
      <c r="M261" s="1684"/>
      <c r="N261" s="1684"/>
      <c r="O261" s="1684"/>
      <c r="P261" s="1684"/>
      <c r="Q261" s="1684"/>
      <c r="R261" s="1684"/>
      <c r="S261" s="1684"/>
      <c r="T261" s="1684"/>
      <c r="U261" s="1684"/>
      <c r="V261" s="1684"/>
      <c r="W261" s="1684"/>
      <c r="X261" s="1684"/>
      <c r="Y261" s="1684"/>
      <c r="Z261" s="1684"/>
      <c r="AA261" s="1684"/>
      <c r="AB261" s="1684"/>
      <c r="AC261" s="1684"/>
      <c r="AD261" s="1684"/>
      <c r="AE261" s="1684"/>
      <c r="AF261" s="1684" t="s">
        <v>86</v>
      </c>
      <c r="AG261" s="1684"/>
      <c r="AH261" s="1684"/>
      <c r="AI261" s="1684"/>
      <c r="AJ261" s="1684"/>
      <c r="AK261" s="1684"/>
      <c r="AL261" s="72"/>
      <c r="BA261" s="3"/>
    </row>
    <row r="262" spans="1:53" ht="12.75">
      <c r="A262" s="33"/>
      <c r="B262" s="8"/>
      <c r="C262" s="8"/>
      <c r="D262" s="71" t="s">
        <v>416</v>
      </c>
      <c r="E262" s="71"/>
      <c r="F262" s="71"/>
      <c r="G262" s="71"/>
      <c r="H262" s="71"/>
      <c r="I262" s="71"/>
      <c r="J262" s="71"/>
      <c r="K262" s="71"/>
      <c r="L262" s="8"/>
      <c r="M262" s="1686"/>
      <c r="N262" s="1686"/>
      <c r="O262" s="1686"/>
      <c r="P262" s="1686"/>
      <c r="Q262" s="1686"/>
      <c r="R262" s="1686"/>
      <c r="S262" s="1686"/>
      <c r="T262" s="1686"/>
      <c r="U262" s="1686"/>
      <c r="V262" s="1686"/>
      <c r="W262" s="1686"/>
      <c r="X262" s="1686"/>
      <c r="Y262" s="1686"/>
      <c r="Z262" s="1686"/>
      <c r="AA262" s="1686"/>
      <c r="AB262" s="1686"/>
      <c r="AC262" s="1686"/>
      <c r="AD262" s="1686"/>
      <c r="AE262" s="1686"/>
      <c r="AL262" s="72"/>
      <c r="BA262" s="651"/>
    </row>
    <row r="263" spans="1:53" ht="12.75">
      <c r="A263" s="33"/>
      <c r="B263" s="8"/>
      <c r="C263" s="8"/>
      <c r="D263" s="71" t="s">
        <v>479</v>
      </c>
      <c r="E263" s="71"/>
      <c r="M263" s="1686"/>
      <c r="N263" s="1686"/>
      <c r="O263" s="1686"/>
      <c r="P263" s="1686"/>
      <c r="Q263" s="1686"/>
      <c r="R263" s="1686"/>
      <c r="S263" s="1686"/>
      <c r="T263" s="1686"/>
      <c r="V263" s="73" t="s">
        <v>417</v>
      </c>
      <c r="W263" s="1696"/>
      <c r="X263" s="1696"/>
      <c r="Y263" s="71" t="s">
        <v>482</v>
      </c>
      <c r="AC263" s="1686"/>
      <c r="AD263" s="1686"/>
      <c r="AE263" s="1686"/>
      <c r="AL263" s="72"/>
      <c r="BA263" s="75"/>
    </row>
    <row r="264" spans="1:53" ht="12.75">
      <c r="A264" s="33"/>
      <c r="B264" s="8"/>
      <c r="C264" s="8"/>
      <c r="D264" s="74" t="s">
        <v>418</v>
      </c>
      <c r="E264" s="8"/>
      <c r="F264" s="8"/>
      <c r="G264" s="8"/>
      <c r="H264" s="8"/>
      <c r="I264" s="8"/>
      <c r="J264" s="8"/>
      <c r="K264" s="8"/>
      <c r="L264" s="39"/>
      <c r="M264" s="1686"/>
      <c r="N264" s="1686"/>
      <c r="O264" s="1686"/>
      <c r="P264" s="1686"/>
      <c r="Q264" s="1686"/>
      <c r="R264" s="1686"/>
      <c r="S264" s="1686"/>
      <c r="T264" s="1686"/>
      <c r="U264" s="1686"/>
      <c r="V264" s="1686"/>
      <c r="W264" s="1686"/>
      <c r="X264" s="1686"/>
      <c r="Y264" s="1686"/>
      <c r="Z264" s="1686"/>
      <c r="AA264" s="1686"/>
      <c r="AB264" s="1686"/>
      <c r="AC264" s="1686"/>
      <c r="AD264" s="1686"/>
      <c r="AE264" s="1686"/>
      <c r="AJ264" s="8"/>
      <c r="AK264" s="8"/>
      <c r="AL264" s="72"/>
      <c r="BA264" s="75"/>
    </row>
    <row r="265" spans="1:53" ht="12.75">
      <c r="A265" s="33"/>
      <c r="B265" s="8"/>
      <c r="C265" s="8"/>
      <c r="D265" s="74" t="s">
        <v>419</v>
      </c>
      <c r="E265" s="8"/>
      <c r="F265" s="8"/>
      <c r="M265" s="1683"/>
      <c r="N265" s="1683"/>
      <c r="O265" s="1683"/>
      <c r="P265" s="1683"/>
      <c r="Q265" s="1683"/>
      <c r="R265" s="1683"/>
      <c r="S265" s="8" t="s">
        <v>900</v>
      </c>
      <c r="T265" s="8"/>
      <c r="U265" s="1696"/>
      <c r="V265" s="1696"/>
      <c r="W265" s="1696"/>
      <c r="X265" s="8" t="s">
        <v>420</v>
      </c>
      <c r="Z265" s="1683"/>
      <c r="AA265" s="1683"/>
      <c r="AB265" s="1683"/>
      <c r="AC265" s="1683"/>
      <c r="AD265" s="1683"/>
      <c r="AE265" s="1683"/>
      <c r="AL265" s="72"/>
      <c r="BA265" s="75"/>
    </row>
    <row r="266" spans="1:53" ht="12.75">
      <c r="A266" s="33"/>
      <c r="B266" s="8"/>
      <c r="C266" s="8"/>
      <c r="D266" s="74" t="s">
        <v>421</v>
      </c>
      <c r="E266" s="8"/>
      <c r="F266" s="8"/>
      <c r="M266" s="1687"/>
      <c r="N266" s="1687"/>
      <c r="O266" s="1687"/>
      <c r="P266" s="1687"/>
      <c r="Q266" s="1687"/>
      <c r="R266" s="1687"/>
      <c r="S266" s="1687"/>
      <c r="T266" s="1687"/>
      <c r="U266" s="1687"/>
      <c r="V266" s="1687"/>
      <c r="W266" s="1687"/>
      <c r="X266" s="1687"/>
      <c r="Y266" s="1687"/>
      <c r="Z266" s="1687"/>
      <c r="AA266" s="1687"/>
      <c r="AB266" s="1687"/>
      <c r="AC266" s="1687"/>
      <c r="AD266" s="1687"/>
      <c r="AE266" s="1687"/>
      <c r="AG266" s="8"/>
      <c r="AH266" s="8"/>
      <c r="AI266" s="8"/>
      <c r="AJ266" s="8"/>
      <c r="AK266" s="8"/>
      <c r="AL266" s="72"/>
      <c r="BA266" s="75"/>
    </row>
    <row r="267" spans="1:53" ht="12.75">
      <c r="A267" s="33"/>
      <c r="B267" s="8"/>
      <c r="C267" s="147"/>
      <c r="D267" s="74" t="s">
        <v>701</v>
      </c>
      <c r="E267" s="8"/>
      <c r="F267" s="8"/>
      <c r="G267" s="8"/>
      <c r="H267" s="8"/>
      <c r="I267" s="8"/>
      <c r="J267" s="8"/>
      <c r="K267" s="8"/>
      <c r="L267" s="8"/>
      <c r="M267" s="1690" t="s">
        <v>86</v>
      </c>
      <c r="N267" s="1690"/>
      <c r="O267" s="1690"/>
      <c r="P267" s="1690"/>
      <c r="Q267" s="1690"/>
      <c r="R267" s="1690"/>
      <c r="S267" s="1690"/>
      <c r="T267" s="1690"/>
      <c r="U267" s="8" t="s">
        <v>1267</v>
      </c>
      <c r="AA267" s="1693"/>
      <c r="AB267" s="1693"/>
      <c r="AC267" s="1693"/>
      <c r="AD267" s="1693"/>
      <c r="AE267" s="1693"/>
      <c r="AF267" s="1693"/>
      <c r="AG267" s="1693"/>
      <c r="AH267" s="1693"/>
      <c r="AI267" s="1693"/>
      <c r="AJ267" s="1693"/>
      <c r="AK267" s="169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5" t="str">
        <f>BO245</f>
        <v>Nonprofit</v>
      </c>
      <c r="U269" s="1685"/>
      <c r="V269" s="1685"/>
      <c r="W269" s="1685"/>
      <c r="X269" s="1685"/>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86" t="s">
        <v>994</v>
      </c>
      <c r="E272" s="1686"/>
      <c r="F272" s="1686"/>
      <c r="G272" s="1686"/>
      <c r="H272" s="1686"/>
      <c r="J272" s="16" t="s">
        <v>993</v>
      </c>
      <c r="X272" s="1854"/>
      <c r="Y272" s="1854"/>
      <c r="Z272" s="1854"/>
      <c r="AA272" s="1854"/>
      <c r="AB272" s="1854"/>
      <c r="AC272" s="1854"/>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41" t="s">
        <v>2395</v>
      </c>
      <c r="M276" s="1841"/>
      <c r="N276" s="1841"/>
      <c r="O276" s="1841"/>
      <c r="P276" s="1841"/>
      <c r="Q276" s="1841"/>
      <c r="R276" s="1841"/>
      <c r="S276" s="1841"/>
      <c r="T276" s="1841"/>
      <c r="U276" s="1841"/>
      <c r="V276" s="1841"/>
      <c r="W276" s="1841"/>
      <c r="X276" s="1841"/>
      <c r="Y276" s="1841"/>
      <c r="Z276" s="1841"/>
      <c r="AA276" s="1841"/>
      <c r="AB276" s="1841"/>
      <c r="AC276" s="1841"/>
      <c r="AD276" s="1841"/>
      <c r="AE276" s="1841"/>
      <c r="AF276" s="1841"/>
      <c r="AG276" s="1841"/>
      <c r="AH276" s="1841"/>
      <c r="AI276" s="1841"/>
      <c r="AJ276" s="1841"/>
      <c r="AK276" s="72"/>
      <c r="AL276" s="72"/>
      <c r="BA276" s="75"/>
    </row>
    <row r="277" spans="1:53" ht="12.75" customHeight="1">
      <c r="D277" s="71" t="s">
        <v>416</v>
      </c>
      <c r="E277" s="71"/>
      <c r="F277" s="71"/>
      <c r="G277" s="71"/>
      <c r="H277" s="71"/>
      <c r="I277" s="71"/>
      <c r="J277" s="71"/>
      <c r="K277" s="8"/>
      <c r="L277" s="1694" t="s">
        <v>2391</v>
      </c>
      <c r="M277" s="1694"/>
      <c r="N277" s="1694"/>
      <c r="O277" s="1694"/>
      <c r="P277" s="1694"/>
      <c r="Q277" s="1694"/>
      <c r="R277" s="1694"/>
      <c r="S277" s="1694"/>
      <c r="T277" s="1694"/>
      <c r="U277" s="1694"/>
      <c r="V277" s="1694"/>
      <c r="W277" s="1694"/>
      <c r="X277" s="1694"/>
      <c r="Y277" s="1694"/>
      <c r="Z277" s="1694"/>
      <c r="AA277" s="1694"/>
      <c r="AB277" s="1694"/>
      <c r="AC277" s="1694"/>
      <c r="AD277" s="1694"/>
      <c r="AK277" s="72"/>
      <c r="AL277" s="72"/>
      <c r="BA277" s="75"/>
    </row>
    <row r="278" spans="1:53" ht="12.75">
      <c r="D278" s="71" t="s">
        <v>479</v>
      </c>
      <c r="E278" s="71"/>
      <c r="L278" s="1694" t="s">
        <v>120</v>
      </c>
      <c r="M278" s="1686"/>
      <c r="N278" s="1686"/>
      <c r="O278" s="1686"/>
      <c r="P278" s="1686"/>
      <c r="Q278" s="1686"/>
      <c r="R278" s="1686"/>
      <c r="S278" s="1686"/>
      <c r="U278" s="73" t="s">
        <v>417</v>
      </c>
      <c r="V278" s="1692" t="s">
        <v>2383</v>
      </c>
      <c r="W278" s="1696"/>
      <c r="X278" s="71" t="s">
        <v>482</v>
      </c>
      <c r="AB278" s="1686">
        <v>92507</v>
      </c>
      <c r="AC278" s="1686"/>
      <c r="AD278" s="1686"/>
      <c r="AK278" s="72"/>
      <c r="AL278" s="72"/>
      <c r="BA278" s="75"/>
    </row>
    <row r="279" spans="1:53" ht="12.75">
      <c r="D279" s="74" t="s">
        <v>418</v>
      </c>
      <c r="E279" s="8"/>
      <c r="F279" s="8"/>
      <c r="G279" s="8"/>
      <c r="H279" s="8"/>
      <c r="I279" s="8"/>
      <c r="J279" s="8"/>
      <c r="K279" s="39"/>
      <c r="L279" s="1694" t="s">
        <v>2392</v>
      </c>
      <c r="M279" s="1686"/>
      <c r="N279" s="1686"/>
      <c r="O279" s="1686"/>
      <c r="P279" s="1686"/>
      <c r="Q279" s="1686"/>
      <c r="R279" s="1686"/>
      <c r="S279" s="1686"/>
      <c r="T279" s="1686"/>
      <c r="U279" s="1686"/>
      <c r="V279" s="1686"/>
      <c r="W279" s="1686"/>
      <c r="X279" s="1686"/>
      <c r="Y279" s="1686"/>
      <c r="Z279" s="1686"/>
      <c r="AA279" s="1686"/>
      <c r="AB279" s="1686"/>
      <c r="AC279" s="1686"/>
      <c r="AD279" s="1686"/>
      <c r="AI279" s="8"/>
      <c r="AJ279" s="8"/>
      <c r="AK279" s="72"/>
      <c r="AL279" s="72"/>
      <c r="BA279" s="75"/>
    </row>
    <row r="280" spans="1:53" ht="12.75">
      <c r="D280" s="74" t="s">
        <v>419</v>
      </c>
      <c r="E280" s="8"/>
      <c r="F280" s="8"/>
      <c r="L280" s="1682" t="s">
        <v>2393</v>
      </c>
      <c r="M280" s="1683"/>
      <c r="N280" s="1683"/>
      <c r="O280" s="1683"/>
      <c r="P280" s="1683"/>
      <c r="Q280" s="1683"/>
      <c r="R280" s="8" t="s">
        <v>900</v>
      </c>
      <c r="S280" s="8"/>
      <c r="T280" s="1696"/>
      <c r="U280" s="1696"/>
      <c r="V280" s="1696"/>
      <c r="W280" s="8" t="s">
        <v>420</v>
      </c>
      <c r="Y280" s="1683"/>
      <c r="Z280" s="1683"/>
      <c r="AA280" s="1683"/>
      <c r="AB280" s="1683"/>
      <c r="AC280" s="1683"/>
      <c r="AD280" s="1683"/>
      <c r="BA280" s="75"/>
    </row>
    <row r="281" spans="1:53" ht="12.75">
      <c r="D281" s="74" t="s">
        <v>421</v>
      </c>
      <c r="E281" s="8"/>
      <c r="F281" s="8"/>
      <c r="L281" s="1687" t="s">
        <v>2394</v>
      </c>
      <c r="M281" s="1687"/>
      <c r="N281" s="1687"/>
      <c r="O281" s="1687"/>
      <c r="P281" s="1687"/>
      <c r="Q281" s="1687"/>
      <c r="R281" s="1687"/>
      <c r="S281" s="1687"/>
      <c r="T281" s="1687"/>
      <c r="U281" s="1687"/>
      <c r="V281" s="1687"/>
      <c r="W281" s="1687"/>
      <c r="X281" s="1687"/>
      <c r="Y281" s="1687"/>
      <c r="Z281" s="1687"/>
      <c r="AA281" s="1687"/>
      <c r="AB281" s="1687"/>
      <c r="AC281" s="1687"/>
      <c r="AD281" s="1687"/>
      <c r="AF281" s="8"/>
      <c r="AG281" s="8"/>
      <c r="AH281" s="8"/>
      <c r="AI281" s="8"/>
      <c r="AJ281" s="8"/>
      <c r="BA281" s="75"/>
    </row>
    <row r="282" spans="1:53" ht="12.75">
      <c r="D282" s="72" t="s">
        <v>203</v>
      </c>
      <c r="E282" s="72"/>
      <c r="F282" s="72"/>
      <c r="G282" s="72"/>
      <c r="H282" s="72"/>
      <c r="I282" s="72"/>
      <c r="L282" s="1692" t="s">
        <v>2530</v>
      </c>
      <c r="M282" s="1692"/>
      <c r="N282" s="1692"/>
      <c r="O282" s="1692"/>
      <c r="P282" s="1692"/>
      <c r="Q282" s="1692"/>
      <c r="R282" s="1692"/>
      <c r="S282" s="1692"/>
      <c r="T282" s="1692"/>
      <c r="U282" s="1692"/>
      <c r="V282" s="1692"/>
      <c r="W282" s="1692"/>
      <c r="X282" s="1692"/>
      <c r="Y282" s="1692"/>
      <c r="Z282" s="1692"/>
      <c r="AA282" s="1692"/>
      <c r="AB282" s="1692"/>
      <c r="AC282" s="1692"/>
      <c r="AD282" s="1692"/>
      <c r="AK282" s="72"/>
      <c r="AL282" s="72"/>
      <c r="BA282" s="75"/>
    </row>
    <row r="283" spans="1:53" ht="12.75">
      <c r="L283" s="46" t="s">
        <v>204</v>
      </c>
      <c r="BA283" s="75"/>
    </row>
    <row r="284" spans="1:53" ht="12.75">
      <c r="A284" s="1680" t="s">
        <v>545</v>
      </c>
      <c r="B284" s="1680"/>
      <c r="C284" s="1680"/>
      <c r="D284" s="1680"/>
      <c r="E284" s="1680"/>
      <c r="F284" s="1680"/>
      <c r="G284" s="1680"/>
      <c r="H284" s="1680"/>
      <c r="I284" s="1680"/>
      <c r="J284" s="1680"/>
      <c r="K284" s="1680"/>
      <c r="L284" s="1680"/>
      <c r="M284" s="1680"/>
      <c r="N284" s="1680"/>
      <c r="O284" s="1680"/>
      <c r="P284" s="1680"/>
      <c r="Q284" s="1680"/>
      <c r="R284" s="1680"/>
      <c r="S284" s="1680"/>
      <c r="T284" s="1680"/>
      <c r="U284" s="1680"/>
      <c r="V284" s="1680"/>
      <c r="W284" s="1680"/>
      <c r="X284" s="1680"/>
      <c r="Y284" s="1680"/>
      <c r="Z284" s="1680"/>
      <c r="AA284" s="1680"/>
      <c r="AB284" s="1680"/>
      <c r="AC284" s="1680"/>
      <c r="AD284" s="1680"/>
      <c r="AE284" s="1680"/>
      <c r="AF284" s="1680"/>
      <c r="AG284" s="1680"/>
      <c r="AH284" s="1680"/>
      <c r="AI284" s="1680"/>
      <c r="AJ284" s="1680"/>
      <c r="AK284" s="1680"/>
      <c r="AL284" s="1680"/>
      <c r="BA284" s="75"/>
    </row>
    <row r="285" spans="1:53" ht="13.5" thickBot="1">
      <c r="A285" s="1681"/>
      <c r="B285" s="1681"/>
      <c r="C285" s="1681"/>
      <c r="D285" s="1681"/>
      <c r="E285" s="1681"/>
      <c r="F285" s="1681"/>
      <c r="G285" s="1681"/>
      <c r="H285" s="1681"/>
      <c r="I285" s="1681"/>
      <c r="J285" s="1681"/>
      <c r="K285" s="1681"/>
      <c r="L285" s="1681"/>
      <c r="M285" s="1681"/>
      <c r="N285" s="1681"/>
      <c r="O285" s="1681"/>
      <c r="P285" s="1681"/>
      <c r="Q285" s="1681"/>
      <c r="R285" s="1681"/>
      <c r="S285" s="1681"/>
      <c r="T285" s="1681"/>
      <c r="U285" s="1681"/>
      <c r="V285" s="1681"/>
      <c r="W285" s="1681"/>
      <c r="X285" s="1681"/>
      <c r="Y285" s="1681"/>
      <c r="Z285" s="1681"/>
      <c r="AA285" s="1681"/>
      <c r="AB285" s="1681"/>
      <c r="AC285" s="1681"/>
      <c r="AD285" s="1681"/>
      <c r="AE285" s="1681"/>
      <c r="AF285" s="1681"/>
      <c r="AG285" s="1681"/>
      <c r="AH285" s="1681"/>
      <c r="AI285" s="1681"/>
      <c r="AJ285" s="1681"/>
      <c r="AK285" s="1681"/>
      <c r="AL285" s="168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4" t="s">
        <v>2396</v>
      </c>
      <c r="I289" s="1691"/>
      <c r="J289" s="1691"/>
      <c r="K289" s="1691"/>
      <c r="L289" s="1691"/>
      <c r="M289" s="1691"/>
      <c r="N289" s="1691"/>
      <c r="O289" s="1691"/>
      <c r="P289" s="1691"/>
      <c r="Q289" s="1691"/>
      <c r="R289" s="1691"/>
      <c r="T289" s="72" t="s">
        <v>813</v>
      </c>
      <c r="V289" s="72"/>
      <c r="W289" s="72"/>
      <c r="X289" s="72"/>
      <c r="Y289" s="72"/>
      <c r="AA289" s="1694" t="s">
        <v>2399</v>
      </c>
      <c r="AB289" s="1691"/>
      <c r="AC289" s="1691"/>
      <c r="AD289" s="1691"/>
      <c r="AE289" s="1691"/>
      <c r="AF289" s="1691"/>
      <c r="AG289" s="1691"/>
      <c r="AH289" s="1691"/>
      <c r="AI289" s="1691"/>
      <c r="AJ289" s="1691"/>
      <c r="AK289" s="1691"/>
      <c r="BA289" s="75"/>
    </row>
    <row r="290" spans="2:53" ht="12.75">
      <c r="B290" s="72" t="s">
        <v>765</v>
      </c>
      <c r="C290" s="72"/>
      <c r="D290" s="72"/>
      <c r="E290" s="72"/>
      <c r="F290" s="72"/>
      <c r="H290" s="1690" t="str">
        <f>M246</f>
        <v>1355 Third Ave</v>
      </c>
      <c r="I290" s="1690"/>
      <c r="J290" s="1690"/>
      <c r="K290" s="1690"/>
      <c r="L290" s="1690"/>
      <c r="M290" s="1690"/>
      <c r="N290" s="1690"/>
      <c r="O290" s="1690"/>
      <c r="P290" s="1690"/>
      <c r="Q290" s="1690"/>
      <c r="R290" s="1690"/>
      <c r="T290" s="72" t="s">
        <v>765</v>
      </c>
      <c r="V290" s="72"/>
      <c r="W290" s="72"/>
      <c r="X290" s="72"/>
      <c r="Y290" s="72"/>
      <c r="AA290" s="1692" t="s">
        <v>2400</v>
      </c>
      <c r="AB290" s="1690"/>
      <c r="AC290" s="1690"/>
      <c r="AD290" s="1690"/>
      <c r="AE290" s="1690"/>
      <c r="AF290" s="1690"/>
      <c r="AG290" s="1690"/>
      <c r="AH290" s="1690"/>
      <c r="AI290" s="1690"/>
      <c r="AJ290" s="1690"/>
      <c r="AK290" s="1690"/>
      <c r="BA290" s="75"/>
    </row>
    <row r="291" spans="2:53" ht="12.75">
      <c r="B291" s="72" t="s">
        <v>767</v>
      </c>
      <c r="C291" s="72"/>
      <c r="D291" s="72"/>
      <c r="E291" s="72"/>
      <c r="F291" s="72"/>
      <c r="H291" s="1692" t="s">
        <v>2397</v>
      </c>
      <c r="I291" s="1690"/>
      <c r="J291" s="1690"/>
      <c r="K291" s="1690"/>
      <c r="L291" s="1690"/>
      <c r="M291" s="1690"/>
      <c r="N291" s="1690"/>
      <c r="O291" s="1690"/>
      <c r="P291" s="1690"/>
      <c r="Q291" s="1690"/>
      <c r="R291" s="1690"/>
      <c r="T291" s="72" t="s">
        <v>766</v>
      </c>
      <c r="V291" s="72"/>
      <c r="W291" s="72"/>
      <c r="X291" s="72"/>
      <c r="Y291" s="72"/>
      <c r="AA291" s="1692" t="s">
        <v>2401</v>
      </c>
      <c r="AB291" s="1690"/>
      <c r="AC291" s="1690"/>
      <c r="AD291" s="1690"/>
      <c r="AE291" s="1690"/>
      <c r="AF291" s="1690"/>
      <c r="AG291" s="1690"/>
      <c r="AH291" s="1690"/>
      <c r="AI291" s="1690"/>
      <c r="AJ291" s="1690"/>
      <c r="AK291" s="1690"/>
      <c r="BA291" s="75"/>
    </row>
    <row r="292" spans="2:53" ht="12.75">
      <c r="B292" s="72" t="s">
        <v>418</v>
      </c>
      <c r="C292" s="72"/>
      <c r="D292" s="72"/>
      <c r="E292" s="72"/>
      <c r="F292" s="72"/>
      <c r="H292" s="1690" t="str">
        <f>M248</f>
        <v>Arnulfo Manriquez</v>
      </c>
      <c r="I292" s="1690"/>
      <c r="J292" s="1690"/>
      <c r="K292" s="1690"/>
      <c r="L292" s="1690"/>
      <c r="M292" s="1690"/>
      <c r="N292" s="1690"/>
      <c r="O292" s="1690"/>
      <c r="P292" s="1690"/>
      <c r="Q292" s="1690"/>
      <c r="R292" s="1690"/>
      <c r="T292" s="72" t="s">
        <v>418</v>
      </c>
      <c r="V292" s="72"/>
      <c r="W292" s="72"/>
      <c r="X292" s="72"/>
      <c r="Y292" s="72"/>
      <c r="AA292" s="1692" t="s">
        <v>2402</v>
      </c>
      <c r="AB292" s="1690"/>
      <c r="AC292" s="1690"/>
      <c r="AD292" s="1690"/>
      <c r="AE292" s="1690"/>
      <c r="AF292" s="1690"/>
      <c r="AG292" s="1690"/>
      <c r="AH292" s="1690"/>
      <c r="AI292" s="1690"/>
      <c r="AJ292" s="1690"/>
      <c r="AK292" s="1690"/>
      <c r="BA292" s="75"/>
    </row>
    <row r="293" spans="2:53" ht="12.75" customHeight="1">
      <c r="B293" s="72" t="s">
        <v>419</v>
      </c>
      <c r="C293" s="72"/>
      <c r="D293" s="72"/>
      <c r="E293" s="72"/>
      <c r="F293" s="72"/>
      <c r="G293" s="72"/>
      <c r="H293" s="1695" t="s">
        <v>2398</v>
      </c>
      <c r="I293" s="1695"/>
      <c r="J293" s="1695"/>
      <c r="K293" s="1695"/>
      <c r="L293" s="1695"/>
      <c r="M293" s="1695"/>
      <c r="N293" s="8" t="s">
        <v>900</v>
      </c>
      <c r="O293" s="8"/>
      <c r="P293" s="1686"/>
      <c r="Q293" s="1686"/>
      <c r="R293" s="1686"/>
      <c r="S293" s="72"/>
      <c r="T293" s="72" t="s">
        <v>419</v>
      </c>
      <c r="V293" s="72"/>
      <c r="W293" s="72"/>
      <c r="X293" s="72"/>
      <c r="Y293" s="72"/>
      <c r="AA293" s="1695" t="s">
        <v>2403</v>
      </c>
      <c r="AB293" s="1695"/>
      <c r="AC293" s="1695"/>
      <c r="AD293" s="1695"/>
      <c r="AE293" s="1695"/>
      <c r="AF293" s="1695"/>
      <c r="AG293" s="8" t="s">
        <v>900</v>
      </c>
      <c r="AH293" s="8"/>
      <c r="AI293" s="1686"/>
      <c r="AJ293" s="1686"/>
      <c r="AK293" s="1686"/>
      <c r="BA293" s="75"/>
    </row>
    <row r="294" spans="2:53" ht="12.75">
      <c r="B294" s="72" t="s">
        <v>420</v>
      </c>
      <c r="C294" s="72"/>
      <c r="D294" s="72"/>
      <c r="E294" s="72"/>
      <c r="F294" s="72"/>
      <c r="G294" s="72"/>
      <c r="H294" s="1683"/>
      <c r="I294" s="1683"/>
      <c r="J294" s="1683"/>
      <c r="K294" s="1683"/>
      <c r="L294" s="1683"/>
      <c r="M294" s="1683"/>
      <c r="N294" s="74"/>
      <c r="O294" s="74"/>
      <c r="P294" s="76"/>
      <c r="Q294" s="76"/>
      <c r="R294" s="76"/>
      <c r="S294" s="72"/>
      <c r="T294" s="72" t="s">
        <v>420</v>
      </c>
      <c r="V294" s="72"/>
      <c r="W294" s="72"/>
      <c r="X294" s="72"/>
      <c r="Y294" s="72"/>
      <c r="AA294" s="1682" t="s">
        <v>2404</v>
      </c>
      <c r="AB294" s="1682"/>
      <c r="AC294" s="1682"/>
      <c r="AD294" s="1682"/>
      <c r="AE294" s="1682"/>
      <c r="AF294" s="1682"/>
      <c r="AG294" s="74"/>
      <c r="AH294" s="74"/>
      <c r="AI294" s="76"/>
      <c r="AJ294" s="76"/>
      <c r="AK294" s="76"/>
      <c r="BA294" s="75"/>
    </row>
    <row r="295" spans="2:53" ht="12.75">
      <c r="B295" s="72" t="s">
        <v>768</v>
      </c>
      <c r="C295" s="72"/>
      <c r="D295" s="72"/>
      <c r="E295" s="72"/>
      <c r="F295" s="72"/>
      <c r="G295" s="72"/>
      <c r="H295" s="1690" t="str">
        <f>M250</f>
        <v>Amanriquez@maacproject.org</v>
      </c>
      <c r="I295" s="1690"/>
      <c r="J295" s="1690"/>
      <c r="K295" s="1690"/>
      <c r="L295" s="1690"/>
      <c r="M295" s="1690"/>
      <c r="N295" s="1691"/>
      <c r="O295" s="1691"/>
      <c r="P295" s="1691"/>
      <c r="Q295" s="1691"/>
      <c r="R295" s="1691"/>
      <c r="S295" s="72"/>
      <c r="T295" s="72" t="s">
        <v>768</v>
      </c>
      <c r="V295" s="72"/>
      <c r="W295" s="72"/>
      <c r="X295" s="72"/>
      <c r="Y295" s="72"/>
      <c r="AA295" s="1692" t="s">
        <v>2405</v>
      </c>
      <c r="AB295" s="1690"/>
      <c r="AC295" s="1690"/>
      <c r="AD295" s="1690"/>
      <c r="AE295" s="1690"/>
      <c r="AF295" s="1690"/>
      <c r="AG295" s="1691"/>
      <c r="AH295" s="1691"/>
      <c r="AI295" s="1691"/>
      <c r="AJ295" s="1691"/>
      <c r="AK295" s="169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4" t="s">
        <v>2406</v>
      </c>
      <c r="I297" s="1691"/>
      <c r="J297" s="1691"/>
      <c r="K297" s="1691"/>
      <c r="L297" s="1691"/>
      <c r="M297" s="1691"/>
      <c r="N297" s="1691"/>
      <c r="O297" s="1691"/>
      <c r="P297" s="1691"/>
      <c r="Q297" s="1691"/>
      <c r="R297" s="1691"/>
      <c r="T297" s="72" t="s">
        <v>40</v>
      </c>
      <c r="V297" s="72"/>
      <c r="W297" s="72"/>
      <c r="X297" s="72"/>
      <c r="Y297" s="72"/>
      <c r="AA297" s="1691" t="s">
        <v>2412</v>
      </c>
      <c r="AB297" s="1691"/>
      <c r="AC297" s="1691"/>
      <c r="AD297" s="1691"/>
      <c r="AE297" s="1691"/>
      <c r="AF297" s="1691"/>
      <c r="AG297" s="1691"/>
      <c r="AH297" s="1691"/>
      <c r="AI297" s="1691"/>
      <c r="AJ297" s="1691"/>
      <c r="AK297" s="1691"/>
      <c r="BA297" s="75"/>
    </row>
    <row r="298" spans="2:53" ht="12.75">
      <c r="B298" s="72" t="s">
        <v>765</v>
      </c>
      <c r="C298" s="72"/>
      <c r="D298" s="72"/>
      <c r="E298" s="72"/>
      <c r="F298" s="72"/>
      <c r="H298" s="1692" t="s">
        <v>2407</v>
      </c>
      <c r="I298" s="1690"/>
      <c r="J298" s="1690"/>
      <c r="K298" s="1690"/>
      <c r="L298" s="1690"/>
      <c r="M298" s="1690"/>
      <c r="N298" s="1690"/>
      <c r="O298" s="1690"/>
      <c r="P298" s="1690"/>
      <c r="Q298" s="1690"/>
      <c r="R298" s="1690"/>
      <c r="T298" s="72" t="s">
        <v>765</v>
      </c>
      <c r="V298" s="72"/>
      <c r="W298" s="72"/>
      <c r="X298" s="72"/>
      <c r="Y298" s="72"/>
      <c r="AA298" s="1690"/>
      <c r="AB298" s="1690"/>
      <c r="AC298" s="1690"/>
      <c r="AD298" s="1690"/>
      <c r="AE298" s="1690"/>
      <c r="AF298" s="1690"/>
      <c r="AG298" s="1690"/>
      <c r="AH298" s="1690"/>
      <c r="AI298" s="1690"/>
      <c r="AJ298" s="1690"/>
      <c r="AK298" s="1690"/>
      <c r="BA298" s="75"/>
    </row>
    <row r="299" spans="2:53" ht="12.75">
      <c r="B299" s="72" t="s">
        <v>767</v>
      </c>
      <c r="C299" s="72"/>
      <c r="D299" s="72"/>
      <c r="E299" s="72"/>
      <c r="F299" s="72"/>
      <c r="H299" s="1692" t="s">
        <v>2408</v>
      </c>
      <c r="I299" s="1690"/>
      <c r="J299" s="1690"/>
      <c r="K299" s="1690"/>
      <c r="L299" s="1690"/>
      <c r="M299" s="1690"/>
      <c r="N299" s="1690"/>
      <c r="O299" s="1690"/>
      <c r="P299" s="1690"/>
      <c r="Q299" s="1690"/>
      <c r="R299" s="1690"/>
      <c r="T299" s="72" t="s">
        <v>766</v>
      </c>
      <c r="V299" s="72"/>
      <c r="W299" s="72"/>
      <c r="X299" s="72"/>
      <c r="Y299" s="72"/>
      <c r="AA299" s="1690"/>
      <c r="AB299" s="1690"/>
      <c r="AC299" s="1690"/>
      <c r="AD299" s="1690"/>
      <c r="AE299" s="1690"/>
      <c r="AF299" s="1690"/>
      <c r="AG299" s="1690"/>
      <c r="AH299" s="1690"/>
      <c r="AI299" s="1690"/>
      <c r="AJ299" s="1690"/>
      <c r="AK299" s="1690"/>
      <c r="BA299" s="75"/>
    </row>
    <row r="300" spans="2:53" ht="12.75">
      <c r="B300" s="72" t="s">
        <v>418</v>
      </c>
      <c r="C300" s="72"/>
      <c r="D300" s="72"/>
      <c r="E300" s="72"/>
      <c r="F300" s="72"/>
      <c r="H300" s="1692" t="s">
        <v>2409</v>
      </c>
      <c r="I300" s="1690"/>
      <c r="J300" s="1690"/>
      <c r="K300" s="1690"/>
      <c r="L300" s="1690"/>
      <c r="M300" s="1690"/>
      <c r="N300" s="1690"/>
      <c r="O300" s="1690"/>
      <c r="P300" s="1690"/>
      <c r="Q300" s="1690"/>
      <c r="R300" s="1690"/>
      <c r="T300" s="72" t="s">
        <v>418</v>
      </c>
      <c r="V300" s="72"/>
      <c r="W300" s="72"/>
      <c r="X300" s="72"/>
      <c r="Y300" s="72"/>
      <c r="AA300" s="1690"/>
      <c r="AB300" s="1690"/>
      <c r="AC300" s="1690"/>
      <c r="AD300" s="1690"/>
      <c r="AE300" s="1690"/>
      <c r="AF300" s="1690"/>
      <c r="AG300" s="1690"/>
      <c r="AH300" s="1690"/>
      <c r="AI300" s="1690"/>
      <c r="AJ300" s="1690"/>
      <c r="AK300" s="1690"/>
      <c r="BA300" s="75"/>
    </row>
    <row r="301" spans="2:53" ht="12.75" customHeight="1">
      <c r="B301" s="72" t="s">
        <v>419</v>
      </c>
      <c r="C301" s="72"/>
      <c r="D301" s="72"/>
      <c r="E301" s="72"/>
      <c r="F301" s="72"/>
      <c r="G301" s="72"/>
      <c r="H301" s="1695" t="s">
        <v>2410</v>
      </c>
      <c r="I301" s="1695"/>
      <c r="J301" s="1695"/>
      <c r="K301" s="1695"/>
      <c r="L301" s="1695"/>
      <c r="M301" s="1695"/>
      <c r="N301" s="8" t="s">
        <v>900</v>
      </c>
      <c r="O301" s="8"/>
      <c r="P301" s="1686"/>
      <c r="Q301" s="1686"/>
      <c r="R301" s="1686"/>
      <c r="S301" s="72"/>
      <c r="T301" s="72" t="s">
        <v>419</v>
      </c>
      <c r="V301" s="72"/>
      <c r="W301" s="72"/>
      <c r="X301" s="72"/>
      <c r="Y301" s="72"/>
      <c r="AA301" s="1693"/>
      <c r="AB301" s="1693"/>
      <c r="AC301" s="1693"/>
      <c r="AD301" s="1693"/>
      <c r="AE301" s="1693"/>
      <c r="AF301" s="1693"/>
      <c r="AG301" s="8" t="s">
        <v>900</v>
      </c>
      <c r="AH301" s="8"/>
      <c r="AI301" s="1686"/>
      <c r="AJ301" s="1686"/>
      <c r="AK301" s="1686"/>
      <c r="BA301" s="75"/>
    </row>
    <row r="302" spans="2:53" ht="12.75">
      <c r="B302" s="72" t="s">
        <v>420</v>
      </c>
      <c r="C302" s="72"/>
      <c r="D302" s="72"/>
      <c r="E302" s="72"/>
      <c r="F302" s="72"/>
      <c r="G302" s="72"/>
      <c r="H302" s="1683"/>
      <c r="I302" s="1683"/>
      <c r="J302" s="1683"/>
      <c r="K302" s="1683"/>
      <c r="L302" s="1683"/>
      <c r="M302" s="1683"/>
      <c r="N302" s="74"/>
      <c r="O302" s="74"/>
      <c r="P302" s="76"/>
      <c r="Q302" s="76"/>
      <c r="R302" s="76"/>
      <c r="S302" s="72"/>
      <c r="T302" s="72" t="s">
        <v>420</v>
      </c>
      <c r="V302" s="72"/>
      <c r="W302" s="72"/>
      <c r="X302" s="72"/>
      <c r="Y302" s="72"/>
      <c r="AA302" s="1683"/>
      <c r="AB302" s="1683"/>
      <c r="AC302" s="1683"/>
      <c r="AD302" s="1683"/>
      <c r="AE302" s="1683"/>
      <c r="AF302" s="1683"/>
      <c r="AG302" s="74"/>
      <c r="AH302" s="74"/>
      <c r="AI302" s="76"/>
      <c r="AJ302" s="76"/>
      <c r="AK302" s="76"/>
      <c r="BA302" s="75"/>
    </row>
    <row r="303" spans="2:53" ht="12.75">
      <c r="B303" s="72" t="s">
        <v>768</v>
      </c>
      <c r="C303" s="72"/>
      <c r="D303" s="72"/>
      <c r="E303" s="72"/>
      <c r="F303" s="72"/>
      <c r="G303" s="72"/>
      <c r="H303" s="1692" t="s">
        <v>2411</v>
      </c>
      <c r="I303" s="1690"/>
      <c r="J303" s="1690"/>
      <c r="K303" s="1690"/>
      <c r="L303" s="1690"/>
      <c r="M303" s="1690"/>
      <c r="N303" s="1691"/>
      <c r="O303" s="1691"/>
      <c r="P303" s="1691"/>
      <c r="Q303" s="1691"/>
      <c r="R303" s="1691"/>
      <c r="S303" s="72"/>
      <c r="T303" s="72" t="s">
        <v>768</v>
      </c>
      <c r="V303" s="72"/>
      <c r="W303" s="72"/>
      <c r="X303" s="72"/>
      <c r="Y303" s="72"/>
      <c r="AA303" s="1690"/>
      <c r="AB303" s="1690"/>
      <c r="AC303" s="1690"/>
      <c r="AD303" s="1690"/>
      <c r="AE303" s="1690"/>
      <c r="AF303" s="1690"/>
      <c r="AG303" s="1691"/>
      <c r="AH303" s="1691"/>
      <c r="AI303" s="1691"/>
      <c r="AJ303" s="1691"/>
      <c r="AK303" s="1691"/>
      <c r="BA303" s="75"/>
    </row>
    <row r="304" spans="2:53" ht="12.75">
      <c r="BA304" s="75"/>
    </row>
    <row r="305" spans="1:53" ht="12.75" customHeight="1">
      <c r="B305" s="72" t="s">
        <v>769</v>
      </c>
      <c r="C305" s="72"/>
      <c r="D305" s="72"/>
      <c r="E305" s="72"/>
      <c r="F305" s="72"/>
      <c r="H305" s="1691"/>
      <c r="I305" s="1691"/>
      <c r="J305" s="1691"/>
      <c r="K305" s="1691"/>
      <c r="L305" s="1691"/>
      <c r="M305" s="1691"/>
      <c r="N305" s="1691"/>
      <c r="O305" s="1691"/>
      <c r="P305" s="1691"/>
      <c r="Q305" s="1691"/>
      <c r="R305" s="1691"/>
      <c r="T305" s="8" t="s">
        <v>1224</v>
      </c>
      <c r="V305" s="72"/>
      <c r="W305" s="72"/>
      <c r="X305" s="72"/>
      <c r="Y305" s="72"/>
      <c r="AA305" s="1694" t="s">
        <v>2413</v>
      </c>
      <c r="AB305" s="1691"/>
      <c r="AC305" s="1691"/>
      <c r="AD305" s="1691"/>
      <c r="AE305" s="1691"/>
      <c r="AF305" s="1691"/>
      <c r="AG305" s="1691"/>
      <c r="AH305" s="1691"/>
      <c r="AI305" s="1691"/>
      <c r="AJ305" s="1691"/>
      <c r="AK305" s="1691"/>
      <c r="BA305" s="75"/>
    </row>
    <row r="306" spans="1:53" ht="12.75" customHeight="1">
      <c r="B306" s="72" t="s">
        <v>765</v>
      </c>
      <c r="C306" s="72"/>
      <c r="D306" s="72"/>
      <c r="E306" s="72"/>
      <c r="F306" s="72"/>
      <c r="H306" s="1690"/>
      <c r="I306" s="1690"/>
      <c r="J306" s="1690"/>
      <c r="K306" s="1690"/>
      <c r="L306" s="1690"/>
      <c r="M306" s="1690"/>
      <c r="N306" s="1690"/>
      <c r="O306" s="1690"/>
      <c r="P306" s="1690"/>
      <c r="Q306" s="1690"/>
      <c r="R306" s="1690"/>
      <c r="T306" s="72" t="s">
        <v>765</v>
      </c>
      <c r="V306" s="72"/>
      <c r="W306" s="72"/>
      <c r="X306" s="72"/>
      <c r="Y306" s="72"/>
      <c r="AA306" s="1692" t="s">
        <v>2414</v>
      </c>
      <c r="AB306" s="1690"/>
      <c r="AC306" s="1690"/>
      <c r="AD306" s="1690"/>
      <c r="AE306" s="1690"/>
      <c r="AF306" s="1690"/>
      <c r="AG306" s="1690"/>
      <c r="AH306" s="1690"/>
      <c r="AI306" s="1690"/>
      <c r="AJ306" s="1690"/>
      <c r="AK306" s="1690"/>
      <c r="BA306" s="75"/>
    </row>
    <row r="307" spans="1:53" ht="12.75" customHeight="1">
      <c r="B307" s="72" t="s">
        <v>767</v>
      </c>
      <c r="C307" s="72"/>
      <c r="D307" s="72"/>
      <c r="E307" s="72"/>
      <c r="F307" s="72"/>
      <c r="H307" s="1690"/>
      <c r="I307" s="1690"/>
      <c r="J307" s="1690"/>
      <c r="K307" s="1690"/>
      <c r="L307" s="1690"/>
      <c r="M307" s="1690"/>
      <c r="N307" s="1690"/>
      <c r="O307" s="1690"/>
      <c r="P307" s="1690"/>
      <c r="Q307" s="1690"/>
      <c r="R307" s="1690"/>
      <c r="T307" s="72" t="s">
        <v>766</v>
      </c>
      <c r="V307" s="72"/>
      <c r="W307" s="72"/>
      <c r="X307" s="72"/>
      <c r="Y307" s="72"/>
      <c r="AA307" s="1692" t="s">
        <v>2415</v>
      </c>
      <c r="AB307" s="1690"/>
      <c r="AC307" s="1690"/>
      <c r="AD307" s="1690"/>
      <c r="AE307" s="1690"/>
      <c r="AF307" s="1690"/>
      <c r="AG307" s="1690"/>
      <c r="AH307" s="1690"/>
      <c r="AI307" s="1690"/>
      <c r="AJ307" s="1690"/>
      <c r="AK307" s="1690"/>
      <c r="BA307" s="75"/>
    </row>
    <row r="308" spans="1:53" ht="12.75" customHeight="1">
      <c r="B308" s="72" t="s">
        <v>418</v>
      </c>
      <c r="C308" s="72"/>
      <c r="D308" s="72"/>
      <c r="E308" s="72"/>
      <c r="F308" s="72"/>
      <c r="H308" s="1690"/>
      <c r="I308" s="1690"/>
      <c r="J308" s="1690"/>
      <c r="K308" s="1690"/>
      <c r="L308" s="1690"/>
      <c r="M308" s="1690"/>
      <c r="N308" s="1690"/>
      <c r="O308" s="1690"/>
      <c r="P308" s="1690"/>
      <c r="Q308" s="1690"/>
      <c r="R308" s="1690"/>
      <c r="T308" s="72" t="s">
        <v>418</v>
      </c>
      <c r="V308" s="72"/>
      <c r="W308" s="72"/>
      <c r="X308" s="72"/>
      <c r="Y308" s="72"/>
      <c r="AA308" s="1692" t="s">
        <v>2416</v>
      </c>
      <c r="AB308" s="1690"/>
      <c r="AC308" s="1690"/>
      <c r="AD308" s="1690"/>
      <c r="AE308" s="1690"/>
      <c r="AF308" s="1690"/>
      <c r="AG308" s="1690"/>
      <c r="AH308" s="1690"/>
      <c r="AI308" s="1690"/>
      <c r="AJ308" s="1690"/>
      <c r="AK308" s="1690"/>
      <c r="BA308" s="75"/>
    </row>
    <row r="309" spans="1:53" ht="12.75">
      <c r="B309" s="72" t="s">
        <v>419</v>
      </c>
      <c r="C309" s="72"/>
      <c r="D309" s="72"/>
      <c r="E309" s="72"/>
      <c r="F309" s="72"/>
      <c r="G309" s="72"/>
      <c r="H309" s="1693"/>
      <c r="I309" s="1693"/>
      <c r="J309" s="1693"/>
      <c r="K309" s="1693"/>
      <c r="L309" s="1693"/>
      <c r="M309" s="1693"/>
      <c r="N309" s="8" t="s">
        <v>900</v>
      </c>
      <c r="O309" s="8"/>
      <c r="P309" s="1686"/>
      <c r="Q309" s="1686"/>
      <c r="R309" s="1686"/>
      <c r="S309" s="72"/>
      <c r="T309" s="72" t="s">
        <v>419</v>
      </c>
      <c r="V309" s="72"/>
      <c r="W309" s="72"/>
      <c r="X309" s="72"/>
      <c r="Y309" s="72"/>
      <c r="AA309" s="1695" t="s">
        <v>2417</v>
      </c>
      <c r="AB309" s="1695"/>
      <c r="AC309" s="1695"/>
      <c r="AD309" s="1695"/>
      <c r="AE309" s="1695"/>
      <c r="AF309" s="1695"/>
      <c r="AG309" s="8" t="s">
        <v>900</v>
      </c>
      <c r="AH309" s="8"/>
      <c r="AI309" s="1686"/>
      <c r="AJ309" s="1686"/>
      <c r="AK309" s="1686"/>
      <c r="BA309" s="75"/>
    </row>
    <row r="310" spans="1:53" ht="12.75">
      <c r="B310" s="72" t="s">
        <v>420</v>
      </c>
      <c r="C310" s="72"/>
      <c r="D310" s="72"/>
      <c r="E310" s="72"/>
      <c r="F310" s="72"/>
      <c r="G310" s="72"/>
      <c r="H310" s="1683"/>
      <c r="I310" s="1683"/>
      <c r="J310" s="1683"/>
      <c r="K310" s="1683"/>
      <c r="L310" s="1683"/>
      <c r="M310" s="1683"/>
      <c r="N310" s="74"/>
      <c r="O310" s="74"/>
      <c r="P310" s="76"/>
      <c r="Q310" s="76"/>
      <c r="R310" s="76"/>
      <c r="S310" s="72"/>
      <c r="T310" s="72" t="s">
        <v>420</v>
      </c>
      <c r="V310" s="72"/>
      <c r="W310" s="72"/>
      <c r="X310" s="72"/>
      <c r="Y310" s="72"/>
      <c r="AA310" s="1683"/>
      <c r="AB310" s="1683"/>
      <c r="AC310" s="1683"/>
      <c r="AD310" s="1683"/>
      <c r="AE310" s="1683"/>
      <c r="AF310" s="1683"/>
      <c r="AG310" s="74"/>
      <c r="AH310" s="74"/>
      <c r="AI310" s="76"/>
      <c r="AJ310" s="76"/>
      <c r="AK310" s="76"/>
      <c r="BA310" s="75"/>
    </row>
    <row r="311" spans="1:53" ht="12.75">
      <c r="B311" s="72" t="s">
        <v>768</v>
      </c>
      <c r="C311" s="72"/>
      <c r="D311" s="72"/>
      <c r="E311" s="72"/>
      <c r="F311" s="72"/>
      <c r="G311" s="72"/>
      <c r="H311" s="1690"/>
      <c r="I311" s="1690"/>
      <c r="J311" s="1690"/>
      <c r="K311" s="1690"/>
      <c r="L311" s="1690"/>
      <c r="M311" s="1690"/>
      <c r="N311" s="1691"/>
      <c r="O311" s="1691"/>
      <c r="P311" s="1691"/>
      <c r="Q311" s="1691"/>
      <c r="R311" s="1691"/>
      <c r="S311" s="72"/>
      <c r="T311" s="72" t="s">
        <v>768</v>
      </c>
      <c r="V311" s="72"/>
      <c r="W311" s="72"/>
      <c r="X311" s="72"/>
      <c r="Y311" s="72"/>
      <c r="AA311" s="1692" t="s">
        <v>2418</v>
      </c>
      <c r="AB311" s="1690"/>
      <c r="AC311" s="1690"/>
      <c r="AD311" s="1690"/>
      <c r="AE311" s="1690"/>
      <c r="AF311" s="1690"/>
      <c r="AG311" s="1691"/>
      <c r="AH311" s="1691"/>
      <c r="AI311" s="1691"/>
      <c r="AJ311" s="1691"/>
      <c r="AK311" s="1691"/>
      <c r="BA311" s="75"/>
    </row>
    <row r="312" spans="1:53" ht="12.75">
      <c r="BA312" s="75"/>
    </row>
    <row r="313" spans="1:53" ht="12.75">
      <c r="B313" s="8" t="s">
        <v>1269</v>
      </c>
      <c r="C313" s="72"/>
      <c r="D313" s="72"/>
      <c r="E313" s="72"/>
      <c r="F313" s="72"/>
      <c r="H313" s="1694" t="s">
        <v>2419</v>
      </c>
      <c r="I313" s="1691"/>
      <c r="J313" s="1691"/>
      <c r="K313" s="1691"/>
      <c r="L313" s="1691"/>
      <c r="M313" s="1691"/>
      <c r="N313" s="1691"/>
      <c r="O313" s="1691"/>
      <c r="P313" s="1691"/>
      <c r="Q313" s="1691"/>
      <c r="R313" s="1691"/>
      <c r="T313" s="72" t="s">
        <v>41</v>
      </c>
      <c r="V313" s="72"/>
      <c r="W313" s="72"/>
      <c r="X313" s="72"/>
      <c r="Y313" s="72"/>
      <c r="AA313" s="1694" t="s">
        <v>2425</v>
      </c>
      <c r="AB313" s="1691"/>
      <c r="AC313" s="1691"/>
      <c r="AD313" s="1691"/>
      <c r="AE313" s="1691"/>
      <c r="AF313" s="1691"/>
      <c r="AG313" s="1691"/>
      <c r="AH313" s="1691"/>
      <c r="AI313" s="1691"/>
      <c r="AJ313" s="1691"/>
      <c r="AK313" s="1691"/>
      <c r="BA313" s="75"/>
    </row>
    <row r="314" spans="1:53" ht="12.75">
      <c r="B314" s="72" t="s">
        <v>765</v>
      </c>
      <c r="C314" s="72"/>
      <c r="D314" s="72"/>
      <c r="E314" s="72"/>
      <c r="F314" s="72"/>
      <c r="H314" s="1692" t="s">
        <v>2420</v>
      </c>
      <c r="I314" s="1690"/>
      <c r="J314" s="1690"/>
      <c r="K314" s="1690"/>
      <c r="L314" s="1690"/>
      <c r="M314" s="1690"/>
      <c r="N314" s="1690"/>
      <c r="O314" s="1690"/>
      <c r="P314" s="1690"/>
      <c r="Q314" s="1690"/>
      <c r="R314" s="1690"/>
      <c r="T314" s="72" t="s">
        <v>765</v>
      </c>
      <c r="V314" s="72"/>
      <c r="W314" s="72"/>
      <c r="X314" s="72"/>
      <c r="Y314" s="72"/>
      <c r="AA314" s="1692" t="s">
        <v>2426</v>
      </c>
      <c r="AB314" s="1690"/>
      <c r="AC314" s="1690"/>
      <c r="AD314" s="1690"/>
      <c r="AE314" s="1690"/>
      <c r="AF314" s="1690"/>
      <c r="AG314" s="1690"/>
      <c r="AH314" s="1690"/>
      <c r="AI314" s="1690"/>
      <c r="AJ314" s="1690"/>
      <c r="AK314" s="1690"/>
      <c r="BA314" s="75"/>
    </row>
    <row r="315" spans="1:53" ht="12.75" customHeight="1">
      <c r="B315" s="72" t="s">
        <v>767</v>
      </c>
      <c r="C315" s="72"/>
      <c r="D315" s="72"/>
      <c r="E315" s="72"/>
      <c r="F315" s="72"/>
      <c r="H315" s="1692" t="s">
        <v>2421</v>
      </c>
      <c r="I315" s="1690"/>
      <c r="J315" s="1690"/>
      <c r="K315" s="1690"/>
      <c r="L315" s="1690"/>
      <c r="M315" s="1690"/>
      <c r="N315" s="1690"/>
      <c r="O315" s="1690"/>
      <c r="P315" s="1690"/>
      <c r="Q315" s="1690"/>
      <c r="R315" s="1690"/>
      <c r="T315" s="72" t="s">
        <v>766</v>
      </c>
      <c r="V315" s="72"/>
      <c r="W315" s="72"/>
      <c r="X315" s="72"/>
      <c r="Y315" s="72"/>
      <c r="AA315" s="1692" t="s">
        <v>2427</v>
      </c>
      <c r="AB315" s="1690"/>
      <c r="AC315" s="1690"/>
      <c r="AD315" s="1690"/>
      <c r="AE315" s="1690"/>
      <c r="AF315" s="1690"/>
      <c r="AG315" s="1690"/>
      <c r="AH315" s="1690"/>
      <c r="AI315" s="1690"/>
      <c r="AJ315" s="1690"/>
      <c r="AK315" s="1690"/>
      <c r="BA315" s="75"/>
    </row>
    <row r="316" spans="1:53" ht="12.75" customHeight="1">
      <c r="A316" s="50"/>
      <c r="B316" s="72" t="s">
        <v>418</v>
      </c>
      <c r="C316" s="72"/>
      <c r="D316" s="72"/>
      <c r="E316" s="72"/>
      <c r="F316" s="72"/>
      <c r="H316" s="1692" t="s">
        <v>2422</v>
      </c>
      <c r="I316" s="1690"/>
      <c r="J316" s="1690"/>
      <c r="K316" s="1690"/>
      <c r="L316" s="1690"/>
      <c r="M316" s="1690"/>
      <c r="N316" s="1690"/>
      <c r="O316" s="1690"/>
      <c r="P316" s="1690"/>
      <c r="Q316" s="1690"/>
      <c r="R316" s="1690"/>
      <c r="T316" s="72" t="s">
        <v>418</v>
      </c>
      <c r="V316" s="72"/>
      <c r="W316" s="72"/>
      <c r="X316" s="72"/>
      <c r="Y316" s="72"/>
      <c r="AA316" s="1692" t="s">
        <v>2428</v>
      </c>
      <c r="AB316" s="1690"/>
      <c r="AC316" s="1690"/>
      <c r="AD316" s="1690"/>
      <c r="AE316" s="1690"/>
      <c r="AF316" s="1690"/>
      <c r="AG316" s="1690"/>
      <c r="AH316" s="1690"/>
      <c r="AI316" s="1690"/>
      <c r="AJ316" s="1690"/>
      <c r="AK316" s="1690"/>
      <c r="AL316" s="50"/>
      <c r="BA316" s="75"/>
    </row>
    <row r="317" spans="1:53" ht="12.75" customHeight="1">
      <c r="A317" s="50"/>
      <c r="B317" s="72" t="s">
        <v>419</v>
      </c>
      <c r="C317" s="72"/>
      <c r="D317" s="72"/>
      <c r="E317" s="72"/>
      <c r="F317" s="72"/>
      <c r="G317" s="72"/>
      <c r="H317" s="1695" t="s">
        <v>2423</v>
      </c>
      <c r="I317" s="1695"/>
      <c r="J317" s="1695"/>
      <c r="K317" s="1695"/>
      <c r="L317" s="1695"/>
      <c r="M317" s="1695"/>
      <c r="N317" s="8" t="s">
        <v>900</v>
      </c>
      <c r="O317" s="8"/>
      <c r="P317" s="1686"/>
      <c r="Q317" s="1686"/>
      <c r="R317" s="1686"/>
      <c r="S317" s="72"/>
      <c r="T317" s="72" t="s">
        <v>419</v>
      </c>
      <c r="V317" s="72"/>
      <c r="W317" s="72"/>
      <c r="X317" s="72"/>
      <c r="Y317" s="72"/>
      <c r="AA317" s="1695" t="s">
        <v>2429</v>
      </c>
      <c r="AB317" s="1695"/>
      <c r="AC317" s="1695"/>
      <c r="AD317" s="1695"/>
      <c r="AE317" s="1695"/>
      <c r="AF317" s="1695"/>
      <c r="AG317" s="8" t="s">
        <v>900</v>
      </c>
      <c r="AH317" s="8"/>
      <c r="AI317" s="1686"/>
      <c r="AJ317" s="1686"/>
      <c r="AK317" s="1686"/>
      <c r="AL317" s="50"/>
      <c r="BA317" s="75"/>
    </row>
    <row r="318" spans="1:53" ht="12.75" customHeight="1">
      <c r="A318" s="50"/>
      <c r="B318" s="72" t="s">
        <v>420</v>
      </c>
      <c r="C318" s="72"/>
      <c r="D318" s="72"/>
      <c r="E318" s="72"/>
      <c r="F318" s="72"/>
      <c r="G318" s="72"/>
      <c r="H318" s="1683"/>
      <c r="I318" s="1683"/>
      <c r="J318" s="1683"/>
      <c r="K318" s="1683"/>
      <c r="L318" s="1683"/>
      <c r="M318" s="1683"/>
      <c r="N318" s="74"/>
      <c r="O318" s="74"/>
      <c r="P318" s="76"/>
      <c r="Q318" s="76"/>
      <c r="R318" s="76"/>
      <c r="S318" s="72"/>
      <c r="T318" s="72" t="s">
        <v>420</v>
      </c>
      <c r="V318" s="72"/>
      <c r="W318" s="72"/>
      <c r="X318" s="72"/>
      <c r="Y318" s="72"/>
      <c r="AA318" s="1683"/>
      <c r="AB318" s="1683"/>
      <c r="AC318" s="1683"/>
      <c r="AD318" s="1683"/>
      <c r="AE318" s="1683"/>
      <c r="AF318" s="1683"/>
      <c r="AG318" s="74"/>
      <c r="AH318" s="74"/>
      <c r="AI318" s="76"/>
      <c r="AJ318" s="76"/>
      <c r="AK318" s="76"/>
      <c r="AL318" s="50"/>
      <c r="BA318" s="75"/>
    </row>
    <row r="319" spans="1:53" ht="12.75">
      <c r="A319" s="50"/>
      <c r="B319" s="72" t="s">
        <v>768</v>
      </c>
      <c r="C319" s="72"/>
      <c r="D319" s="72"/>
      <c r="E319" s="72"/>
      <c r="F319" s="72"/>
      <c r="G319" s="72"/>
      <c r="H319" s="1692" t="s">
        <v>2424</v>
      </c>
      <c r="I319" s="1690"/>
      <c r="J319" s="1690"/>
      <c r="K319" s="1690"/>
      <c r="L319" s="1690"/>
      <c r="M319" s="1690"/>
      <c r="N319" s="1691"/>
      <c r="O319" s="1691"/>
      <c r="P319" s="1691"/>
      <c r="Q319" s="1691"/>
      <c r="R319" s="1691"/>
      <c r="S319" s="72"/>
      <c r="T319" s="72" t="s">
        <v>768</v>
      </c>
      <c r="V319" s="72"/>
      <c r="W319" s="72"/>
      <c r="X319" s="72"/>
      <c r="Y319" s="72"/>
      <c r="AA319" s="1692" t="s">
        <v>2430</v>
      </c>
      <c r="AB319" s="1690"/>
      <c r="AC319" s="1690"/>
      <c r="AD319" s="1690"/>
      <c r="AE319" s="1690"/>
      <c r="AF319" s="1690"/>
      <c r="AG319" s="1691"/>
      <c r="AH319" s="1691"/>
      <c r="AI319" s="1691"/>
      <c r="AJ319" s="1691"/>
      <c r="AK319" s="169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4" t="s">
        <v>2431</v>
      </c>
      <c r="I321" s="1691"/>
      <c r="J321" s="1691"/>
      <c r="K321" s="1691"/>
      <c r="L321" s="1691"/>
      <c r="M321" s="1691"/>
      <c r="N321" s="1691"/>
      <c r="O321" s="1691"/>
      <c r="P321" s="1691"/>
      <c r="Q321" s="1691"/>
      <c r="R321" s="1691"/>
      <c r="T321" s="72" t="s">
        <v>42</v>
      </c>
      <c r="V321" s="72"/>
      <c r="W321" s="72"/>
      <c r="X321" s="72"/>
      <c r="Y321" s="72"/>
      <c r="AA321" s="1694" t="s">
        <v>2434</v>
      </c>
      <c r="AB321" s="1691"/>
      <c r="AC321" s="1691"/>
      <c r="AD321" s="1691"/>
      <c r="AE321" s="1691"/>
      <c r="AF321" s="1691"/>
      <c r="AG321" s="1691"/>
      <c r="AH321" s="1691"/>
      <c r="AI321" s="1691"/>
      <c r="AJ321" s="1691"/>
      <c r="AK321" s="1691"/>
      <c r="AL321" s="50"/>
      <c r="BA321" s="75"/>
    </row>
    <row r="322" spans="1:53" ht="12.75">
      <c r="A322" s="50"/>
      <c r="B322" s="72" t="s">
        <v>765</v>
      </c>
      <c r="C322" s="72"/>
      <c r="D322" s="72"/>
      <c r="E322" s="72"/>
      <c r="F322" s="72"/>
      <c r="H322" s="1692" t="s">
        <v>2391</v>
      </c>
      <c r="I322" s="1690"/>
      <c r="J322" s="1690"/>
      <c r="K322" s="1690"/>
      <c r="L322" s="1690"/>
      <c r="M322" s="1690"/>
      <c r="N322" s="1690"/>
      <c r="O322" s="1690"/>
      <c r="P322" s="1690"/>
      <c r="Q322" s="1690"/>
      <c r="R322" s="1690"/>
      <c r="T322" s="72" t="s">
        <v>765</v>
      </c>
      <c r="V322" s="72"/>
      <c r="W322" s="72"/>
      <c r="X322" s="72"/>
      <c r="Y322" s="72"/>
      <c r="AA322" s="1692" t="s">
        <v>2435</v>
      </c>
      <c r="AB322" s="1690"/>
      <c r="AC322" s="1690"/>
      <c r="AD322" s="1690"/>
      <c r="AE322" s="1690"/>
      <c r="AF322" s="1690"/>
      <c r="AG322" s="1690"/>
      <c r="AH322" s="1690"/>
      <c r="AI322" s="1690"/>
      <c r="AJ322" s="1690"/>
      <c r="AK322" s="1690"/>
      <c r="AL322" s="50"/>
      <c r="BA322" s="75"/>
    </row>
    <row r="323" spans="1:53" ht="12.75">
      <c r="A323" s="50"/>
      <c r="B323" s="72" t="s">
        <v>767</v>
      </c>
      <c r="C323" s="72"/>
      <c r="D323" s="72"/>
      <c r="E323" s="72"/>
      <c r="F323" s="72"/>
      <c r="H323" s="1692" t="s">
        <v>2432</v>
      </c>
      <c r="I323" s="1690"/>
      <c r="J323" s="1690"/>
      <c r="K323" s="1690"/>
      <c r="L323" s="1690"/>
      <c r="M323" s="1690"/>
      <c r="N323" s="1690"/>
      <c r="O323" s="1690"/>
      <c r="P323" s="1690"/>
      <c r="Q323" s="1690"/>
      <c r="R323" s="1690"/>
      <c r="T323" s="72" t="s">
        <v>766</v>
      </c>
      <c r="V323" s="72"/>
      <c r="W323" s="72"/>
      <c r="X323" s="72"/>
      <c r="Y323" s="72"/>
      <c r="AA323" s="1692" t="s">
        <v>2436</v>
      </c>
      <c r="AB323" s="1690"/>
      <c r="AC323" s="1690"/>
      <c r="AD323" s="1690"/>
      <c r="AE323" s="1690"/>
      <c r="AF323" s="1690"/>
      <c r="AG323" s="1690"/>
      <c r="AH323" s="1690"/>
      <c r="AI323" s="1690"/>
      <c r="AJ323" s="1690"/>
      <c r="AK323" s="1690"/>
      <c r="AL323" s="50"/>
      <c r="BA323" s="75"/>
    </row>
    <row r="324" spans="1:53" ht="12.75">
      <c r="A324" s="50"/>
      <c r="B324" s="72" t="s">
        <v>418</v>
      </c>
      <c r="C324" s="72"/>
      <c r="D324" s="72"/>
      <c r="E324" s="72"/>
      <c r="F324" s="72"/>
      <c r="H324" s="1692" t="s">
        <v>2392</v>
      </c>
      <c r="I324" s="1690"/>
      <c r="J324" s="1690"/>
      <c r="K324" s="1690"/>
      <c r="L324" s="1690"/>
      <c r="M324" s="1690"/>
      <c r="N324" s="1690"/>
      <c r="O324" s="1690"/>
      <c r="P324" s="1690"/>
      <c r="Q324" s="1690"/>
      <c r="R324" s="1690"/>
      <c r="T324" s="72" t="s">
        <v>418</v>
      </c>
      <c r="V324" s="72"/>
      <c r="W324" s="72"/>
      <c r="X324" s="72"/>
      <c r="Y324" s="72"/>
      <c r="AA324" s="1692" t="s">
        <v>2437</v>
      </c>
      <c r="AB324" s="1690"/>
      <c r="AC324" s="1690"/>
      <c r="AD324" s="1690"/>
      <c r="AE324" s="1690"/>
      <c r="AF324" s="1690"/>
      <c r="AG324" s="1690"/>
      <c r="AH324" s="1690"/>
      <c r="AI324" s="1690"/>
      <c r="AJ324" s="1690"/>
      <c r="AK324" s="1690"/>
      <c r="AL324" s="50"/>
      <c r="BA324" s="75"/>
    </row>
    <row r="325" spans="1:53" ht="12.75">
      <c r="A325" s="50"/>
      <c r="B325" s="72" t="s">
        <v>419</v>
      </c>
      <c r="C325" s="72"/>
      <c r="D325" s="72"/>
      <c r="E325" s="72"/>
      <c r="F325" s="72"/>
      <c r="G325" s="72"/>
      <c r="H325" s="1695" t="s">
        <v>2393</v>
      </c>
      <c r="I325" s="1695"/>
      <c r="J325" s="1695"/>
      <c r="K325" s="1695"/>
      <c r="L325" s="1695"/>
      <c r="M325" s="1695"/>
      <c r="N325" s="8" t="s">
        <v>900</v>
      </c>
      <c r="O325" s="8"/>
      <c r="P325" s="1686"/>
      <c r="Q325" s="1686"/>
      <c r="R325" s="1686"/>
      <c r="S325" s="72"/>
      <c r="T325" s="72" t="s">
        <v>419</v>
      </c>
      <c r="V325" s="72"/>
      <c r="W325" s="72"/>
      <c r="X325" s="72"/>
      <c r="Y325" s="72"/>
      <c r="AA325" s="1695" t="s">
        <v>2438</v>
      </c>
      <c r="AB325" s="1695"/>
      <c r="AC325" s="1695"/>
      <c r="AD325" s="1695"/>
      <c r="AE325" s="1695"/>
      <c r="AF325" s="1695"/>
      <c r="AG325" s="8" t="s">
        <v>900</v>
      </c>
      <c r="AH325" s="8"/>
      <c r="AI325" s="1686"/>
      <c r="AJ325" s="1686"/>
      <c r="AK325" s="1686"/>
      <c r="AL325" s="50"/>
      <c r="BA325" s="75"/>
    </row>
    <row r="326" spans="1:53" ht="12.75">
      <c r="A326" s="50"/>
      <c r="B326" s="72" t="s">
        <v>420</v>
      </c>
      <c r="C326" s="72"/>
      <c r="D326" s="72"/>
      <c r="E326" s="72"/>
      <c r="F326" s="72"/>
      <c r="G326" s="72"/>
      <c r="H326" s="1683"/>
      <c r="I326" s="1683"/>
      <c r="J326" s="1683"/>
      <c r="K326" s="1683"/>
      <c r="L326" s="1683"/>
      <c r="M326" s="1683"/>
      <c r="N326" s="74"/>
      <c r="O326" s="74"/>
      <c r="P326" s="76"/>
      <c r="Q326" s="76"/>
      <c r="R326" s="76"/>
      <c r="S326" s="72"/>
      <c r="T326" s="72" t="s">
        <v>420</v>
      </c>
      <c r="V326" s="72"/>
      <c r="W326" s="72"/>
      <c r="X326" s="72"/>
      <c r="Y326" s="72"/>
      <c r="AA326" s="1683"/>
      <c r="AB326" s="1683"/>
      <c r="AC326" s="1683"/>
      <c r="AD326" s="1683"/>
      <c r="AE326" s="1683"/>
      <c r="AF326" s="1683"/>
      <c r="AG326" s="74"/>
      <c r="AH326" s="74"/>
      <c r="AI326" s="76"/>
      <c r="AJ326" s="76"/>
      <c r="AK326" s="76"/>
      <c r="AL326" s="50"/>
      <c r="BA326" s="75"/>
    </row>
    <row r="327" spans="1:53" ht="12.75">
      <c r="A327" s="50"/>
      <c r="B327" s="72" t="s">
        <v>768</v>
      </c>
      <c r="C327" s="72"/>
      <c r="D327" s="72"/>
      <c r="E327" s="72"/>
      <c r="F327" s="72"/>
      <c r="G327" s="72"/>
      <c r="H327" s="1692" t="s">
        <v>2433</v>
      </c>
      <c r="I327" s="1690"/>
      <c r="J327" s="1690"/>
      <c r="K327" s="1690"/>
      <c r="L327" s="1690"/>
      <c r="M327" s="1690"/>
      <c r="N327" s="1691"/>
      <c r="O327" s="1691"/>
      <c r="P327" s="1691"/>
      <c r="Q327" s="1691"/>
      <c r="R327" s="1691"/>
      <c r="S327" s="72"/>
      <c r="T327" s="72" t="s">
        <v>768</v>
      </c>
      <c r="V327" s="72"/>
      <c r="W327" s="72"/>
      <c r="X327" s="72"/>
      <c r="Y327" s="72"/>
      <c r="AA327" s="1692" t="s">
        <v>2439</v>
      </c>
      <c r="AB327" s="1690"/>
      <c r="AC327" s="1690"/>
      <c r="AD327" s="1690"/>
      <c r="AE327" s="1690"/>
      <c r="AF327" s="1690"/>
      <c r="AG327" s="1691"/>
      <c r="AH327" s="1691"/>
      <c r="AI327" s="1691"/>
      <c r="AJ327" s="1691"/>
      <c r="AK327" s="169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1" t="str">
        <f>AA321</f>
        <v>KVG</v>
      </c>
      <c r="I329" s="1691"/>
      <c r="J329" s="1691"/>
      <c r="K329" s="1691"/>
      <c r="L329" s="1691"/>
      <c r="M329" s="1691"/>
      <c r="N329" s="1691"/>
      <c r="O329" s="1691"/>
      <c r="P329" s="1691"/>
      <c r="Q329" s="1691"/>
      <c r="R329" s="1691"/>
      <c r="S329" s="723"/>
      <c r="T329" s="652" t="s">
        <v>1225</v>
      </c>
      <c r="V329" s="72"/>
      <c r="W329" s="72"/>
      <c r="X329" s="72"/>
      <c r="Y329" s="72"/>
      <c r="AA329" s="1694" t="s">
        <v>2440</v>
      </c>
      <c r="AB329" s="1691"/>
      <c r="AC329" s="1691"/>
      <c r="AD329" s="1691"/>
      <c r="AE329" s="1691"/>
      <c r="AF329" s="1691"/>
      <c r="AG329" s="1691"/>
      <c r="AH329" s="1691"/>
      <c r="AI329" s="1691"/>
      <c r="AJ329" s="1691"/>
      <c r="AK329" s="1691"/>
      <c r="AL329" s="50"/>
      <c r="BA329" s="75"/>
    </row>
    <row r="330" spans="1:53" ht="12.75">
      <c r="B330" s="72" t="s">
        <v>765</v>
      </c>
      <c r="C330" s="72"/>
      <c r="D330" s="72"/>
      <c r="E330" s="72"/>
      <c r="F330" s="72"/>
      <c r="H330" s="1690" t="str">
        <f>AA322</f>
        <v>11060 Oak St. Ste 6</v>
      </c>
      <c r="I330" s="1690"/>
      <c r="J330" s="1690"/>
      <c r="K330" s="1690"/>
      <c r="L330" s="1690"/>
      <c r="M330" s="1690"/>
      <c r="N330" s="1690"/>
      <c r="O330" s="1690"/>
      <c r="P330" s="1690"/>
      <c r="Q330" s="1690"/>
      <c r="R330" s="1690"/>
      <c r="S330" s="723"/>
      <c r="T330" s="72" t="s">
        <v>765</v>
      </c>
      <c r="V330" s="72"/>
      <c r="W330" s="72"/>
      <c r="X330" s="72"/>
      <c r="Y330" s="72"/>
      <c r="AA330" s="1692" t="s">
        <v>2441</v>
      </c>
      <c r="AB330" s="1690"/>
      <c r="AC330" s="1690"/>
      <c r="AD330" s="1690"/>
      <c r="AE330" s="1690"/>
      <c r="AF330" s="1690"/>
      <c r="AG330" s="1690"/>
      <c r="AH330" s="1690"/>
      <c r="AI330" s="1690"/>
      <c r="AJ330" s="1690"/>
      <c r="AK330" s="1690"/>
      <c r="AL330" s="50"/>
      <c r="BA330" s="75"/>
    </row>
    <row r="331" spans="1:53" ht="12.75">
      <c r="B331" s="72" t="s">
        <v>767</v>
      </c>
      <c r="C331" s="72"/>
      <c r="D331" s="72"/>
      <c r="E331" s="72"/>
      <c r="F331" s="72"/>
      <c r="G331" s="72"/>
      <c r="H331" s="1690" t="str">
        <f>AA323</f>
        <v>Omaha, NE 68144</v>
      </c>
      <c r="I331" s="1690"/>
      <c r="J331" s="1690"/>
      <c r="K331" s="1690"/>
      <c r="L331" s="1690"/>
      <c r="M331" s="1690"/>
      <c r="N331" s="1690"/>
      <c r="O331" s="1690"/>
      <c r="P331" s="1690"/>
      <c r="Q331" s="1690"/>
      <c r="R331" s="1690"/>
      <c r="S331" s="723"/>
      <c r="T331" s="72" t="s">
        <v>766</v>
      </c>
      <c r="V331" s="72"/>
      <c r="W331" s="72"/>
      <c r="X331" s="72"/>
      <c r="Y331" s="72"/>
      <c r="AA331" s="1692" t="s">
        <v>2442</v>
      </c>
      <c r="AB331" s="1690"/>
      <c r="AC331" s="1690"/>
      <c r="AD331" s="1690"/>
      <c r="AE331" s="1690"/>
      <c r="AF331" s="1690"/>
      <c r="AG331" s="1690"/>
      <c r="AH331" s="1690"/>
      <c r="AI331" s="1690"/>
      <c r="AJ331" s="1690"/>
      <c r="AK331" s="1690"/>
      <c r="AL331" s="50"/>
      <c r="BA331" s="75"/>
    </row>
    <row r="332" spans="1:53" ht="12.75">
      <c r="A332" s="50"/>
      <c r="B332" s="72" t="s">
        <v>418</v>
      </c>
      <c r="C332" s="72"/>
      <c r="D332" s="72"/>
      <c r="E332" s="72"/>
      <c r="F332" s="72"/>
      <c r="H332" s="1690" t="str">
        <f>AA324</f>
        <v>Jay Wortmann</v>
      </c>
      <c r="I332" s="1690"/>
      <c r="J332" s="1690"/>
      <c r="K332" s="1690"/>
      <c r="L332" s="1690"/>
      <c r="M332" s="1690"/>
      <c r="N332" s="1690"/>
      <c r="O332" s="1690"/>
      <c r="P332" s="1690"/>
      <c r="Q332" s="1690"/>
      <c r="R332" s="1690"/>
      <c r="S332" s="723"/>
      <c r="T332" s="72" t="s">
        <v>418</v>
      </c>
      <c r="V332" s="72"/>
      <c r="W332" s="72"/>
      <c r="X332" s="72"/>
      <c r="Y332" s="72"/>
      <c r="AA332" s="1692" t="s">
        <v>2443</v>
      </c>
      <c r="AB332" s="1690"/>
      <c r="AC332" s="1690"/>
      <c r="AD332" s="1690"/>
      <c r="AE332" s="1690"/>
      <c r="AF332" s="1690"/>
      <c r="AG332" s="1690"/>
      <c r="AH332" s="1690"/>
      <c r="AI332" s="1690"/>
      <c r="AJ332" s="1690"/>
      <c r="AK332" s="1690"/>
      <c r="AL332" s="50"/>
      <c r="BA332" s="75"/>
    </row>
    <row r="333" spans="1:53" ht="12.75">
      <c r="A333" s="50"/>
      <c r="B333" s="72" t="s">
        <v>419</v>
      </c>
      <c r="C333" s="72"/>
      <c r="D333" s="72"/>
      <c r="E333" s="72"/>
      <c r="F333" s="72"/>
      <c r="G333" s="72"/>
      <c r="H333" s="1695" t="str">
        <f>AA325</f>
        <v>402-202-0771</v>
      </c>
      <c r="I333" s="1695"/>
      <c r="J333" s="1695"/>
      <c r="K333" s="1695"/>
      <c r="L333" s="1695"/>
      <c r="M333" s="1695"/>
      <c r="N333" s="8" t="s">
        <v>900</v>
      </c>
      <c r="O333" s="8"/>
      <c r="P333" s="1686"/>
      <c r="Q333" s="1686"/>
      <c r="R333" s="1686"/>
      <c r="S333" s="3"/>
      <c r="T333" s="72" t="s">
        <v>419</v>
      </c>
      <c r="V333" s="72"/>
      <c r="W333" s="72"/>
      <c r="X333" s="72"/>
      <c r="Y333" s="72"/>
      <c r="AA333" s="1695" t="s">
        <v>2444</v>
      </c>
      <c r="AB333" s="1695"/>
      <c r="AC333" s="1695"/>
      <c r="AD333" s="1695"/>
      <c r="AE333" s="1695"/>
      <c r="AF333" s="1695"/>
      <c r="AG333" s="8" t="s">
        <v>900</v>
      </c>
      <c r="AH333" s="8"/>
      <c r="AI333" s="1686"/>
      <c r="AJ333" s="1686"/>
      <c r="AK333" s="1686"/>
      <c r="AL333" s="50"/>
      <c r="BA333" s="75"/>
    </row>
    <row r="334" spans="1:53" ht="12.75">
      <c r="A334" s="50"/>
      <c r="B334" s="72" t="s">
        <v>420</v>
      </c>
      <c r="C334" s="72"/>
      <c r="D334" s="72"/>
      <c r="E334" s="72"/>
      <c r="F334" s="72"/>
      <c r="G334" s="72"/>
      <c r="H334" s="1683"/>
      <c r="I334" s="1683"/>
      <c r="J334" s="1683"/>
      <c r="K334" s="1683"/>
      <c r="L334" s="1683"/>
      <c r="M334" s="1683"/>
      <c r="N334" s="74"/>
      <c r="O334" s="74"/>
      <c r="P334" s="76"/>
      <c r="Q334" s="76"/>
      <c r="R334" s="76"/>
      <c r="S334" s="3"/>
      <c r="T334" s="72" t="s">
        <v>420</v>
      </c>
      <c r="V334" s="72"/>
      <c r="W334" s="72"/>
      <c r="X334" s="72"/>
      <c r="Y334" s="72"/>
      <c r="AA334" s="1683"/>
      <c r="AB334" s="1683"/>
      <c r="AC334" s="1683"/>
      <c r="AD334" s="1683"/>
      <c r="AE334" s="1683"/>
      <c r="AF334" s="1683"/>
      <c r="AG334" s="74"/>
      <c r="AH334" s="74"/>
      <c r="AI334" s="76"/>
      <c r="AJ334" s="76"/>
      <c r="AK334" s="76"/>
      <c r="AL334" s="50"/>
      <c r="BA334" s="75"/>
    </row>
    <row r="335" spans="1:53" ht="12.75">
      <c r="A335" s="50"/>
      <c r="B335" s="72" t="s">
        <v>768</v>
      </c>
      <c r="C335" s="72"/>
      <c r="D335" s="72"/>
      <c r="E335" s="72"/>
      <c r="F335" s="72"/>
      <c r="G335" s="72"/>
      <c r="H335" s="1690" t="str">
        <f>AA327</f>
        <v>jay@kvgteam.com</v>
      </c>
      <c r="I335" s="1690"/>
      <c r="J335" s="1690"/>
      <c r="K335" s="1690"/>
      <c r="L335" s="1690"/>
      <c r="M335" s="1690"/>
      <c r="N335" s="1691"/>
      <c r="O335" s="1691"/>
      <c r="P335" s="1691"/>
      <c r="Q335" s="1691"/>
      <c r="R335" s="1691"/>
      <c r="S335" s="723"/>
      <c r="T335" s="72" t="s">
        <v>768</v>
      </c>
      <c r="V335" s="72"/>
      <c r="W335" s="72"/>
      <c r="X335" s="72"/>
      <c r="Y335" s="72"/>
      <c r="AA335" s="1692" t="s">
        <v>2445</v>
      </c>
      <c r="AB335" s="1690"/>
      <c r="AC335" s="1690"/>
      <c r="AD335" s="1690"/>
      <c r="AE335" s="1690"/>
      <c r="AF335" s="1690"/>
      <c r="AG335" s="1691"/>
      <c r="AH335" s="1691"/>
      <c r="AI335" s="1691"/>
      <c r="AJ335" s="1691"/>
      <c r="AK335" s="169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1"/>
      <c r="I337" s="1691"/>
      <c r="J337" s="1691"/>
      <c r="K337" s="1691"/>
      <c r="L337" s="1691"/>
      <c r="M337" s="1691"/>
      <c r="N337" s="1691"/>
      <c r="O337" s="1691"/>
      <c r="P337" s="1691"/>
      <c r="Q337" s="1691"/>
      <c r="R337" s="1691"/>
      <c r="T337" s="596" t="s">
        <v>1268</v>
      </c>
      <c r="AA337" s="1691"/>
      <c r="AB337" s="1691"/>
      <c r="AC337" s="1691"/>
      <c r="AD337" s="1691"/>
      <c r="AE337" s="1691"/>
      <c r="AF337" s="1691"/>
      <c r="AG337" s="1691"/>
      <c r="AH337" s="1691"/>
      <c r="AI337" s="1691"/>
      <c r="AJ337" s="1691"/>
      <c r="AK337" s="1691"/>
      <c r="AL337" s="50"/>
      <c r="BA337" s="75"/>
    </row>
    <row r="338" spans="1:53" ht="12.75">
      <c r="A338" s="50"/>
      <c r="B338" s="596" t="s">
        <v>765</v>
      </c>
      <c r="C338" s="596"/>
      <c r="D338" s="596"/>
      <c r="E338" s="596"/>
      <c r="F338" s="596"/>
      <c r="G338" s="597"/>
      <c r="H338" s="1690"/>
      <c r="I338" s="1690"/>
      <c r="J338" s="1690"/>
      <c r="K338" s="1690"/>
      <c r="L338" s="1690"/>
      <c r="M338" s="1690"/>
      <c r="N338" s="1690"/>
      <c r="O338" s="1690"/>
      <c r="P338" s="1690"/>
      <c r="Q338" s="1690"/>
      <c r="R338" s="1690"/>
      <c r="T338" s="72" t="s">
        <v>765</v>
      </c>
      <c r="AA338" s="1690"/>
      <c r="AB338" s="1690"/>
      <c r="AC338" s="1690"/>
      <c r="AD338" s="1690"/>
      <c r="AE338" s="1690"/>
      <c r="AF338" s="1690"/>
      <c r="AG338" s="1690"/>
      <c r="AH338" s="1690"/>
      <c r="AI338" s="1690"/>
      <c r="AJ338" s="1690"/>
      <c r="AK338" s="1690"/>
      <c r="AL338" s="50"/>
      <c r="BA338" s="75"/>
    </row>
    <row r="339" spans="1:53" ht="12.75">
      <c r="A339" s="50"/>
      <c r="B339" s="596" t="s">
        <v>767</v>
      </c>
      <c r="C339" s="596"/>
      <c r="D339" s="596"/>
      <c r="E339" s="596"/>
      <c r="F339" s="596"/>
      <c r="G339" s="596"/>
      <c r="H339" s="1690"/>
      <c r="I339" s="1690"/>
      <c r="J339" s="1690"/>
      <c r="K339" s="1690"/>
      <c r="L339" s="1690"/>
      <c r="M339" s="1690"/>
      <c r="N339" s="1690"/>
      <c r="O339" s="1690"/>
      <c r="P339" s="1690"/>
      <c r="Q339" s="1690"/>
      <c r="R339" s="1690"/>
      <c r="T339" s="72" t="s">
        <v>766</v>
      </c>
      <c r="AA339" s="1690"/>
      <c r="AB339" s="1690"/>
      <c r="AC339" s="1690"/>
      <c r="AD339" s="1690"/>
      <c r="AE339" s="1690"/>
      <c r="AF339" s="1690"/>
      <c r="AG339" s="1690"/>
      <c r="AH339" s="1690"/>
      <c r="AI339" s="1690"/>
      <c r="AJ339" s="1690"/>
      <c r="AK339" s="1690"/>
      <c r="AL339" s="50"/>
    </row>
    <row r="340" spans="1:53" ht="12.75">
      <c r="A340" s="50"/>
      <c r="B340" s="596" t="s">
        <v>418</v>
      </c>
      <c r="C340" s="596"/>
      <c r="D340" s="596"/>
      <c r="E340" s="596"/>
      <c r="F340" s="596"/>
      <c r="G340" s="597"/>
      <c r="H340" s="1690"/>
      <c r="I340" s="1690"/>
      <c r="J340" s="1690"/>
      <c r="K340" s="1690"/>
      <c r="L340" s="1690"/>
      <c r="M340" s="1690"/>
      <c r="N340" s="1690"/>
      <c r="O340" s="1690"/>
      <c r="P340" s="1690"/>
      <c r="Q340" s="1690"/>
      <c r="R340" s="1690"/>
      <c r="T340" s="72" t="s">
        <v>418</v>
      </c>
      <c r="AA340" s="1690"/>
      <c r="AB340" s="1690"/>
      <c r="AC340" s="1690"/>
      <c r="AD340" s="1690"/>
      <c r="AE340" s="1690"/>
      <c r="AF340" s="1690"/>
      <c r="AG340" s="1690"/>
      <c r="AH340" s="1690"/>
      <c r="AI340" s="1690"/>
      <c r="AJ340" s="1690"/>
      <c r="AK340" s="1690"/>
      <c r="AL340" s="50"/>
    </row>
    <row r="341" spans="1:53" ht="12.75">
      <c r="A341" s="50"/>
      <c r="B341" s="596" t="s">
        <v>419</v>
      </c>
      <c r="C341" s="596"/>
      <c r="D341" s="596"/>
      <c r="E341" s="596"/>
      <c r="F341" s="596"/>
      <c r="G341" s="596"/>
      <c r="H341" s="1693"/>
      <c r="I341" s="1693"/>
      <c r="J341" s="1693"/>
      <c r="K341" s="1693"/>
      <c r="L341" s="1693"/>
      <c r="M341" s="1693"/>
      <c r="N341" s="8" t="s">
        <v>900</v>
      </c>
      <c r="O341" s="8"/>
      <c r="P341" s="1686"/>
      <c r="Q341" s="1686"/>
      <c r="R341" s="1686"/>
      <c r="T341" s="72" t="s">
        <v>419</v>
      </c>
      <c r="AA341" s="1693"/>
      <c r="AB341" s="1693"/>
      <c r="AC341" s="1693"/>
      <c r="AD341" s="1693"/>
      <c r="AE341" s="1693"/>
      <c r="AF341" s="1693"/>
      <c r="AG341" s="8" t="s">
        <v>900</v>
      </c>
      <c r="AH341" s="8"/>
      <c r="AI341" s="1686"/>
      <c r="AJ341" s="1686"/>
      <c r="AK341" s="1686"/>
      <c r="AL341" s="50"/>
    </row>
    <row r="342" spans="1:53" ht="12.75">
      <c r="A342" s="50"/>
      <c r="B342" s="596" t="s">
        <v>420</v>
      </c>
      <c r="C342" s="596"/>
      <c r="D342" s="596"/>
      <c r="E342" s="596"/>
      <c r="F342" s="596"/>
      <c r="G342" s="596"/>
      <c r="H342" s="1683"/>
      <c r="I342" s="1683"/>
      <c r="J342" s="1683"/>
      <c r="K342" s="1683"/>
      <c r="L342" s="1683"/>
      <c r="M342" s="1683"/>
      <c r="N342" s="74"/>
      <c r="O342" s="74"/>
      <c r="P342" s="76"/>
      <c r="Q342" s="76"/>
      <c r="R342" s="76"/>
      <c r="T342" s="72" t="s">
        <v>420</v>
      </c>
      <c r="AA342" s="1683"/>
      <c r="AB342" s="1683"/>
      <c r="AC342" s="1683"/>
      <c r="AD342" s="1683"/>
      <c r="AE342" s="1683"/>
      <c r="AF342" s="1683"/>
      <c r="AG342" s="74"/>
      <c r="AH342" s="74"/>
      <c r="AI342" s="76"/>
      <c r="AJ342" s="76"/>
      <c r="AK342" s="76"/>
      <c r="AL342" s="50"/>
    </row>
    <row r="343" spans="1:53" ht="12.75" customHeight="1">
      <c r="A343" s="50"/>
      <c r="B343" s="596" t="s">
        <v>768</v>
      </c>
      <c r="C343" s="596"/>
      <c r="D343" s="596"/>
      <c r="E343" s="596"/>
      <c r="F343" s="596"/>
      <c r="G343" s="596"/>
      <c r="H343" s="1690"/>
      <c r="I343" s="1690"/>
      <c r="J343" s="1690"/>
      <c r="K343" s="1690"/>
      <c r="L343" s="1690"/>
      <c r="M343" s="1690"/>
      <c r="N343" s="1691"/>
      <c r="O343" s="1691"/>
      <c r="P343" s="1691"/>
      <c r="Q343" s="1691"/>
      <c r="R343" s="1691"/>
      <c r="T343" s="72" t="s">
        <v>768</v>
      </c>
      <c r="AA343" s="1690"/>
      <c r="AB343" s="1690"/>
      <c r="AC343" s="1690"/>
      <c r="AD343" s="1690"/>
      <c r="AE343" s="1690"/>
      <c r="AF343" s="1690"/>
      <c r="AG343" s="1691"/>
      <c r="AH343" s="1691"/>
      <c r="AI343" s="1691"/>
      <c r="AJ343" s="1691"/>
      <c r="AK343" s="169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0" t="s">
        <v>546</v>
      </c>
      <c r="B345" s="1680"/>
      <c r="C345" s="1680"/>
      <c r="D345" s="1680"/>
      <c r="E345" s="1680"/>
      <c r="F345" s="1680"/>
      <c r="G345" s="1680"/>
      <c r="H345" s="1680"/>
      <c r="I345" s="1680"/>
      <c r="J345" s="1680"/>
      <c r="K345" s="1680"/>
      <c r="L345" s="1680"/>
      <c r="M345" s="1680"/>
      <c r="N345" s="1680"/>
      <c r="O345" s="1680"/>
      <c r="P345" s="1680"/>
      <c r="Q345" s="1680"/>
      <c r="R345" s="1680"/>
      <c r="S345" s="1680"/>
      <c r="T345" s="1680"/>
      <c r="U345" s="1680"/>
      <c r="V345" s="1680"/>
      <c r="W345" s="1680"/>
      <c r="X345" s="1680"/>
      <c r="Y345" s="1680"/>
      <c r="Z345" s="1680"/>
      <c r="AA345" s="1680"/>
      <c r="AB345" s="1680"/>
      <c r="AC345" s="1680"/>
      <c r="AD345" s="1680"/>
      <c r="AE345" s="1680"/>
      <c r="AF345" s="1680"/>
      <c r="AG345" s="1680"/>
      <c r="AH345" s="1680"/>
      <c r="AI345" s="1680"/>
      <c r="AJ345" s="1680"/>
      <c r="AK345" s="1680"/>
      <c r="AL345" s="1680"/>
    </row>
    <row r="346" spans="1:53" ht="12.75" customHeight="1" thickBot="1">
      <c r="A346" s="1681"/>
      <c r="B346" s="1681"/>
      <c r="C346" s="1681"/>
      <c r="D346" s="1681"/>
      <c r="E346" s="1681"/>
      <c r="F346" s="1681"/>
      <c r="G346" s="1681"/>
      <c r="H346" s="1681"/>
      <c r="I346" s="1681"/>
      <c r="J346" s="1681"/>
      <c r="K346" s="1681"/>
      <c r="L346" s="1681"/>
      <c r="M346" s="1681"/>
      <c r="N346" s="1681"/>
      <c r="O346" s="1681"/>
      <c r="P346" s="1681"/>
      <c r="Q346" s="1681"/>
      <c r="R346" s="1681"/>
      <c r="S346" s="1681"/>
      <c r="T346" s="1681"/>
      <c r="U346" s="1681"/>
      <c r="V346" s="1681"/>
      <c r="W346" s="1681"/>
      <c r="X346" s="1681"/>
      <c r="Y346" s="1681"/>
      <c r="Z346" s="1681"/>
      <c r="AA346" s="1681"/>
      <c r="AB346" s="1681"/>
      <c r="AC346" s="1681"/>
      <c r="AD346" s="1681"/>
      <c r="AE346" s="1681"/>
      <c r="AF346" s="1681"/>
      <c r="AG346" s="1681"/>
      <c r="AH346" s="1681"/>
      <c r="AI346" s="1681"/>
      <c r="AJ346" s="1681"/>
      <c r="AK346" s="1681"/>
      <c r="AL346" s="168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88" t="s">
        <v>119</v>
      </c>
      <c r="N349" s="1688"/>
      <c r="P349" s="16" t="s">
        <v>2250</v>
      </c>
      <c r="AJ349" s="1688" t="s">
        <v>119</v>
      </c>
      <c r="AK349" s="1688"/>
    </row>
    <row r="350" spans="1:53" ht="12.75" customHeight="1">
      <c r="D350" s="72" t="s">
        <v>2156</v>
      </c>
      <c r="M350" s="1688" t="s">
        <v>136</v>
      </c>
      <c r="N350" s="1688"/>
      <c r="P350" s="72" t="s">
        <v>2251</v>
      </c>
      <c r="AJ350" s="1689">
        <v>1</v>
      </c>
      <c r="AK350" s="1689"/>
    </row>
    <row r="351" spans="1:53" ht="12.75" customHeight="1">
      <c r="D351" s="16" t="s">
        <v>349</v>
      </c>
      <c r="M351" s="1688" t="s">
        <v>136</v>
      </c>
      <c r="N351" s="1688"/>
      <c r="P351" s="16" t="s">
        <v>2252</v>
      </c>
      <c r="AJ351" s="1688" t="s">
        <v>119</v>
      </c>
      <c r="AK351" s="1688"/>
    </row>
    <row r="352" spans="1:53" ht="12.75" customHeight="1">
      <c r="D352" s="16" t="s">
        <v>350</v>
      </c>
      <c r="M352" s="1688" t="s">
        <v>136</v>
      </c>
      <c r="N352" s="1688"/>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8" t="s">
        <v>136</v>
      </c>
      <c r="O357" s="1688"/>
      <c r="P357" s="83"/>
      <c r="Q357" s="83"/>
      <c r="R357" s="83"/>
      <c r="S357" s="83"/>
      <c r="T357" s="83"/>
      <c r="U357" s="83"/>
      <c r="V357" s="83"/>
      <c r="W357" s="83"/>
      <c r="X357" s="83"/>
      <c r="Y357" s="84"/>
      <c r="Z357" s="84"/>
      <c r="AC357" s="83"/>
      <c r="AD357" s="83"/>
      <c r="AE357" s="83"/>
    </row>
    <row r="358" spans="1:57" ht="12.75">
      <c r="E358" s="16" t="s">
        <v>800</v>
      </c>
      <c r="Y358" s="1688" t="s">
        <v>136</v>
      </c>
      <c r="Z358" s="1688"/>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88" t="s">
        <v>136</v>
      </c>
      <c r="K360" s="1688"/>
      <c r="L360" s="83"/>
      <c r="M360" s="83"/>
      <c r="N360" s="83"/>
      <c r="O360" s="83"/>
      <c r="P360" s="83"/>
      <c r="Q360" s="83"/>
      <c r="R360" s="83"/>
      <c r="S360" s="83"/>
      <c r="T360" s="83"/>
      <c r="U360" s="83"/>
      <c r="V360" s="83"/>
      <c r="W360" s="83"/>
      <c r="X360" s="83"/>
      <c r="Y360" s="83"/>
      <c r="Z360" s="83"/>
      <c r="AC360" s="83"/>
      <c r="AD360" s="83"/>
      <c r="AE360" s="83"/>
    </row>
    <row r="361" spans="1:57" ht="12.75">
      <c r="E361" s="1573" t="s">
        <v>351</v>
      </c>
      <c r="F361" s="1573"/>
      <c r="G361" s="1573"/>
      <c r="H361" s="1573"/>
      <c r="I361" s="1573"/>
      <c r="J361" s="1573"/>
      <c r="K361" s="1573"/>
      <c r="L361" s="1573"/>
      <c r="M361" s="1573"/>
      <c r="N361" s="1573"/>
      <c r="O361" s="1573"/>
      <c r="P361" s="1573"/>
      <c r="Q361" s="1573"/>
      <c r="R361" s="1573"/>
      <c r="S361" s="1573"/>
      <c r="T361" s="1573"/>
      <c r="U361" s="1573"/>
      <c r="V361" s="1573"/>
      <c r="W361" s="1573"/>
      <c r="X361" s="1573"/>
      <c r="Y361" s="1573"/>
      <c r="Z361" s="1573"/>
      <c r="AA361" s="1573"/>
      <c r="AB361" s="1573"/>
      <c r="AC361" s="1573"/>
      <c r="AD361" s="1573"/>
      <c r="AE361" s="1573"/>
      <c r="AF361" s="1573"/>
      <c r="AG361" s="1573"/>
      <c r="AH361" s="1573"/>
      <c r="BE361" s="16" t="s">
        <v>136</v>
      </c>
    </row>
    <row r="362" spans="1:57" ht="12.75">
      <c r="E362" s="1573"/>
      <c r="F362" s="1573"/>
      <c r="G362" s="1573"/>
      <c r="H362" s="1573"/>
      <c r="I362" s="1573"/>
      <c r="J362" s="1573"/>
      <c r="K362" s="1573"/>
      <c r="L362" s="1573"/>
      <c r="M362" s="1573"/>
      <c r="N362" s="1573"/>
      <c r="O362" s="1573"/>
      <c r="P362" s="1573"/>
      <c r="Q362" s="1573"/>
      <c r="R362" s="1573"/>
      <c r="S362" s="1573"/>
      <c r="T362" s="1573"/>
      <c r="U362" s="1573"/>
      <c r="V362" s="1573"/>
      <c r="W362" s="1573"/>
      <c r="X362" s="1573"/>
      <c r="Y362" s="1573"/>
      <c r="Z362" s="1573"/>
      <c r="AA362" s="1573"/>
      <c r="AB362" s="1573"/>
      <c r="AC362" s="1573"/>
      <c r="AD362" s="1573"/>
      <c r="AE362" s="1573"/>
      <c r="AF362" s="1573"/>
      <c r="AG362" s="1573"/>
      <c r="AH362" s="1573"/>
      <c r="BE362" s="16" t="s">
        <v>531</v>
      </c>
    </row>
    <row r="363" spans="1:57" ht="12.75" customHeight="1">
      <c r="E363" s="8" t="s">
        <v>656</v>
      </c>
      <c r="F363" s="8"/>
      <c r="G363" s="8"/>
      <c r="H363" s="8"/>
      <c r="I363" s="8"/>
      <c r="J363" s="8"/>
      <c r="K363" s="8"/>
      <c r="L363" s="8"/>
      <c r="N363" s="1801"/>
      <c r="O363" s="1801"/>
      <c r="P363" s="1801"/>
      <c r="Q363" s="1801"/>
      <c r="R363" s="8"/>
      <c r="U363" s="8" t="s">
        <v>657</v>
      </c>
      <c r="V363" s="8"/>
      <c r="W363" s="8"/>
      <c r="X363" s="8"/>
      <c r="Y363" s="8"/>
      <c r="Z363" s="8"/>
      <c r="AA363" s="8"/>
      <c r="AB363" s="8"/>
      <c r="AC363" s="1801"/>
      <c r="AD363" s="1801"/>
      <c r="AE363" s="1801"/>
      <c r="AF363" s="1801"/>
      <c r="BE363" s="16" t="s">
        <v>119</v>
      </c>
    </row>
    <row r="364" spans="1:57" ht="12.75">
      <c r="E364" s="8" t="s">
        <v>658</v>
      </c>
      <c r="F364" s="8"/>
      <c r="G364" s="8"/>
      <c r="H364" s="8"/>
      <c r="I364" s="8"/>
      <c r="J364" s="8"/>
      <c r="K364" s="8"/>
      <c r="L364" s="8"/>
      <c r="N364" s="1801"/>
      <c r="O364" s="1801"/>
      <c r="P364" s="1801"/>
      <c r="Q364" s="1801"/>
      <c r="R364" s="8"/>
      <c r="U364" s="8" t="s">
        <v>659</v>
      </c>
      <c r="V364" s="8"/>
      <c r="W364" s="8"/>
      <c r="X364" s="8"/>
      <c r="Y364" s="8"/>
      <c r="Z364" s="8"/>
      <c r="AA364" s="8"/>
      <c r="AB364" s="8"/>
      <c r="AC364" s="1801"/>
      <c r="AD364" s="1801"/>
      <c r="AE364" s="1801"/>
      <c r="AF364" s="1801"/>
    </row>
    <row r="365" spans="1:57" ht="12.75" customHeight="1">
      <c r="E365" s="8" t="s">
        <v>69</v>
      </c>
      <c r="F365" s="8"/>
      <c r="G365" s="8"/>
      <c r="H365" s="8"/>
      <c r="I365" s="8"/>
      <c r="J365" s="8"/>
      <c r="K365" s="8"/>
      <c r="L365" s="8"/>
      <c r="N365" s="1801"/>
      <c r="O365" s="1801"/>
      <c r="P365" s="1801"/>
      <c r="Q365" s="1801"/>
      <c r="R365" s="8"/>
      <c r="V365" s="8"/>
      <c r="W365" s="8"/>
      <c r="X365" s="8"/>
      <c r="Y365" s="8"/>
      <c r="Z365" s="8"/>
      <c r="AA365" s="8"/>
      <c r="AB365" s="8"/>
    </row>
    <row r="366" spans="1:57" ht="12.75">
      <c r="E366" s="8" t="s">
        <v>70</v>
      </c>
      <c r="F366" s="8"/>
      <c r="G366" s="8"/>
      <c r="H366" s="8"/>
      <c r="I366" s="8"/>
      <c r="J366" s="8"/>
      <c r="K366" s="8"/>
      <c r="L366" s="8"/>
      <c r="N366" s="1855"/>
      <c r="O366" s="1855"/>
      <c r="P366" s="1855"/>
      <c r="Q366" s="1855"/>
      <c r="R366" s="1855"/>
      <c r="S366" s="1855"/>
      <c r="T366" s="1855"/>
      <c r="U366" s="1855"/>
      <c r="V366" s="1855"/>
      <c r="W366" s="1855"/>
      <c r="X366" s="1855"/>
      <c r="Y366" s="1855"/>
      <c r="Z366" s="1855"/>
      <c r="AA366" s="1855"/>
      <c r="AB366" s="1855"/>
      <c r="AC366" s="1855"/>
      <c r="AD366" s="1855"/>
      <c r="AE366" s="1855"/>
      <c r="AF366" s="1855"/>
    </row>
    <row r="367" spans="1:57" ht="12.75">
      <c r="E367" s="8"/>
      <c r="F367" s="8"/>
      <c r="G367" s="8"/>
      <c r="H367" s="8"/>
      <c r="I367" s="8"/>
      <c r="J367" s="8"/>
      <c r="K367" s="8"/>
      <c r="L367" s="8"/>
      <c r="N367" s="1856"/>
      <c r="O367" s="1856"/>
      <c r="P367" s="1856"/>
      <c r="Q367" s="1856"/>
      <c r="R367" s="1856"/>
      <c r="S367" s="1856"/>
      <c r="T367" s="1856"/>
      <c r="U367" s="1856"/>
      <c r="V367" s="1856"/>
      <c r="W367" s="1856"/>
      <c r="X367" s="1856"/>
      <c r="Y367" s="1856"/>
      <c r="Z367" s="1856"/>
      <c r="AA367" s="1856"/>
      <c r="AB367" s="1856"/>
      <c r="AC367" s="1856"/>
      <c r="AD367" s="1856"/>
      <c r="AE367" s="1856"/>
      <c r="AF367" s="1856"/>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71"/>
      <c r="T370" s="1871"/>
      <c r="U370" s="781" t="s">
        <v>259</v>
      </c>
      <c r="V370" s="1871"/>
      <c r="W370" s="1871"/>
      <c r="X370" s="597"/>
      <c r="Y370" s="782" t="s">
        <v>257</v>
      </c>
      <c r="Z370" s="597"/>
      <c r="AA370" s="782"/>
      <c r="AB370" s="782" t="s">
        <v>258</v>
      </c>
      <c r="AC370" s="597"/>
      <c r="AD370" s="1871"/>
      <c r="AE370" s="1871"/>
      <c r="AF370" s="781" t="s">
        <v>259</v>
      </c>
      <c r="AG370" s="1871"/>
      <c r="AH370" s="1871"/>
    </row>
    <row r="371" spans="1:36" ht="12.75" customHeight="1">
      <c r="D371" s="597"/>
      <c r="E371" s="596" t="s">
        <v>1367</v>
      </c>
      <c r="F371" s="596"/>
      <c r="G371" s="596"/>
      <c r="H371" s="596"/>
      <c r="I371" s="596"/>
      <c r="J371" s="596"/>
      <c r="K371" s="596"/>
      <c r="L371" s="596"/>
      <c r="M371" s="597"/>
      <c r="N371" s="1871"/>
      <c r="O371" s="1871"/>
      <c r="P371" s="187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7" t="s">
        <v>136</v>
      </c>
      <c r="AH372" s="1857"/>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7" t="s">
        <v>136</v>
      </c>
      <c r="AH373" s="1857"/>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57" t="s">
        <v>136</v>
      </c>
      <c r="W374" s="1857"/>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57" t="s">
        <v>136</v>
      </c>
      <c r="W375" s="1857"/>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4" t="s">
        <v>2446</v>
      </c>
      <c r="K378" s="1691"/>
      <c r="L378" s="1691"/>
      <c r="M378" s="1691"/>
      <c r="N378" s="1691"/>
      <c r="O378" s="1691"/>
      <c r="P378" s="1691"/>
      <c r="Q378" s="1691"/>
      <c r="R378" s="1691"/>
      <c r="S378" s="1691"/>
      <c r="T378" s="1691"/>
      <c r="U378" s="1691"/>
      <c r="V378" s="18" t="s">
        <v>777</v>
      </c>
      <c r="W378" s="18"/>
      <c r="X378" s="18"/>
      <c r="Y378" s="18"/>
      <c r="Z378" s="18"/>
      <c r="AA378" s="18"/>
      <c r="AB378" s="18"/>
      <c r="AC378" s="1691"/>
      <c r="AD378" s="1691"/>
      <c r="AE378" s="1691"/>
      <c r="AF378" s="1691"/>
      <c r="AG378" s="1691"/>
      <c r="AH378" s="1691"/>
      <c r="AI378" s="1691"/>
      <c r="AJ378" s="1691"/>
    </row>
    <row r="379" spans="1:36" ht="12.75" customHeight="1">
      <c r="D379" s="72" t="s">
        <v>2253</v>
      </c>
      <c r="J379" s="1692" t="s">
        <v>2392</v>
      </c>
      <c r="K379" s="1692"/>
      <c r="L379" s="1692"/>
      <c r="M379" s="1692"/>
      <c r="N379" s="1692"/>
      <c r="O379" s="1692"/>
      <c r="P379" s="1692"/>
      <c r="Q379" s="1692"/>
      <c r="R379" s="1692"/>
      <c r="S379" s="1692"/>
      <c r="T379" s="1692"/>
      <c r="U379" s="1692"/>
      <c r="V379" s="72" t="s">
        <v>2253</v>
      </c>
      <c r="W379" s="18"/>
      <c r="X379" s="18"/>
      <c r="Y379" s="18"/>
      <c r="Z379" s="18"/>
      <c r="AA379" s="18"/>
      <c r="AB379" s="18"/>
      <c r="AC379" s="1691"/>
      <c r="AD379" s="1691"/>
      <c r="AE379" s="1691"/>
      <c r="AF379" s="1691"/>
      <c r="AG379" s="1691"/>
      <c r="AH379" s="1691"/>
      <c r="AI379" s="1691"/>
      <c r="AJ379" s="1691"/>
    </row>
    <row r="380" spans="1:36" ht="12.75" customHeight="1">
      <c r="D380" s="72" t="s">
        <v>603</v>
      </c>
      <c r="J380" s="1692" t="s">
        <v>2447</v>
      </c>
      <c r="K380" s="1692"/>
      <c r="L380" s="1692"/>
      <c r="M380" s="1692"/>
      <c r="N380" s="1692"/>
      <c r="O380" s="1692"/>
      <c r="P380" s="1692"/>
      <c r="Q380" s="1692"/>
      <c r="R380" s="1692"/>
      <c r="S380" s="1692"/>
      <c r="T380" s="1692"/>
      <c r="U380" s="1692"/>
      <c r="V380" s="72" t="s">
        <v>603</v>
      </c>
      <c r="W380" s="18"/>
      <c r="X380" s="18"/>
      <c r="Y380" s="18"/>
      <c r="Z380" s="18"/>
      <c r="AA380" s="18"/>
      <c r="AB380" s="18"/>
      <c r="AC380" s="1691"/>
      <c r="AD380" s="1691"/>
      <c r="AE380" s="1691"/>
      <c r="AF380" s="1691"/>
      <c r="AG380" s="1691"/>
      <c r="AH380" s="1691"/>
      <c r="AI380" s="1691"/>
      <c r="AJ380" s="1691"/>
    </row>
    <row r="381" spans="1:36" ht="12.75" customHeight="1">
      <c r="D381" s="750" t="s">
        <v>2254</v>
      </c>
      <c r="I381" s="102"/>
      <c r="J381" s="1723" t="s">
        <v>2448</v>
      </c>
      <c r="K381" s="1723"/>
      <c r="L381" s="1723"/>
      <c r="M381" s="1723"/>
      <c r="N381" s="1723"/>
      <c r="O381" s="1723"/>
      <c r="P381" s="1723"/>
      <c r="Q381" s="1723"/>
      <c r="R381" s="1723"/>
      <c r="S381" s="1723"/>
      <c r="T381" s="1723"/>
      <c r="U381" s="1723"/>
      <c r="V381" s="1691" t="s">
        <v>2397</v>
      </c>
      <c r="W381" s="1691"/>
      <c r="X381" s="1691"/>
      <c r="Y381" s="1691"/>
      <c r="Z381" s="1691"/>
      <c r="AA381" s="1691"/>
      <c r="AB381" s="1691"/>
      <c r="AC381" s="1691"/>
      <c r="AD381" s="1691"/>
      <c r="AE381" s="1691"/>
      <c r="AF381" s="1691"/>
      <c r="AG381" s="1691"/>
      <c r="AH381" s="1691"/>
      <c r="AI381" s="1691"/>
      <c r="AJ381" s="1691"/>
    </row>
    <row r="382" spans="1:36" ht="12.75" customHeight="1">
      <c r="D382" s="16" t="s">
        <v>614</v>
      </c>
      <c r="Q382" s="1866">
        <v>44209</v>
      </c>
      <c r="R382" s="1866"/>
      <c r="S382" s="1866"/>
      <c r="T382" s="1866"/>
      <c r="U382" s="1866"/>
      <c r="V382" s="16" t="s">
        <v>185</v>
      </c>
      <c r="AI382" s="1688" t="s">
        <v>531</v>
      </c>
      <c r="AJ382" s="1688"/>
    </row>
    <row r="383" spans="1:36" ht="12.75" customHeight="1">
      <c r="D383" s="16" t="s">
        <v>615</v>
      </c>
      <c r="Q383" s="1866" t="s">
        <v>2449</v>
      </c>
      <c r="R383" s="1867"/>
      <c r="S383" s="1867"/>
      <c r="T383" s="1867"/>
      <c r="U383" s="1867"/>
      <c r="W383" s="43" t="s">
        <v>20</v>
      </c>
      <c r="AG383" s="1763"/>
      <c r="AH383" s="1763"/>
      <c r="AI383" s="1763"/>
      <c r="AJ383" s="1763"/>
    </row>
    <row r="384" spans="1:36" ht="12.75" customHeight="1">
      <c r="D384" s="16" t="s">
        <v>302</v>
      </c>
      <c r="Q384" s="1708">
        <v>2200000</v>
      </c>
      <c r="R384" s="1708"/>
      <c r="S384" s="1708"/>
      <c r="T384" s="1708"/>
      <c r="U384" s="1708"/>
      <c r="V384" s="72" t="s">
        <v>2255</v>
      </c>
      <c r="AG384" s="1808">
        <v>44561</v>
      </c>
      <c r="AH384" s="1808"/>
      <c r="AI384" s="1808"/>
      <c r="AJ384" s="1808"/>
    </row>
    <row r="385" spans="4:36" ht="12.75" customHeight="1">
      <c r="D385" s="16" t="s">
        <v>419</v>
      </c>
      <c r="I385" s="1695" t="s">
        <v>2393</v>
      </c>
      <c r="J385" s="1695"/>
      <c r="K385" s="1695"/>
      <c r="L385" s="1695"/>
      <c r="M385" s="1695"/>
      <c r="N385" s="1695"/>
      <c r="Q385" s="326" t="s">
        <v>900</v>
      </c>
      <c r="S385" s="2113"/>
      <c r="T385" s="2113"/>
      <c r="U385" s="2113"/>
      <c r="V385" s="16" t="s">
        <v>19</v>
      </c>
      <c r="AI385" s="1688" t="s">
        <v>531</v>
      </c>
      <c r="AJ385" s="1688"/>
    </row>
    <row r="386" spans="4:36" s="50" customFormat="1" ht="12.75" customHeight="1">
      <c r="D386" s="16" t="s">
        <v>186</v>
      </c>
      <c r="E386" s="16"/>
      <c r="F386" s="16"/>
      <c r="G386" s="16"/>
      <c r="H386" s="16"/>
      <c r="I386" s="16"/>
      <c r="J386" s="16"/>
      <c r="K386" s="16"/>
      <c r="L386" s="16"/>
      <c r="M386" s="16"/>
      <c r="N386" s="16"/>
      <c r="O386" s="16"/>
      <c r="P386" s="16"/>
      <c r="Q386" s="1732"/>
      <c r="R386" s="1732"/>
      <c r="S386" s="1732"/>
      <c r="T386" s="1732"/>
      <c r="U386" s="1732"/>
      <c r="V386" s="16" t="s">
        <v>187</v>
      </c>
      <c r="W386" s="16"/>
      <c r="X386" s="16"/>
      <c r="Y386" s="16"/>
      <c r="Z386" s="16"/>
      <c r="AA386" s="16"/>
      <c r="AB386" s="16"/>
      <c r="AC386" s="16"/>
      <c r="AD386" s="16"/>
      <c r="AE386" s="16"/>
      <c r="AF386" s="16"/>
      <c r="AG386" s="1763"/>
      <c r="AH386" s="1763"/>
      <c r="AI386" s="1763"/>
      <c r="AJ386" s="1763"/>
    </row>
    <row r="387" spans="4:36" s="50" customFormat="1" ht="12.75" customHeight="1">
      <c r="D387" s="16" t="s">
        <v>29</v>
      </c>
      <c r="E387" s="16"/>
      <c r="F387" s="16"/>
      <c r="G387" s="16"/>
      <c r="H387" s="16"/>
      <c r="I387" s="16"/>
      <c r="J387" s="16"/>
      <c r="K387" s="16"/>
      <c r="L387" s="16"/>
      <c r="M387" s="16"/>
      <c r="N387" s="16"/>
      <c r="O387" s="16"/>
      <c r="P387" s="16"/>
      <c r="Q387" s="2114">
        <v>1.0999999999999999E-2</v>
      </c>
      <c r="R387" s="2114"/>
      <c r="S387" s="2114"/>
      <c r="T387" s="2114"/>
      <c r="U387" s="2114"/>
      <c r="V387" s="16" t="s">
        <v>1895</v>
      </c>
      <c r="W387" s="16"/>
      <c r="X387" s="16"/>
      <c r="Y387" s="16"/>
      <c r="Z387" s="16"/>
      <c r="AA387" s="16"/>
      <c r="AB387" s="16"/>
      <c r="AC387" s="16"/>
      <c r="AD387" s="16"/>
      <c r="AE387" s="16"/>
      <c r="AF387" s="16"/>
      <c r="AG387" s="1763"/>
      <c r="AH387" s="1763"/>
      <c r="AI387" s="1763"/>
      <c r="AJ387" s="1763"/>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763"/>
      <c r="AH388" s="1763"/>
      <c r="AI388" s="1763"/>
      <c r="AJ388" s="176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19"/>
      <c r="AH389" s="1419"/>
      <c r="AI389" s="1419"/>
      <c r="AJ389" s="1419"/>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19"/>
      <c r="AH390" s="1419"/>
      <c r="AI390" s="1688" t="s">
        <v>531</v>
      </c>
      <c r="AJ390" s="1688"/>
    </row>
    <row r="391" spans="4:36" s="50" customFormat="1" ht="12.75" customHeight="1">
      <c r="D391" s="72" t="s">
        <v>2258</v>
      </c>
      <c r="E391" s="16"/>
      <c r="F391" s="16"/>
      <c r="G391" s="16"/>
      <c r="H391" s="16"/>
      <c r="I391" s="16"/>
      <c r="J391" s="16"/>
      <c r="K391" s="16"/>
      <c r="L391" s="16"/>
      <c r="M391" s="16"/>
      <c r="N391" s="16"/>
      <c r="O391" s="16"/>
      <c r="P391" s="16"/>
      <c r="Q391" s="16"/>
      <c r="R391" s="16"/>
      <c r="S391" s="16"/>
      <c r="T391" s="2111"/>
      <c r="U391" s="2111"/>
      <c r="V391" s="2111"/>
      <c r="W391" s="2111"/>
      <c r="X391" s="2111"/>
      <c r="Y391" s="2111"/>
      <c r="Z391" s="2111"/>
      <c r="AA391" s="2111"/>
      <c r="AB391" s="2111"/>
      <c r="AC391" s="2111"/>
      <c r="AD391" s="2111"/>
      <c r="AE391" s="2111"/>
      <c r="AF391" s="2111"/>
      <c r="AG391" s="2111"/>
      <c r="AH391" s="2111"/>
      <c r="AI391" s="2111"/>
      <c r="AJ391" s="2111"/>
    </row>
    <row r="392" spans="4:36" s="50" customFormat="1" ht="12.75" customHeight="1">
      <c r="D392" s="72" t="s">
        <v>2259</v>
      </c>
      <c r="E392" s="16"/>
      <c r="F392" s="16"/>
      <c r="G392" s="16"/>
      <c r="H392" s="16"/>
      <c r="I392" s="16"/>
      <c r="J392" s="16"/>
      <c r="K392" s="16"/>
      <c r="L392" s="16"/>
      <c r="M392" s="16"/>
      <c r="N392" s="16"/>
      <c r="O392" s="16"/>
      <c r="P392" s="16"/>
      <c r="Q392" s="16"/>
      <c r="R392" s="16"/>
      <c r="S392" s="16"/>
      <c r="T392" s="2111"/>
      <c r="U392" s="2111"/>
      <c r="V392" s="2111"/>
      <c r="W392" s="2111"/>
      <c r="X392" s="2111"/>
      <c r="Y392" s="2111"/>
      <c r="Z392" s="2111"/>
      <c r="AA392" s="2111"/>
      <c r="AB392" s="2111"/>
      <c r="AC392" s="2111"/>
      <c r="AD392" s="2111"/>
      <c r="AE392" s="2111"/>
      <c r="AF392" s="2111"/>
      <c r="AG392" s="2111"/>
      <c r="AH392" s="2111"/>
      <c r="AI392" s="2111"/>
      <c r="AJ392" s="211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19"/>
      <c r="AH393" s="1419"/>
      <c r="AI393" s="1419"/>
      <c r="AJ393" s="1419"/>
    </row>
    <row r="394" spans="4:36" s="50" customFormat="1" ht="12.75" customHeight="1">
      <c r="D394" s="72" t="s">
        <v>2260</v>
      </c>
      <c r="E394" s="16"/>
      <c r="F394" s="16"/>
      <c r="G394" s="16"/>
      <c r="H394" s="16"/>
      <c r="I394" s="16"/>
      <c r="J394" s="16"/>
      <c r="K394" s="16"/>
      <c r="L394" s="16"/>
      <c r="M394" s="16"/>
      <c r="N394" s="16"/>
      <c r="O394" s="16"/>
      <c r="P394" s="16"/>
      <c r="Q394" s="16"/>
      <c r="R394" s="16"/>
      <c r="S394" s="2111" t="s">
        <v>531</v>
      </c>
      <c r="T394" s="2111"/>
      <c r="U394" s="2111"/>
      <c r="V394" s="750" t="s">
        <v>2261</v>
      </c>
      <c r="W394" s="16"/>
      <c r="X394" s="16"/>
      <c r="Y394" s="16"/>
      <c r="Z394" s="16"/>
      <c r="AA394" s="16"/>
      <c r="AG394" s="2115"/>
      <c r="AH394" s="2115"/>
      <c r="AI394" s="2115"/>
      <c r="AJ394" s="2115"/>
    </row>
    <row r="395" spans="4:36" s="50" customFormat="1" ht="12.75" customHeight="1">
      <c r="D395" s="72" t="s">
        <v>2262</v>
      </c>
      <c r="E395" s="16"/>
      <c r="F395" s="16"/>
      <c r="G395" s="16"/>
      <c r="H395" s="16"/>
      <c r="I395" s="16"/>
      <c r="J395" s="16"/>
      <c r="K395" s="16"/>
      <c r="L395" s="16"/>
      <c r="M395" s="16"/>
      <c r="N395" s="16"/>
      <c r="O395" s="16"/>
      <c r="P395" s="16"/>
      <c r="Q395" s="16"/>
      <c r="R395" s="16"/>
      <c r="S395" s="2111" t="s">
        <v>136</v>
      </c>
      <c r="T395" s="2111"/>
      <c r="U395" s="2111"/>
      <c r="V395" s="750" t="s">
        <v>2263</v>
      </c>
      <c r="W395" s="16"/>
      <c r="X395" s="16"/>
      <c r="Y395" s="16"/>
      <c r="Z395" s="16"/>
      <c r="AA395" s="16"/>
      <c r="AE395" s="2116"/>
      <c r="AF395" s="2116"/>
      <c r="AG395" s="2116"/>
      <c r="AH395" s="2116"/>
      <c r="AI395" s="2116"/>
      <c r="AJ395" s="2116"/>
    </row>
    <row r="396" spans="4:36" s="50" customFormat="1" ht="12.75" customHeight="1">
      <c r="D396" s="72" t="s">
        <v>2264</v>
      </c>
      <c r="E396" s="16"/>
      <c r="F396" s="16"/>
      <c r="G396" s="16"/>
      <c r="H396" s="16"/>
      <c r="I396" s="16"/>
      <c r="J396" s="16"/>
      <c r="K396" s="1839"/>
      <c r="L396" s="1839"/>
      <c r="M396" s="1839"/>
      <c r="N396" s="1839"/>
      <c r="O396" s="1839"/>
      <c r="P396" s="1839"/>
      <c r="Q396" s="1839"/>
      <c r="R396" s="1839"/>
      <c r="S396" s="1839"/>
      <c r="T396" s="1839"/>
      <c r="U396" s="1839"/>
      <c r="V396" s="1839"/>
      <c r="W396" s="1839"/>
      <c r="X396" s="1839"/>
      <c r="Y396" s="1839"/>
      <c r="Z396" s="1839"/>
      <c r="AA396" s="1839"/>
      <c r="AB396" s="1839"/>
      <c r="AC396" s="1839"/>
      <c r="AD396" s="1839"/>
      <c r="AE396" s="1839"/>
      <c r="AF396" s="1839"/>
      <c r="AG396" s="1839"/>
      <c r="AH396" s="1839"/>
      <c r="AI396" s="1839"/>
      <c r="AJ396" s="1839"/>
    </row>
    <row r="397" spans="4:36" s="50" customFormat="1" ht="12.75" customHeight="1">
      <c r="D397" s="72" t="s">
        <v>2265</v>
      </c>
      <c r="E397" s="16"/>
      <c r="F397" s="16"/>
      <c r="G397" s="16"/>
      <c r="H397" s="16"/>
      <c r="I397" s="16"/>
      <c r="J397" s="16"/>
      <c r="K397" s="1839"/>
      <c r="L397" s="1839"/>
      <c r="M397" s="1839"/>
      <c r="N397" s="1839"/>
      <c r="O397" s="1839"/>
      <c r="P397" s="1839"/>
      <c r="Q397" s="1839"/>
      <c r="R397" s="1839"/>
      <c r="S397" s="1839"/>
      <c r="T397" s="1839"/>
      <c r="U397" s="1839"/>
      <c r="V397" s="1839"/>
      <c r="W397" s="1839"/>
      <c r="X397" s="1839"/>
      <c r="Y397" s="1839"/>
      <c r="Z397" s="1839"/>
      <c r="AA397" s="1839"/>
      <c r="AB397" s="1839"/>
      <c r="AC397" s="1839"/>
      <c r="AD397" s="1839"/>
      <c r="AE397" s="1839"/>
      <c r="AF397" s="1839"/>
      <c r="AG397" s="1839"/>
      <c r="AH397" s="1839"/>
      <c r="AI397" s="1839"/>
      <c r="AJ397" s="1839"/>
    </row>
    <row r="398" spans="4:36" s="50" customFormat="1" ht="12.75" customHeight="1">
      <c r="D398" s="327" t="s">
        <v>2266</v>
      </c>
      <c r="E398" s="1381"/>
      <c r="F398" s="1381"/>
      <c r="G398" s="1381"/>
      <c r="H398" s="1381"/>
      <c r="I398" s="1381"/>
      <c r="J398" s="1381"/>
      <c r="K398" s="1381"/>
      <c r="L398" s="1381"/>
      <c r="M398" s="1381"/>
      <c r="N398" s="1381"/>
      <c r="O398" s="1381"/>
      <c r="P398" s="1381"/>
      <c r="Q398" s="1381"/>
      <c r="R398" s="1381"/>
      <c r="S398" s="2016" t="s">
        <v>2267</v>
      </c>
      <c r="T398" s="2016"/>
      <c r="U398" s="2016"/>
      <c r="V398" s="2016"/>
      <c r="W398" s="2016"/>
      <c r="X398" s="2016"/>
      <c r="Y398" s="2016"/>
      <c r="Z398" s="2016"/>
      <c r="AA398" s="2016"/>
      <c r="AB398" s="2016"/>
      <c r="AC398" s="2016"/>
      <c r="AD398" s="2016"/>
      <c r="AE398" s="2016"/>
      <c r="AF398" s="2016"/>
      <c r="AG398" s="2016"/>
      <c r="AH398" s="2016"/>
      <c r="AI398" s="2016"/>
      <c r="AJ398" s="2016"/>
    </row>
    <row r="399" spans="4:36" s="50" customFormat="1" ht="12.75" customHeight="1">
      <c r="D399" s="2125" t="s">
        <v>2268</v>
      </c>
      <c r="E399" s="2125"/>
      <c r="F399" s="2125"/>
      <c r="G399" s="2125"/>
      <c r="H399" s="2125"/>
      <c r="I399" s="2125"/>
      <c r="J399" s="2125"/>
      <c r="K399" s="2125"/>
      <c r="L399" s="2125"/>
      <c r="M399" s="2125"/>
      <c r="N399" s="2125"/>
      <c r="O399" s="2125"/>
      <c r="P399" s="2125"/>
      <c r="Q399" s="2125"/>
      <c r="R399" s="2125"/>
      <c r="S399" s="2125"/>
      <c r="T399" s="2125"/>
      <c r="U399" s="2125"/>
      <c r="V399" s="2125"/>
      <c r="W399" s="2125"/>
      <c r="X399" s="2125"/>
      <c r="Y399" s="2125"/>
      <c r="Z399" s="2125"/>
      <c r="AA399" s="2125"/>
      <c r="AB399" s="2125"/>
      <c r="AC399" s="2125"/>
      <c r="AD399" s="2125"/>
      <c r="AE399" s="2125"/>
      <c r="AF399" s="2125"/>
      <c r="AG399" s="2125"/>
      <c r="AH399" s="2125"/>
      <c r="AI399" s="2125"/>
      <c r="AJ399" s="2125"/>
    </row>
    <row r="400" spans="4:36" s="50" customFormat="1" ht="12.75" customHeight="1">
      <c r="D400" s="2125"/>
      <c r="E400" s="2125"/>
      <c r="F400" s="2125"/>
      <c r="G400" s="2125"/>
      <c r="H400" s="2125"/>
      <c r="I400" s="2125"/>
      <c r="J400" s="2125"/>
      <c r="K400" s="2125"/>
      <c r="L400" s="2125"/>
      <c r="M400" s="2125"/>
      <c r="N400" s="2125"/>
      <c r="O400" s="2125"/>
      <c r="P400" s="2125"/>
      <c r="Q400" s="2125"/>
      <c r="R400" s="2125"/>
      <c r="S400" s="2125"/>
      <c r="T400" s="2125"/>
      <c r="U400" s="2125"/>
      <c r="V400" s="2125"/>
      <c r="W400" s="2125"/>
      <c r="X400" s="2125"/>
      <c r="Y400" s="2125"/>
      <c r="Z400" s="2125"/>
      <c r="AA400" s="2125"/>
      <c r="AB400" s="2125"/>
      <c r="AC400" s="2125"/>
      <c r="AD400" s="2125"/>
      <c r="AE400" s="2125"/>
      <c r="AF400" s="2125"/>
      <c r="AG400" s="2125"/>
      <c r="AH400" s="2125"/>
      <c r="AI400" s="2125"/>
      <c r="AJ400" s="212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19"/>
      <c r="AH401" s="1419"/>
      <c r="AI401" s="1419"/>
      <c r="AJ401" s="1419"/>
    </row>
    <row r="402" spans="1:36" ht="12.75" customHeight="1">
      <c r="A402" s="63" t="s">
        <v>134</v>
      </c>
      <c r="B402" s="63"/>
      <c r="C402" s="63" t="s">
        <v>1003</v>
      </c>
    </row>
    <row r="403" spans="1:36" ht="12.75" customHeight="1">
      <c r="C403" s="35"/>
      <c r="D403" s="63" t="s">
        <v>1958</v>
      </c>
      <c r="I403" s="1694" t="s">
        <v>2450</v>
      </c>
      <c r="J403" s="1694"/>
      <c r="K403" s="1694"/>
      <c r="L403" s="1694"/>
      <c r="M403" s="1694"/>
      <c r="N403" s="1694"/>
      <c r="O403" s="1694"/>
      <c r="P403" s="1694"/>
      <c r="Q403" s="1694"/>
      <c r="R403" s="1694"/>
      <c r="S403" s="1694"/>
      <c r="T403" s="1694"/>
      <c r="U403" s="1694"/>
      <c r="V403" s="1694"/>
      <c r="W403" s="1694"/>
      <c r="X403" s="1694"/>
      <c r="Y403" s="1694"/>
      <c r="Z403" s="1694"/>
      <c r="AA403" s="1694"/>
      <c r="AB403" s="1694"/>
      <c r="AC403" s="1694"/>
      <c r="AD403" s="1694"/>
    </row>
    <row r="404" spans="1:36" ht="12.75" customHeight="1">
      <c r="C404" s="35"/>
      <c r="E404" s="16" t="s">
        <v>938</v>
      </c>
      <c r="R404" s="1688" t="s">
        <v>119</v>
      </c>
      <c r="S404" s="1688"/>
      <c r="T404" s="16" t="s">
        <v>319</v>
      </c>
      <c r="AD404" s="1801">
        <v>5</v>
      </c>
      <c r="AE404" s="1801"/>
    </row>
    <row r="405" spans="1:36" ht="12.75" customHeight="1">
      <c r="C405" s="35"/>
      <c r="E405" s="16" t="s">
        <v>939</v>
      </c>
      <c r="R405" s="1688" t="s">
        <v>136</v>
      </c>
      <c r="S405" s="1688"/>
      <c r="T405" s="16" t="s">
        <v>319</v>
      </c>
      <c r="AD405" s="1801">
        <v>0</v>
      </c>
      <c r="AE405" s="1801"/>
    </row>
    <row r="406" spans="1:36" ht="12.75" customHeight="1">
      <c r="E406" s="16" t="s">
        <v>940</v>
      </c>
      <c r="S406" s="1688" t="s">
        <v>136</v>
      </c>
      <c r="T406" s="1688"/>
    </row>
    <row r="407" spans="1:36" ht="12.75" customHeight="1">
      <c r="E407" s="16" t="s">
        <v>311</v>
      </c>
      <c r="H407" s="1988" t="s">
        <v>622</v>
      </c>
      <c r="I407" s="1988"/>
      <c r="J407" s="1988"/>
      <c r="K407" s="1988"/>
      <c r="L407" s="1988"/>
      <c r="M407" s="1988"/>
      <c r="N407" s="1988"/>
      <c r="O407" s="1988"/>
      <c r="P407" s="1988"/>
      <c r="Q407" s="1988"/>
      <c r="R407" s="1988"/>
      <c r="S407" s="1988"/>
      <c r="T407" s="1988"/>
      <c r="U407" s="1988"/>
      <c r="V407" s="1988"/>
      <c r="W407" s="1988"/>
      <c r="X407" s="1988"/>
      <c r="Y407" s="1988"/>
      <c r="Z407" s="1988"/>
      <c r="AA407" s="1988"/>
      <c r="AB407" s="1988"/>
      <c r="AC407" s="1988"/>
      <c r="AD407" s="1988"/>
      <c r="AE407" s="1988"/>
      <c r="AF407" s="1988"/>
      <c r="AG407" s="1988"/>
      <c r="AH407" s="1988"/>
      <c r="AI407" s="1988"/>
      <c r="AJ407" s="1988"/>
    </row>
    <row r="408" spans="1:36" ht="12.75" customHeight="1">
      <c r="H408" s="1989"/>
      <c r="I408" s="1989"/>
      <c r="J408" s="1989"/>
      <c r="K408" s="1989"/>
      <c r="L408" s="1989"/>
      <c r="M408" s="1989"/>
      <c r="N408" s="1989"/>
      <c r="O408" s="1989"/>
      <c r="P408" s="1989"/>
      <c r="Q408" s="1989"/>
      <c r="R408" s="1989"/>
      <c r="S408" s="1989"/>
      <c r="T408" s="1989"/>
      <c r="U408" s="1989"/>
      <c r="V408" s="1989"/>
      <c r="W408" s="1989"/>
      <c r="X408" s="1989"/>
      <c r="Y408" s="1989"/>
      <c r="Z408" s="1989"/>
      <c r="AA408" s="1989"/>
      <c r="AB408" s="1989"/>
      <c r="AC408" s="1989"/>
      <c r="AD408" s="1989"/>
      <c r="AE408" s="1989"/>
      <c r="AF408" s="1989"/>
      <c r="AG408" s="1989"/>
      <c r="AH408" s="1989"/>
      <c r="AI408" s="1989"/>
      <c r="AJ408" s="1989"/>
    </row>
    <row r="409" spans="1:36" ht="12.75" customHeight="1"/>
    <row r="410" spans="1:36" ht="12.75" customHeight="1">
      <c r="A410" s="63" t="s">
        <v>135</v>
      </c>
      <c r="B410" s="63"/>
      <c r="C410" s="63"/>
      <c r="D410" s="63" t="s">
        <v>1006</v>
      </c>
      <c r="AE410" s="8"/>
      <c r="AF410" s="63" t="s">
        <v>1344</v>
      </c>
    </row>
    <row r="411" spans="1:36" ht="12.75" customHeight="1">
      <c r="E411" s="1983"/>
      <c r="F411" s="1983"/>
      <c r="G411" s="1983"/>
      <c r="H411" s="33" t="s">
        <v>1007</v>
      </c>
      <c r="I411" s="1983"/>
      <c r="J411" s="1983"/>
      <c r="K411" s="1983"/>
      <c r="L411" s="16" t="s">
        <v>1008</v>
      </c>
      <c r="N411" s="240" t="s">
        <v>933</v>
      </c>
      <c r="P411" s="1972">
        <v>1.21</v>
      </c>
      <c r="Q411" s="1972"/>
      <c r="R411" s="1972"/>
      <c r="S411" s="16" t="s">
        <v>1009</v>
      </c>
      <c r="W411" s="1986">
        <f>IF(E411&gt;0,(E411*I411),(P411*43560))</f>
        <v>52707.6</v>
      </c>
      <c r="X411" s="1986"/>
      <c r="Y411" s="1986"/>
      <c r="Z411" s="16" t="s">
        <v>1010</v>
      </c>
      <c r="AF411" s="2128">
        <f>IF(P411&gt;0,(AG430/P411),(AG430/(W411/43560)))</f>
        <v>83.471074380165291</v>
      </c>
      <c r="AG411" s="2128"/>
      <c r="AH411" s="2128"/>
    </row>
    <row r="412" spans="1:36" ht="12.75" customHeight="1">
      <c r="E412" s="16" t="s">
        <v>224</v>
      </c>
    </row>
    <row r="413" spans="1:36" ht="12.75" customHeight="1">
      <c r="E413" s="1981"/>
      <c r="F413" s="1981"/>
      <c r="G413" s="1981"/>
      <c r="H413" s="1981"/>
      <c r="I413" s="1981"/>
      <c r="J413" s="1981"/>
      <c r="K413" s="1981"/>
      <c r="L413" s="1981"/>
      <c r="M413" s="1981"/>
      <c r="N413" s="1981"/>
      <c r="O413" s="1981"/>
      <c r="P413" s="1981"/>
      <c r="Q413" s="1981"/>
      <c r="R413" s="1981"/>
      <c r="S413" s="1981"/>
      <c r="T413" s="1981"/>
      <c r="U413" s="1981"/>
      <c r="V413" s="1981"/>
      <c r="W413" s="1981"/>
      <c r="X413" s="1981"/>
      <c r="Y413" s="1981"/>
      <c r="Z413" s="1981"/>
      <c r="AA413" s="1981"/>
      <c r="AB413" s="1981"/>
      <c r="AC413" s="1981"/>
      <c r="AD413" s="1981"/>
      <c r="AE413" s="1981"/>
      <c r="AF413" s="1981"/>
      <c r="AG413" s="1981"/>
      <c r="AH413" s="1981"/>
      <c r="AI413" s="1981"/>
      <c r="AJ413" s="1981"/>
    </row>
    <row r="414" spans="1:36" s="50" customFormat="1" ht="12.75" customHeight="1">
      <c r="E414" s="412" t="s">
        <v>2269</v>
      </c>
      <c r="F414" s="59"/>
      <c r="G414" s="59"/>
      <c r="H414" s="59"/>
      <c r="I414" s="2126">
        <v>1.17</v>
      </c>
      <c r="J414" s="2126"/>
      <c r="K414" s="2126"/>
      <c r="L414" s="59"/>
      <c r="M414" s="412"/>
      <c r="N414" s="59"/>
      <c r="O414" s="59"/>
      <c r="P414" s="2127">
        <f>(CQ629+CS634+CQ648)/I414</f>
        <v>103.41880341880342</v>
      </c>
      <c r="Q414" s="2127"/>
      <c r="R414" s="2127"/>
      <c r="S414" s="412" t="s">
        <v>2270</v>
      </c>
      <c r="T414" s="59"/>
      <c r="U414" s="59"/>
      <c r="V414" s="59"/>
      <c r="W414" s="59"/>
      <c r="X414" s="59"/>
      <c r="Y414" s="1475"/>
      <c r="Z414" s="1475"/>
      <c r="AA414" s="1475"/>
      <c r="AB414" s="1475"/>
      <c r="AC414" s="1475"/>
      <c r="AD414" s="1475"/>
      <c r="AE414" s="1475"/>
      <c r="AF414" s="1475"/>
      <c r="AG414" s="1475"/>
      <c r="AH414" s="1475"/>
      <c r="AI414" s="1475"/>
      <c r="AJ414" s="1475"/>
    </row>
    <row r="415" spans="1:36" ht="12.75" customHeight="1"/>
    <row r="416" spans="1:36" ht="12.75" customHeight="1">
      <c r="A416" s="63" t="s">
        <v>137</v>
      </c>
      <c r="B416" s="63"/>
      <c r="C416" s="63"/>
      <c r="D416" s="63" t="s">
        <v>1012</v>
      </c>
    </row>
    <row r="417" spans="1:36" ht="12.75" customHeight="1">
      <c r="E417" s="16" t="s">
        <v>500</v>
      </c>
      <c r="P417" s="1688">
        <v>1</v>
      </c>
      <c r="Q417" s="1688"/>
      <c r="S417" s="16" t="s">
        <v>149</v>
      </c>
      <c r="AE417" s="1688">
        <v>1</v>
      </c>
      <c r="AF417" s="1688"/>
    </row>
    <row r="418" spans="1:36" ht="12.75" customHeight="1">
      <c r="E418" s="16" t="s">
        <v>150</v>
      </c>
      <c r="P418" s="1688">
        <v>1</v>
      </c>
      <c r="Q418" s="1688"/>
      <c r="S418" s="16" t="s">
        <v>793</v>
      </c>
      <c r="AE418" s="1688" t="s">
        <v>136</v>
      </c>
      <c r="AF418" s="1688"/>
    </row>
    <row r="419" spans="1:36" ht="12.75">
      <c r="F419" s="81" t="s">
        <v>247</v>
      </c>
    </row>
    <row r="420" spans="1:36" ht="12.75">
      <c r="F420" s="2001"/>
      <c r="G420" s="2001"/>
      <c r="H420" s="2001"/>
      <c r="I420" s="2001"/>
      <c r="J420" s="2001"/>
      <c r="K420" s="2001"/>
      <c r="L420" s="2001"/>
      <c r="M420" s="2001"/>
      <c r="N420" s="2001"/>
      <c r="O420" s="2001"/>
      <c r="P420" s="2001"/>
      <c r="Q420" s="2001"/>
      <c r="R420" s="2001"/>
      <c r="S420" s="2001"/>
      <c r="T420" s="2001"/>
      <c r="U420" s="2001"/>
      <c r="V420" s="2001"/>
      <c r="W420" s="2001"/>
      <c r="X420" s="2001"/>
      <c r="Y420" s="2001"/>
      <c r="Z420" s="2001"/>
      <c r="AA420" s="2001"/>
      <c r="AB420" s="2001"/>
      <c r="AC420" s="2001"/>
      <c r="AD420" s="2001"/>
      <c r="AE420" s="2001"/>
      <c r="AF420" s="2001"/>
      <c r="AG420" s="2001"/>
      <c r="AH420" s="2001"/>
    </row>
    <row r="421" spans="1:36" ht="12.75">
      <c r="F421" s="2002"/>
      <c r="G421" s="2002"/>
      <c r="H421" s="2002"/>
      <c r="I421" s="2002"/>
      <c r="J421" s="2002"/>
      <c r="K421" s="2002"/>
      <c r="L421" s="2002"/>
      <c r="M421" s="2002"/>
      <c r="N421" s="2002"/>
      <c r="O421" s="2002"/>
      <c r="P421" s="2002"/>
      <c r="Q421" s="2002"/>
      <c r="R421" s="2002"/>
      <c r="S421" s="2002"/>
      <c r="T421" s="2002"/>
      <c r="U421" s="2002"/>
      <c r="V421" s="2002"/>
      <c r="W421" s="2002"/>
      <c r="X421" s="2002"/>
      <c r="Y421" s="2002"/>
      <c r="Z421" s="2002"/>
      <c r="AA421" s="2002"/>
      <c r="AB421" s="2002"/>
      <c r="AC421" s="2002"/>
      <c r="AD421" s="2002"/>
      <c r="AE421" s="2002"/>
      <c r="AF421" s="2002"/>
      <c r="AG421" s="2002"/>
      <c r="AH421" s="2002"/>
    </row>
    <row r="422" spans="1:36" ht="12.75">
      <c r="E422" s="16" t="s">
        <v>942</v>
      </c>
      <c r="N422" s="50"/>
      <c r="O422" s="50"/>
      <c r="P422" s="390"/>
      <c r="Q422" s="1688" t="s">
        <v>119</v>
      </c>
      <c r="R422" s="1688"/>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88" t="s">
        <v>136</v>
      </c>
      <c r="AF423" s="1982"/>
    </row>
    <row r="424" spans="1:36" ht="12.75">
      <c r="S424" s="35"/>
      <c r="T424" s="35"/>
    </row>
    <row r="425" spans="1:36" ht="12.75" customHeight="1">
      <c r="A425" s="63"/>
      <c r="B425" s="63"/>
      <c r="C425" s="63"/>
      <c r="E425" s="8" t="s">
        <v>87</v>
      </c>
      <c r="Z425" s="1688" t="s">
        <v>531</v>
      </c>
      <c r="AA425" s="168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8" t="s">
        <v>136</v>
      </c>
      <c r="AA427" s="1688"/>
    </row>
    <row r="428" spans="1:36" ht="12.75" customHeight="1">
      <c r="AG428" s="16">
        <v>0</v>
      </c>
    </row>
    <row r="429" spans="1:36" ht="12.75" customHeight="1">
      <c r="A429" s="63" t="s">
        <v>411</v>
      </c>
      <c r="B429" s="63"/>
      <c r="C429" s="63"/>
      <c r="D429" s="63" t="s">
        <v>189</v>
      </c>
      <c r="AF429" s="94"/>
    </row>
    <row r="430" spans="1:36" ht="12.75" customHeight="1">
      <c r="D430" s="1818" t="s">
        <v>400</v>
      </c>
      <c r="E430" s="1819"/>
      <c r="F430" s="1819"/>
      <c r="G430" s="1819"/>
      <c r="H430" s="1819"/>
      <c r="I430" s="1819"/>
      <c r="J430" s="1819"/>
      <c r="K430" s="1819"/>
      <c r="L430" s="1819"/>
      <c r="M430" s="1819"/>
      <c r="N430" s="1819"/>
      <c r="O430" s="1819"/>
      <c r="P430" s="1819"/>
      <c r="Q430" s="1819"/>
      <c r="R430" s="1819"/>
      <c r="S430" s="1819"/>
      <c r="T430" s="1819"/>
      <c r="U430" s="1819"/>
      <c r="V430" s="1819"/>
      <c r="W430" s="1819"/>
      <c r="X430" s="1819"/>
      <c r="Y430" s="1819"/>
      <c r="Z430" s="1819"/>
      <c r="AA430" s="1819"/>
      <c r="AB430" s="1819"/>
      <c r="AC430" s="1819"/>
      <c r="AD430" s="1819"/>
      <c r="AE430" s="1819"/>
      <c r="AF430" s="1980"/>
      <c r="AG430" s="2026">
        <v>101</v>
      </c>
      <c r="AH430" s="2026"/>
      <c r="AI430" s="2026"/>
      <c r="AJ430" s="2026"/>
    </row>
    <row r="431" spans="1:36" ht="12.75" customHeight="1">
      <c r="D431" s="1858" t="s">
        <v>1522</v>
      </c>
      <c r="E431" s="1984"/>
      <c r="F431" s="1984"/>
      <c r="G431" s="1984"/>
      <c r="H431" s="1984"/>
      <c r="I431" s="1984"/>
      <c r="J431" s="1984"/>
      <c r="K431" s="1984"/>
      <c r="L431" s="1984"/>
      <c r="M431" s="1984"/>
      <c r="N431" s="1984"/>
      <c r="O431" s="1984"/>
      <c r="P431" s="1984"/>
      <c r="Q431" s="1984"/>
      <c r="R431" s="1984"/>
      <c r="S431" s="1984"/>
      <c r="T431" s="1984"/>
      <c r="U431" s="1984"/>
      <c r="V431" s="1984"/>
      <c r="W431" s="1984"/>
      <c r="X431" s="1984"/>
      <c r="Y431" s="1984"/>
      <c r="Z431" s="1984"/>
      <c r="AA431" s="1984"/>
      <c r="AB431" s="1984"/>
      <c r="AC431" s="1984"/>
      <c r="AD431" s="1984"/>
      <c r="AE431" s="1984"/>
      <c r="AF431" s="1985"/>
      <c r="AG431" s="2123"/>
      <c r="AH431" s="1776"/>
      <c r="AI431" s="1776"/>
      <c r="AJ431" s="1776"/>
    </row>
    <row r="432" spans="1:36" ht="12.75" customHeight="1">
      <c r="D432" s="1858" t="s">
        <v>1523</v>
      </c>
      <c r="E432" s="1984"/>
      <c r="F432" s="1984"/>
      <c r="G432" s="1984"/>
      <c r="H432" s="1984"/>
      <c r="I432" s="1984"/>
      <c r="J432" s="1984"/>
      <c r="K432" s="1984"/>
      <c r="L432" s="1984"/>
      <c r="M432" s="1984"/>
      <c r="N432" s="1984"/>
      <c r="O432" s="1984"/>
      <c r="P432" s="1984"/>
      <c r="Q432" s="1984"/>
      <c r="R432" s="1984"/>
      <c r="S432" s="1984"/>
      <c r="T432" s="1984"/>
      <c r="U432" s="1984"/>
      <c r="V432" s="1984"/>
      <c r="W432" s="1984"/>
      <c r="X432" s="1984"/>
      <c r="Y432" s="1984"/>
      <c r="Z432" s="1984"/>
      <c r="AA432" s="1984"/>
      <c r="AB432" s="1984"/>
      <c r="AC432" s="1984"/>
      <c r="AD432" s="1984"/>
      <c r="AE432" s="1984"/>
      <c r="AF432" s="1985"/>
      <c r="AG432" s="2026">
        <v>100</v>
      </c>
      <c r="AH432" s="2026"/>
      <c r="AI432" s="2026"/>
      <c r="AJ432" s="2026"/>
    </row>
    <row r="433" spans="4:36" ht="12.75" customHeight="1">
      <c r="D433" s="1858" t="s">
        <v>1519</v>
      </c>
      <c r="E433" s="1984"/>
      <c r="F433" s="1984"/>
      <c r="G433" s="1984"/>
      <c r="H433" s="1984"/>
      <c r="I433" s="1984"/>
      <c r="J433" s="1984"/>
      <c r="K433" s="1984"/>
      <c r="L433" s="1984"/>
      <c r="M433" s="1984"/>
      <c r="N433" s="1984"/>
      <c r="O433" s="1984"/>
      <c r="P433" s="1984"/>
      <c r="Q433" s="1984"/>
      <c r="R433" s="1984"/>
      <c r="S433" s="1984"/>
      <c r="T433" s="1984"/>
      <c r="U433" s="1984"/>
      <c r="V433" s="1984"/>
      <c r="W433" s="1984"/>
      <c r="X433" s="1984"/>
      <c r="Y433" s="1984"/>
      <c r="Z433" s="1984"/>
      <c r="AA433" s="1984"/>
      <c r="AB433" s="1984"/>
      <c r="AC433" s="1984"/>
      <c r="AD433" s="1984"/>
      <c r="AE433" s="1984"/>
      <c r="AF433" s="1985"/>
      <c r="AG433" s="2026">
        <v>100</v>
      </c>
      <c r="AH433" s="2026"/>
      <c r="AI433" s="2026"/>
      <c r="AJ433" s="2026"/>
    </row>
    <row r="434" spans="4:36" ht="12.75" customHeight="1">
      <c r="D434" s="1858" t="s">
        <v>1524</v>
      </c>
      <c r="E434" s="1984"/>
      <c r="F434" s="1984"/>
      <c r="G434" s="1984"/>
      <c r="H434" s="1984"/>
      <c r="I434" s="1984"/>
      <c r="J434" s="1984"/>
      <c r="K434" s="1984"/>
      <c r="L434" s="1984"/>
      <c r="M434" s="1984"/>
      <c r="N434" s="1984"/>
      <c r="O434" s="1984"/>
      <c r="P434" s="1984"/>
      <c r="Q434" s="1984"/>
      <c r="R434" s="1984"/>
      <c r="S434" s="1984"/>
      <c r="T434" s="1984"/>
      <c r="U434" s="1984"/>
      <c r="V434" s="1984"/>
      <c r="W434" s="1984"/>
      <c r="X434" s="1984"/>
      <c r="Y434" s="1984"/>
      <c r="Z434" s="1984"/>
      <c r="AA434" s="1984"/>
      <c r="AB434" s="1984"/>
      <c r="AC434" s="1984"/>
      <c r="AD434" s="1984"/>
      <c r="AE434" s="1984"/>
      <c r="AF434" s="1985"/>
      <c r="AG434" s="2028">
        <f>IF(ISERROR(AG433/AG432),"",AG433/AG432)</f>
        <v>1</v>
      </c>
      <c r="AH434" s="2028"/>
      <c r="AI434" s="2028"/>
      <c r="AJ434" s="2028"/>
    </row>
    <row r="435" spans="4:36" ht="12.75" customHeight="1">
      <c r="D435" s="1858" t="s">
        <v>1521</v>
      </c>
      <c r="E435" s="1984"/>
      <c r="F435" s="1984"/>
      <c r="G435" s="1984"/>
      <c r="H435" s="1984"/>
      <c r="I435" s="1984"/>
      <c r="J435" s="1984"/>
      <c r="K435" s="1984"/>
      <c r="L435" s="1984"/>
      <c r="M435" s="1984"/>
      <c r="N435" s="1984"/>
      <c r="O435" s="1984"/>
      <c r="P435" s="1984"/>
      <c r="Q435" s="1984"/>
      <c r="R435" s="1984"/>
      <c r="S435" s="1984"/>
      <c r="T435" s="1984"/>
      <c r="U435" s="1984"/>
      <c r="V435" s="1984"/>
      <c r="W435" s="1984"/>
      <c r="X435" s="1984"/>
      <c r="Y435" s="1984"/>
      <c r="Z435" s="1984"/>
      <c r="AA435" s="1984"/>
      <c r="AB435" s="1984"/>
      <c r="AC435" s="1984"/>
      <c r="AD435" s="1984"/>
      <c r="AE435" s="1984"/>
      <c r="AF435" s="1985"/>
      <c r="AG435" s="2124">
        <v>103124</v>
      </c>
      <c r="AH435" s="2124"/>
      <c r="AI435" s="2124"/>
      <c r="AJ435" s="2124"/>
    </row>
    <row r="436" spans="4:36" ht="12.75" customHeight="1">
      <c r="D436" s="1858" t="s">
        <v>1520</v>
      </c>
      <c r="E436" s="1984"/>
      <c r="F436" s="1984"/>
      <c r="G436" s="1984"/>
      <c r="H436" s="1984"/>
      <c r="I436" s="1984"/>
      <c r="J436" s="1984"/>
      <c r="K436" s="1984"/>
      <c r="L436" s="1984"/>
      <c r="M436" s="1984"/>
      <c r="N436" s="1984"/>
      <c r="O436" s="1984"/>
      <c r="P436" s="1984"/>
      <c r="Q436" s="1984"/>
      <c r="R436" s="1984"/>
      <c r="S436" s="1984"/>
      <c r="T436" s="1984"/>
      <c r="U436" s="1984"/>
      <c r="V436" s="1984"/>
      <c r="W436" s="1984"/>
      <c r="X436" s="1984"/>
      <c r="Y436" s="1984"/>
      <c r="Z436" s="1984"/>
      <c r="AA436" s="1984"/>
      <c r="AB436" s="1984"/>
      <c r="AC436" s="1984"/>
      <c r="AD436" s="1984"/>
      <c r="AE436" s="1984"/>
      <c r="AF436" s="1985"/>
      <c r="AG436" s="2124">
        <f>AG435</f>
        <v>103124</v>
      </c>
      <c r="AH436" s="2124"/>
      <c r="AI436" s="2124"/>
      <c r="AJ436" s="2124"/>
    </row>
    <row r="437" spans="4:36" ht="12.75" customHeight="1">
      <c r="D437" s="1858" t="s">
        <v>1527</v>
      </c>
      <c r="E437" s="1984"/>
      <c r="F437" s="1984"/>
      <c r="G437" s="1984"/>
      <c r="H437" s="1984"/>
      <c r="I437" s="1984"/>
      <c r="J437" s="1984"/>
      <c r="K437" s="1984"/>
      <c r="L437" s="1984"/>
      <c r="M437" s="1984"/>
      <c r="N437" s="1984"/>
      <c r="O437" s="1984"/>
      <c r="P437" s="1984"/>
      <c r="Q437" s="1984"/>
      <c r="R437" s="1984"/>
      <c r="S437" s="1984"/>
      <c r="T437" s="1984"/>
      <c r="U437" s="1984"/>
      <c r="V437" s="1984"/>
      <c r="W437" s="1984"/>
      <c r="X437" s="1984"/>
      <c r="Y437" s="1984"/>
      <c r="Z437" s="1984"/>
      <c r="AA437" s="1984"/>
      <c r="AB437" s="1984"/>
      <c r="AC437" s="1984"/>
      <c r="AD437" s="1984"/>
      <c r="AE437" s="1984"/>
      <c r="AF437" s="1985"/>
      <c r="AG437" s="2028">
        <f>IF(ISERROR(AG436/AG435),"",AG436/AG435)</f>
        <v>1</v>
      </c>
      <c r="AH437" s="2028"/>
      <c r="AI437" s="2028"/>
      <c r="AJ437" s="2028"/>
    </row>
    <row r="438" spans="4:36" ht="12.75" customHeight="1">
      <c r="D438" s="1858" t="s">
        <v>1525</v>
      </c>
      <c r="E438" s="1984"/>
      <c r="F438" s="1984"/>
      <c r="G438" s="1984"/>
      <c r="H438" s="1984"/>
      <c r="I438" s="1984"/>
      <c r="J438" s="1984"/>
      <c r="K438" s="1984"/>
      <c r="L438" s="1984"/>
      <c r="M438" s="1984"/>
      <c r="N438" s="1984"/>
      <c r="O438" s="1984"/>
      <c r="P438" s="1984"/>
      <c r="Q438" s="1984"/>
      <c r="R438" s="1984"/>
      <c r="S438" s="1984"/>
      <c r="T438" s="1984"/>
      <c r="U438" s="1984"/>
      <c r="V438" s="1984"/>
      <c r="W438" s="1984"/>
      <c r="X438" s="1984"/>
      <c r="Y438" s="1984"/>
      <c r="Z438" s="1984"/>
      <c r="AA438" s="1984"/>
      <c r="AB438" s="1984"/>
      <c r="AC438" s="1984"/>
      <c r="AD438" s="1984"/>
      <c r="AE438" s="1984"/>
      <c r="AF438" s="1985"/>
      <c r="AG438" s="2028">
        <f>MIN(IF(AG434&gt;AG437,AG437,AG434),1)</f>
        <v>1</v>
      </c>
      <c r="AH438" s="2028"/>
      <c r="AI438" s="2028"/>
      <c r="AJ438" s="2028"/>
    </row>
    <row r="439" spans="4:36" ht="12.75">
      <c r="D439" s="2120" t="s">
        <v>1959</v>
      </c>
      <c r="E439" s="1819"/>
      <c r="F439" s="1819"/>
      <c r="G439" s="1819"/>
      <c r="H439" s="1819"/>
      <c r="I439" s="1819"/>
      <c r="J439" s="1819"/>
      <c r="K439" s="1819"/>
      <c r="L439" s="1819"/>
      <c r="M439" s="1819"/>
      <c r="N439" s="1819"/>
      <c r="O439" s="1819"/>
      <c r="P439" s="1819"/>
      <c r="Q439" s="1819"/>
      <c r="R439" s="1819"/>
      <c r="S439" s="1819"/>
      <c r="T439" s="1819"/>
      <c r="U439" s="1819"/>
      <c r="V439" s="1819"/>
      <c r="W439" s="1819"/>
      <c r="X439" s="1819"/>
      <c r="Y439" s="1819"/>
      <c r="Z439" s="1819"/>
      <c r="AA439" s="1819"/>
      <c r="AB439" s="1819"/>
      <c r="AC439" s="1819"/>
      <c r="AD439" s="1819"/>
      <c r="AE439" s="1819"/>
      <c r="AF439" s="1980"/>
      <c r="AG439" s="1987">
        <v>0</v>
      </c>
      <c r="AH439" s="1987"/>
      <c r="AI439" s="1987"/>
      <c r="AJ439" s="1987"/>
    </row>
    <row r="440" spans="4:36" ht="12.75">
      <c r="D440" s="1858" t="s">
        <v>231</v>
      </c>
      <c r="E440" s="1984"/>
      <c r="F440" s="1984"/>
      <c r="G440" s="1984"/>
      <c r="H440" s="1984"/>
      <c r="I440" s="1984"/>
      <c r="J440" s="1984"/>
      <c r="K440" s="1984"/>
      <c r="L440" s="1984"/>
      <c r="M440" s="1984"/>
      <c r="N440" s="1984"/>
      <c r="O440" s="1984"/>
      <c r="P440" s="1984"/>
      <c r="Q440" s="1984"/>
      <c r="R440" s="1984"/>
      <c r="S440" s="1984"/>
      <c r="T440" s="1984"/>
      <c r="U440" s="1984"/>
      <c r="V440" s="1984"/>
      <c r="W440" s="1984"/>
      <c r="X440" s="1984"/>
      <c r="Y440" s="1984"/>
      <c r="Z440" s="1984"/>
      <c r="AA440" s="1984"/>
      <c r="AB440" s="1984"/>
      <c r="AC440" s="1984"/>
      <c r="AD440" s="1984"/>
      <c r="AE440" s="1984"/>
      <c r="AF440" s="1985"/>
      <c r="AG440" s="1987">
        <v>0</v>
      </c>
      <c r="AH440" s="1987"/>
      <c r="AI440" s="1987"/>
      <c r="AJ440" s="1987"/>
    </row>
    <row r="441" spans="4:36" ht="12.75" customHeight="1">
      <c r="D441" s="2120" t="s">
        <v>1960</v>
      </c>
      <c r="E441" s="1984"/>
      <c r="F441" s="1984"/>
      <c r="G441" s="1984"/>
      <c r="H441" s="1984"/>
      <c r="I441" s="1984"/>
      <c r="J441" s="1984"/>
      <c r="K441" s="1984"/>
      <c r="L441" s="1984"/>
      <c r="M441" s="1984"/>
      <c r="N441" s="1984"/>
      <c r="O441" s="1984"/>
      <c r="P441" s="1984"/>
      <c r="Q441" s="1984"/>
      <c r="R441" s="1984"/>
      <c r="S441" s="1984"/>
      <c r="T441" s="1984"/>
      <c r="U441" s="1984"/>
      <c r="V441" s="1984"/>
      <c r="W441" s="1984"/>
      <c r="X441" s="1984"/>
      <c r="Y441" s="1984"/>
      <c r="Z441" s="1984"/>
      <c r="AA441" s="1984"/>
      <c r="AB441" s="1984"/>
      <c r="AC441" s="1984"/>
      <c r="AD441" s="1984"/>
      <c r="AE441" s="1984"/>
      <c r="AF441" s="1985"/>
      <c r="AG441" s="1987">
        <f>800+2252+220*4</f>
        <v>3932</v>
      </c>
      <c r="AH441" s="1987"/>
      <c r="AI441" s="1987"/>
      <c r="AJ441" s="1987"/>
    </row>
    <row r="442" spans="4:36" ht="12.75">
      <c r="D442" s="1858" t="s">
        <v>1526</v>
      </c>
      <c r="E442" s="1984"/>
      <c r="F442" s="1984"/>
      <c r="G442" s="1984"/>
      <c r="H442" s="1984"/>
      <c r="I442" s="1984"/>
      <c r="J442" s="1984"/>
      <c r="K442" s="1984"/>
      <c r="L442" s="1984"/>
      <c r="M442" s="1984"/>
      <c r="N442" s="1984"/>
      <c r="O442" s="1984"/>
      <c r="P442" s="1984"/>
      <c r="Q442" s="1984"/>
      <c r="R442" s="1984"/>
      <c r="S442" s="1984"/>
      <c r="T442" s="1984"/>
      <c r="U442" s="1984"/>
      <c r="V442" s="1984"/>
      <c r="W442" s="1984"/>
      <c r="X442" s="1984"/>
      <c r="Y442" s="1984"/>
      <c r="Z442" s="1984"/>
      <c r="AA442" s="1984"/>
      <c r="AB442" s="1984"/>
      <c r="AC442" s="1984"/>
      <c r="AD442" s="1984"/>
      <c r="AE442" s="1984"/>
      <c r="AF442" s="1985"/>
      <c r="AG442" s="1987">
        <v>28411</v>
      </c>
      <c r="AH442" s="1987"/>
      <c r="AI442" s="1987"/>
      <c r="AJ442" s="1987"/>
    </row>
    <row r="443" spans="4:36" ht="12.75">
      <c r="D443" s="1858" t="s">
        <v>1528</v>
      </c>
      <c r="E443" s="1984"/>
      <c r="F443" s="1984"/>
      <c r="G443" s="1984"/>
      <c r="H443" s="1984"/>
      <c r="I443" s="1984"/>
      <c r="J443" s="1984"/>
      <c r="K443" s="1984"/>
      <c r="L443" s="1984"/>
      <c r="M443" s="1984"/>
      <c r="N443" s="1984"/>
      <c r="O443" s="1984"/>
      <c r="P443" s="1984"/>
      <c r="Q443" s="1984"/>
      <c r="R443" s="1984"/>
      <c r="S443" s="1984"/>
      <c r="T443" s="1984"/>
      <c r="U443" s="1984"/>
      <c r="V443" s="1984"/>
      <c r="W443" s="1984"/>
      <c r="X443" s="1984"/>
      <c r="Y443" s="1984"/>
      <c r="Z443" s="1984"/>
      <c r="AA443" s="1984"/>
      <c r="AB443" s="1984"/>
      <c r="AC443" s="1984"/>
      <c r="AD443" s="1984"/>
      <c r="AE443" s="1984"/>
      <c r="AF443" s="1985"/>
      <c r="AG443" s="2100">
        <f>AG435+AG439+AG441+AG442</f>
        <v>135467</v>
      </c>
      <c r="AH443" s="2100"/>
      <c r="AI443" s="2100"/>
      <c r="AJ443" s="2100"/>
    </row>
    <row r="444" spans="4:36" ht="12.75">
      <c r="D444" s="1978" t="s">
        <v>1961</v>
      </c>
      <c r="E444" s="1978"/>
      <c r="F444" s="1978"/>
      <c r="G444" s="1978"/>
      <c r="H444" s="1978"/>
      <c r="I444" s="1978"/>
      <c r="J444" s="1978"/>
      <c r="K444" s="1978"/>
      <c r="L444" s="1978"/>
      <c r="M444" s="1978"/>
      <c r="N444" s="1978"/>
      <c r="O444" s="1978"/>
      <c r="P444" s="1978"/>
      <c r="Q444" s="1978"/>
      <c r="R444" s="1978"/>
      <c r="S444" s="1978"/>
      <c r="T444" s="1978"/>
      <c r="U444" s="1978"/>
      <c r="V444" s="1978"/>
      <c r="W444" s="1978"/>
      <c r="X444" s="1978"/>
      <c r="Y444" s="1978"/>
      <c r="Z444" s="1978"/>
      <c r="AA444" s="1978"/>
      <c r="AB444" s="1978"/>
      <c r="AC444" s="1978"/>
      <c r="AD444" s="1978"/>
      <c r="AE444" s="1978"/>
      <c r="AF444" s="1978"/>
      <c r="AG444" s="1978"/>
      <c r="AH444" s="1978"/>
      <c r="AI444" s="1978"/>
      <c r="AJ444" s="1978"/>
    </row>
    <row r="445" spans="4:36" ht="13.7" customHeight="1">
      <c r="D445" s="1979"/>
      <c r="E445" s="1979"/>
      <c r="F445" s="1979"/>
      <c r="G445" s="1979"/>
      <c r="H445" s="1979"/>
      <c r="I445" s="1979"/>
      <c r="J445" s="1979"/>
      <c r="K445" s="1979"/>
      <c r="L445" s="1979"/>
      <c r="M445" s="1979"/>
      <c r="N445" s="1979"/>
      <c r="O445" s="1979"/>
      <c r="P445" s="1979"/>
      <c r="Q445" s="1979"/>
      <c r="R445" s="1979"/>
      <c r="S445" s="1979"/>
      <c r="T445" s="1979"/>
      <c r="U445" s="1979"/>
      <c r="V445" s="1979"/>
      <c r="W445" s="1979"/>
      <c r="X445" s="1979"/>
      <c r="Y445" s="1979"/>
      <c r="Z445" s="1979"/>
      <c r="AA445" s="1979"/>
      <c r="AB445" s="1979"/>
      <c r="AC445" s="1979"/>
      <c r="AD445" s="1979"/>
      <c r="AE445" s="1979"/>
      <c r="AF445" s="1979"/>
      <c r="AG445" s="1979"/>
      <c r="AH445" s="1979"/>
      <c r="AI445" s="1979"/>
      <c r="AJ445" s="1979"/>
    </row>
    <row r="446" spans="4:36" ht="12.75">
      <c r="D446" s="2099"/>
      <c r="E446" s="2099"/>
      <c r="F446" s="2099"/>
      <c r="G446" s="2099"/>
      <c r="H446" s="2099"/>
      <c r="I446" s="2099"/>
      <c r="J446" s="2099"/>
      <c r="K446" s="2099"/>
      <c r="L446" s="2099"/>
      <c r="M446" s="2099"/>
      <c r="N446" s="2099"/>
      <c r="O446" s="2099"/>
      <c r="P446" s="2099"/>
      <c r="Q446" s="2099"/>
      <c r="R446" s="2099"/>
      <c r="S446" s="2099"/>
      <c r="T446" s="2099"/>
      <c r="U446" s="2099"/>
      <c r="V446" s="2099"/>
      <c r="W446" s="2099"/>
      <c r="X446" s="2099"/>
      <c r="Y446" s="2099"/>
      <c r="Z446" s="2099"/>
      <c r="AA446" s="2099"/>
      <c r="AB446" s="2099"/>
      <c r="AC446" s="2099"/>
      <c r="AD446" s="2099"/>
      <c r="AE446" s="2099"/>
      <c r="AF446" s="2099"/>
      <c r="AG446" s="2099"/>
      <c r="AH446" s="2099"/>
      <c r="AI446" s="2099"/>
      <c r="AJ446" s="2099"/>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0">
        <f>'Sources and Uses Budget'!B104/Application!AG430</f>
        <v>524535.24752475251</v>
      </c>
      <c r="AD447" s="1990"/>
      <c r="AE447" s="1990"/>
      <c r="AF447" s="1990"/>
      <c r="AG447" s="2024"/>
      <c r="AH447" s="2024"/>
      <c r="AI447" s="2024"/>
      <c r="AJ447" s="2024"/>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0">
        <f>'Sources and Uses Budget'!C104/Application!AG430</f>
        <v>524535.24752475251</v>
      </c>
      <c r="AD448" s="1990"/>
      <c r="AE448" s="1990"/>
      <c r="AF448" s="1990"/>
      <c r="AG448" s="2024"/>
      <c r="AH448" s="2024"/>
      <c r="AI448" s="2024"/>
      <c r="AJ448" s="2024"/>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0">
        <f>('Sources and Uses Budget'!S106+'Sources and Uses Budget'!T106)/Application!AG430</f>
        <v>473057.30693069304</v>
      </c>
      <c r="AD449" s="1990"/>
      <c r="AE449" s="1990"/>
      <c r="AF449" s="199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4"/>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68" t="s">
        <v>236</v>
      </c>
      <c r="E458" s="1869"/>
      <c r="F458" s="1869"/>
      <c r="G458" s="1869"/>
      <c r="H458" s="1869"/>
      <c r="I458" s="1869"/>
      <c r="J458" s="1869"/>
      <c r="K458" s="1869"/>
      <c r="L458" s="1869"/>
      <c r="M458" s="1869"/>
      <c r="N458" s="1869"/>
      <c r="O458" s="1869"/>
      <c r="P458" s="1869"/>
      <c r="Q458" s="1869"/>
      <c r="R458" s="1869"/>
      <c r="S458" s="1869"/>
      <c r="T458" s="1869"/>
      <c r="U458" s="1869"/>
      <c r="V458" s="1870"/>
      <c r="W458" s="1973">
        <v>25</v>
      </c>
      <c r="X458" s="1974"/>
      <c r="Y458" s="1975"/>
      <c r="Z458" s="495"/>
      <c r="AA458" s="495"/>
      <c r="AB458" s="495"/>
      <c r="AC458" s="495"/>
      <c r="AD458" s="495"/>
      <c r="AE458" s="495"/>
      <c r="AF458" s="495"/>
      <c r="AG458" s="495"/>
      <c r="AH458" s="495"/>
      <c r="AI458" s="495"/>
      <c r="AJ458" s="327"/>
      <c r="AK458" s="327"/>
      <c r="AL458" s="327"/>
    </row>
    <row r="459" spans="1:38" ht="12.75" customHeight="1">
      <c r="A459" s="327"/>
      <c r="B459" s="327"/>
      <c r="C459" s="327"/>
      <c r="D459" s="1868" t="s">
        <v>237</v>
      </c>
      <c r="E459" s="1869"/>
      <c r="F459" s="1869"/>
      <c r="G459" s="1869"/>
      <c r="H459" s="1869"/>
      <c r="I459" s="1869"/>
      <c r="J459" s="1869"/>
      <c r="K459" s="1869"/>
      <c r="L459" s="1869"/>
      <c r="M459" s="1869"/>
      <c r="N459" s="1869"/>
      <c r="O459" s="1869"/>
      <c r="P459" s="1869"/>
      <c r="Q459" s="1869"/>
      <c r="R459" s="1869"/>
      <c r="S459" s="1869"/>
      <c r="T459" s="1869"/>
      <c r="U459" s="1869"/>
      <c r="V459" s="1870"/>
      <c r="W459" s="1973" t="s">
        <v>136</v>
      </c>
      <c r="X459" s="1974"/>
      <c r="Y459" s="1975"/>
      <c r="Z459" s="495"/>
      <c r="AA459" s="495"/>
      <c r="AB459" s="495"/>
      <c r="AC459" s="495"/>
      <c r="AD459" s="495"/>
      <c r="AE459" s="495"/>
      <c r="AF459" s="495"/>
      <c r="AG459" s="495"/>
      <c r="AH459" s="495"/>
      <c r="AI459" s="495"/>
      <c r="AJ459" s="327"/>
      <c r="AK459" s="327"/>
      <c r="AL459" s="327"/>
    </row>
    <row r="460" spans="1:38" ht="12.75" customHeight="1">
      <c r="A460" s="327"/>
      <c r="B460" s="327"/>
      <c r="C460" s="327"/>
      <c r="D460" s="1868" t="s">
        <v>238</v>
      </c>
      <c r="E460" s="1869"/>
      <c r="F460" s="1869"/>
      <c r="G460" s="1869"/>
      <c r="H460" s="1869"/>
      <c r="I460" s="1869"/>
      <c r="J460" s="1869"/>
      <c r="K460" s="1869"/>
      <c r="L460" s="1869"/>
      <c r="M460" s="1869"/>
      <c r="N460" s="1869"/>
      <c r="O460" s="1869"/>
      <c r="P460" s="1869"/>
      <c r="Q460" s="1869"/>
      <c r="R460" s="1869"/>
      <c r="S460" s="1869"/>
      <c r="T460" s="1869"/>
      <c r="U460" s="1869"/>
      <c r="V460" s="1870"/>
      <c r="W460" s="1973" t="s">
        <v>136</v>
      </c>
      <c r="X460" s="1974"/>
      <c r="Y460" s="1975"/>
      <c r="Z460" s="495"/>
      <c r="AA460" s="495"/>
      <c r="AB460" s="495"/>
      <c r="AC460" s="495"/>
      <c r="AD460" s="495"/>
      <c r="AE460" s="495"/>
      <c r="AF460" s="495"/>
      <c r="AG460" s="495"/>
      <c r="AH460" s="495"/>
      <c r="AI460" s="495"/>
      <c r="AJ460" s="327"/>
      <c r="AK460" s="327"/>
      <c r="AL460" s="327"/>
    </row>
    <row r="461" spans="1:38" ht="12.75" customHeight="1">
      <c r="A461" s="327"/>
      <c r="B461" s="327"/>
      <c r="C461" s="327"/>
      <c r="D461" s="1868" t="s">
        <v>242</v>
      </c>
      <c r="E461" s="1869"/>
      <c r="F461" s="1869"/>
      <c r="G461" s="1869"/>
      <c r="H461" s="1869"/>
      <c r="I461" s="1869"/>
      <c r="J461" s="1869"/>
      <c r="K461" s="1869"/>
      <c r="L461" s="1869"/>
      <c r="M461" s="1869"/>
      <c r="N461" s="1869"/>
      <c r="O461" s="1869"/>
      <c r="P461" s="1869"/>
      <c r="Q461" s="1869"/>
      <c r="R461" s="1869"/>
      <c r="S461" s="1869"/>
      <c r="T461" s="1869"/>
      <c r="U461" s="1869"/>
      <c r="V461" s="1870"/>
      <c r="W461" s="1973" t="s">
        <v>136</v>
      </c>
      <c r="X461" s="1974"/>
      <c r="Y461" s="1975"/>
      <c r="Z461" s="495"/>
      <c r="AA461" s="495"/>
      <c r="AB461" s="495"/>
      <c r="AC461" s="495"/>
      <c r="AD461" s="495"/>
      <c r="AE461" s="495"/>
      <c r="AF461" s="495"/>
      <c r="AG461" s="495"/>
      <c r="AH461" s="495"/>
      <c r="AI461" s="495"/>
      <c r="AJ461" s="327"/>
      <c r="AK461" s="327"/>
      <c r="AL461" s="327"/>
    </row>
    <row r="462" spans="1:38" ht="12.75" customHeight="1">
      <c r="A462" s="327"/>
      <c r="B462" s="327"/>
      <c r="C462" s="327"/>
      <c r="D462" s="2025" t="s">
        <v>1228</v>
      </c>
      <c r="E462" s="1869"/>
      <c r="F462" s="1869"/>
      <c r="G462" s="1869"/>
      <c r="H462" s="1869"/>
      <c r="I462" s="1869"/>
      <c r="J462" s="1869"/>
      <c r="K462" s="1869"/>
      <c r="L462" s="1869"/>
      <c r="M462" s="1869"/>
      <c r="N462" s="1869"/>
      <c r="O462" s="1869"/>
      <c r="P462" s="1869"/>
      <c r="Q462" s="1869"/>
      <c r="R462" s="1869"/>
      <c r="S462" s="1869"/>
      <c r="T462" s="1869"/>
      <c r="U462" s="1869"/>
      <c r="V462" s="1870"/>
      <c r="W462" s="1973" t="s">
        <v>136</v>
      </c>
      <c r="X462" s="1974"/>
      <c r="Y462" s="1975"/>
      <c r="Z462" s="495"/>
      <c r="AA462" s="495"/>
      <c r="AB462" s="495"/>
      <c r="AC462" s="495"/>
      <c r="AD462" s="495"/>
      <c r="AE462" s="495"/>
      <c r="AF462" s="495"/>
      <c r="AG462" s="495"/>
      <c r="AH462" s="495"/>
      <c r="AI462" s="495"/>
      <c r="AJ462" s="327"/>
      <c r="AK462" s="327"/>
      <c r="AL462" s="327"/>
    </row>
    <row r="463" spans="1:38" ht="12.75" customHeight="1">
      <c r="A463" s="327"/>
      <c r="B463" s="327"/>
      <c r="C463" s="327"/>
      <c r="D463" s="1868" t="s">
        <v>246</v>
      </c>
      <c r="E463" s="1869"/>
      <c r="F463" s="1869"/>
      <c r="G463" s="1869"/>
      <c r="H463" s="1869"/>
      <c r="I463" s="1869"/>
      <c r="J463" s="1869"/>
      <c r="K463" s="1869"/>
      <c r="L463" s="1869"/>
      <c r="M463" s="1869"/>
      <c r="N463" s="1869"/>
      <c r="O463" s="1869"/>
      <c r="P463" s="1869"/>
      <c r="Q463" s="1869"/>
      <c r="R463" s="1869"/>
      <c r="S463" s="1869"/>
      <c r="T463" s="1869"/>
      <c r="U463" s="1869"/>
      <c r="V463" s="1870"/>
      <c r="W463" s="1973" t="s">
        <v>136</v>
      </c>
      <c r="X463" s="1974"/>
      <c r="Y463" s="1975"/>
      <c r="Z463" s="495"/>
      <c r="AA463" s="495"/>
      <c r="AB463" s="495"/>
      <c r="AC463" s="495"/>
      <c r="AD463" s="495"/>
      <c r="AE463" s="495"/>
      <c r="AF463" s="495"/>
      <c r="AG463" s="495"/>
      <c r="AH463" s="495"/>
      <c r="AI463" s="495"/>
      <c r="AJ463" s="327"/>
      <c r="AK463" s="327"/>
      <c r="AL463" s="327"/>
    </row>
    <row r="464" spans="1:38" ht="12.75" customHeight="1">
      <c r="A464" s="887"/>
      <c r="B464" s="887"/>
      <c r="C464" s="887"/>
      <c r="D464" s="2025" t="s">
        <v>1446</v>
      </c>
      <c r="E464" s="2121"/>
      <c r="F464" s="2121"/>
      <c r="G464" s="2121"/>
      <c r="H464" s="2121"/>
      <c r="I464" s="2121"/>
      <c r="J464" s="2121"/>
      <c r="K464" s="2121"/>
      <c r="L464" s="2121"/>
      <c r="M464" s="2121"/>
      <c r="N464" s="2121"/>
      <c r="O464" s="2121"/>
      <c r="P464" s="2121"/>
      <c r="Q464" s="2121"/>
      <c r="R464" s="2121"/>
      <c r="S464" s="2121"/>
      <c r="T464" s="2121"/>
      <c r="U464" s="2121"/>
      <c r="V464" s="2122"/>
      <c r="W464" s="2102" t="s">
        <v>136</v>
      </c>
      <c r="X464" s="2103"/>
      <c r="Y464" s="2104"/>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17"/>
      <c r="H465" s="2118"/>
      <c r="I465" s="2118"/>
      <c r="J465" s="2118"/>
      <c r="K465" s="2118"/>
      <c r="L465" s="2118"/>
      <c r="M465" s="2118"/>
      <c r="N465" s="2118"/>
      <c r="O465" s="2118"/>
      <c r="P465" s="2118"/>
      <c r="Q465" s="2118"/>
      <c r="R465" s="2118"/>
      <c r="S465" s="2118"/>
      <c r="T465" s="2118"/>
      <c r="U465" s="2118"/>
      <c r="V465" s="2119"/>
      <c r="W465" s="1973" t="s">
        <v>136</v>
      </c>
      <c r="X465" s="1974"/>
      <c r="Y465" s="197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76" t="s">
        <v>239</v>
      </c>
      <c r="E469" s="1977"/>
      <c r="F469" s="1977"/>
      <c r="G469" s="1977"/>
      <c r="H469" s="1977"/>
      <c r="I469" s="1977"/>
      <c r="J469" s="1977"/>
      <c r="K469" s="1977"/>
      <c r="L469" s="1977"/>
      <c r="M469" s="1977"/>
      <c r="N469" s="1977"/>
      <c r="O469" s="1977"/>
      <c r="P469" s="1977"/>
      <c r="Q469" s="1977"/>
      <c r="R469" s="1977"/>
      <c r="S469" s="1977"/>
      <c r="T469" s="1977"/>
      <c r="U469" s="1977"/>
      <c r="V469" s="1977"/>
      <c r="W469" s="2108"/>
      <c r="X469" s="2108"/>
      <c r="Y469" s="2109"/>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68" t="s">
        <v>240</v>
      </c>
      <c r="E470" s="1869"/>
      <c r="F470" s="1869"/>
      <c r="G470" s="1869"/>
      <c r="H470" s="1869"/>
      <c r="I470" s="1869"/>
      <c r="J470" s="1869"/>
      <c r="K470" s="1869"/>
      <c r="L470" s="1869"/>
      <c r="M470" s="1869"/>
      <c r="N470" s="1869"/>
      <c r="O470" s="1869"/>
      <c r="P470" s="1869"/>
      <c r="Q470" s="1869"/>
      <c r="R470" s="1869"/>
      <c r="S470" s="1869"/>
      <c r="T470" s="1869"/>
      <c r="U470" s="1869"/>
      <c r="V470" s="1870"/>
      <c r="W470" s="1973" t="s">
        <v>136</v>
      </c>
      <c r="X470" s="1974"/>
      <c r="Y470" s="197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0" t="s">
        <v>1141</v>
      </c>
      <c r="B473" s="1680"/>
      <c r="C473" s="1680"/>
      <c r="D473" s="1680"/>
      <c r="E473" s="1680"/>
      <c r="F473" s="1680"/>
      <c r="G473" s="1680"/>
      <c r="H473" s="1680"/>
      <c r="I473" s="1680"/>
      <c r="J473" s="1680"/>
      <c r="K473" s="1680"/>
      <c r="L473" s="1680"/>
      <c r="M473" s="1680"/>
      <c r="N473" s="1680"/>
      <c r="O473" s="1680"/>
      <c r="P473" s="1680"/>
      <c r="Q473" s="1680"/>
      <c r="R473" s="1680"/>
      <c r="S473" s="1680"/>
      <c r="T473" s="1680"/>
      <c r="U473" s="1680"/>
      <c r="V473" s="1680"/>
      <c r="W473" s="1680"/>
      <c r="X473" s="1680"/>
      <c r="Y473" s="1680"/>
      <c r="Z473" s="1680"/>
      <c r="AA473" s="1680"/>
      <c r="AB473" s="1680"/>
      <c r="AC473" s="1680"/>
      <c r="AD473" s="1680"/>
      <c r="AE473" s="1680"/>
      <c r="AF473" s="1680"/>
      <c r="AG473" s="1680"/>
      <c r="AH473" s="1680"/>
      <c r="AI473" s="1680"/>
      <c r="AJ473" s="1680"/>
      <c r="AK473" s="1680"/>
      <c r="AL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1"/>
      <c r="B474" s="1681"/>
      <c r="C474" s="1681"/>
      <c r="D474" s="1681"/>
      <c r="E474" s="1681"/>
      <c r="F474" s="1681"/>
      <c r="G474" s="1681"/>
      <c r="H474" s="1681"/>
      <c r="I474" s="1681"/>
      <c r="J474" s="1681"/>
      <c r="K474" s="1681"/>
      <c r="L474" s="1681"/>
      <c r="M474" s="1681"/>
      <c r="N474" s="1681"/>
      <c r="O474" s="1681"/>
      <c r="P474" s="1681"/>
      <c r="Q474" s="1681"/>
      <c r="R474" s="1681"/>
      <c r="S474" s="1681"/>
      <c r="T474" s="1681"/>
      <c r="U474" s="1681"/>
      <c r="V474" s="1681"/>
      <c r="W474" s="1681"/>
      <c r="X474" s="1681"/>
      <c r="Y474" s="1681"/>
      <c r="Z474" s="1681"/>
      <c r="AA474" s="1681"/>
      <c r="AB474" s="1681"/>
      <c r="AC474" s="1681"/>
      <c r="AD474" s="1681"/>
      <c r="AE474" s="1681"/>
      <c r="AF474" s="1681"/>
      <c r="AG474" s="1681"/>
      <c r="AH474" s="1681"/>
      <c r="AI474" s="1681"/>
      <c r="AJ474" s="1681"/>
      <c r="AK474" s="1681"/>
      <c r="AL474" s="168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6" t="s">
        <v>1142</v>
      </c>
      <c r="U478" s="1997"/>
      <c r="V478" s="1997"/>
      <c r="W478" s="1997"/>
      <c r="X478" s="1997"/>
      <c r="Y478" s="1997"/>
      <c r="Z478" s="1997"/>
      <c r="AA478" s="1997"/>
      <c r="AB478" s="1997"/>
      <c r="AC478" s="1997"/>
      <c r="AD478" s="1997"/>
      <c r="AE478" s="1997"/>
      <c r="AF478" s="1997"/>
      <c r="AG478" s="1997"/>
      <c r="AH478" s="199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3" t="s">
        <v>873</v>
      </c>
      <c r="U479" s="2023"/>
      <c r="V479" s="2023"/>
      <c r="W479" s="2023"/>
      <c r="X479" s="2023"/>
      <c r="Y479" s="2023" t="s">
        <v>874</v>
      </c>
      <c r="Z479" s="2023"/>
      <c r="AA479" s="2023"/>
      <c r="AB479" s="2023"/>
      <c r="AC479" s="2023"/>
      <c r="AD479" s="2023" t="s">
        <v>934</v>
      </c>
      <c r="AE479" s="2023"/>
      <c r="AF479" s="2023"/>
      <c r="AG479" s="2023"/>
      <c r="AH479" s="202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3"/>
      <c r="U480" s="2023"/>
      <c r="V480" s="2023"/>
      <c r="W480" s="2023"/>
      <c r="X480" s="2023"/>
      <c r="Y480" s="2023"/>
      <c r="Z480" s="2023"/>
      <c r="AA480" s="2023"/>
      <c r="AB480" s="2023"/>
      <c r="AC480" s="2023"/>
      <c r="AD480" s="2023"/>
      <c r="AE480" s="2023"/>
      <c r="AF480" s="2023"/>
      <c r="AG480" s="2023"/>
      <c r="AH480" s="202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94">
        <v>0</v>
      </c>
      <c r="U481" s="1994"/>
      <c r="V481" s="1994"/>
      <c r="W481" s="1994"/>
      <c r="X481" s="1994"/>
      <c r="Y481" s="1994">
        <v>0</v>
      </c>
      <c r="Z481" s="1994"/>
      <c r="AA481" s="1994"/>
      <c r="AB481" s="1994"/>
      <c r="AC481" s="1994"/>
      <c r="AD481" s="1994" t="s">
        <v>2449</v>
      </c>
      <c r="AE481" s="1994"/>
      <c r="AF481" s="1994"/>
      <c r="AG481" s="1994"/>
      <c r="AH481" s="199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94">
        <v>0</v>
      </c>
      <c r="U482" s="1994"/>
      <c r="V482" s="1994"/>
      <c r="W482" s="1994"/>
      <c r="X482" s="1994"/>
      <c r="Y482" s="1994">
        <v>0</v>
      </c>
      <c r="Z482" s="1994"/>
      <c r="AA482" s="1994"/>
      <c r="AB482" s="1994"/>
      <c r="AC482" s="1994"/>
      <c r="AD482" s="1994">
        <v>43648</v>
      </c>
      <c r="AE482" s="1994"/>
      <c r="AF482" s="1994"/>
      <c r="AG482" s="1994"/>
      <c r="AH482" s="199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94">
        <v>0</v>
      </c>
      <c r="U483" s="1994"/>
      <c r="V483" s="1994"/>
      <c r="W483" s="1994"/>
      <c r="X483" s="1994"/>
      <c r="Y483" s="1994">
        <v>0</v>
      </c>
      <c r="Z483" s="1994"/>
      <c r="AA483" s="1994"/>
      <c r="AB483" s="1994"/>
      <c r="AC483" s="1994"/>
      <c r="AD483" s="1994" t="s">
        <v>2449</v>
      </c>
      <c r="AE483" s="1994"/>
      <c r="AF483" s="1994"/>
      <c r="AG483" s="1994"/>
      <c r="AH483" s="199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94">
        <v>0</v>
      </c>
      <c r="U484" s="1994"/>
      <c r="V484" s="1994"/>
      <c r="W484" s="1994"/>
      <c r="X484" s="1994"/>
      <c r="Y484" s="1994">
        <v>0</v>
      </c>
      <c r="Z484" s="1994"/>
      <c r="AA484" s="1994"/>
      <c r="AB484" s="1994"/>
      <c r="AC484" s="1994"/>
      <c r="AD484" s="1994" t="s">
        <v>2449</v>
      </c>
      <c r="AE484" s="1994"/>
      <c r="AF484" s="1994"/>
      <c r="AG484" s="1994"/>
      <c r="AH484" s="199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94">
        <v>0</v>
      </c>
      <c r="U485" s="1994"/>
      <c r="V485" s="1994"/>
      <c r="W485" s="1994"/>
      <c r="X485" s="1994"/>
      <c r="Y485" s="1994">
        <v>0</v>
      </c>
      <c r="Z485" s="1994"/>
      <c r="AA485" s="1994"/>
      <c r="AB485" s="1994"/>
      <c r="AC485" s="1994"/>
      <c r="AD485" s="1994" t="s">
        <v>2449</v>
      </c>
      <c r="AE485" s="1994"/>
      <c r="AF485" s="1994"/>
      <c r="AG485" s="1994"/>
      <c r="AH485" s="199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94">
        <v>0</v>
      </c>
      <c r="U486" s="1994"/>
      <c r="V486" s="1994"/>
      <c r="W486" s="1994"/>
      <c r="X486" s="1994"/>
      <c r="Y486" s="1994">
        <v>0</v>
      </c>
      <c r="Z486" s="1994"/>
      <c r="AA486" s="1994"/>
      <c r="AB486" s="1994"/>
      <c r="AC486" s="1994"/>
      <c r="AD486" s="1994">
        <v>44218</v>
      </c>
      <c r="AE486" s="1994"/>
      <c r="AF486" s="1994"/>
      <c r="AG486" s="1994"/>
      <c r="AH486" s="199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94">
        <v>0</v>
      </c>
      <c r="U487" s="1994"/>
      <c r="V487" s="1994"/>
      <c r="W487" s="1994"/>
      <c r="X487" s="1994"/>
      <c r="Y487" s="1994">
        <v>0</v>
      </c>
      <c r="Z487" s="1994"/>
      <c r="AA487" s="1994"/>
      <c r="AB487" s="1994"/>
      <c r="AC487" s="1994"/>
      <c r="AD487" s="1994" t="s">
        <v>2449</v>
      </c>
      <c r="AE487" s="1994"/>
      <c r="AF487" s="1994"/>
      <c r="AG487" s="1994"/>
      <c r="AH487" s="199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94">
        <v>0</v>
      </c>
      <c r="U488" s="1994"/>
      <c r="V488" s="1994"/>
      <c r="W488" s="1994"/>
      <c r="X488" s="1994"/>
      <c r="Y488" s="1994">
        <v>0</v>
      </c>
      <c r="Z488" s="1994"/>
      <c r="AA488" s="1994"/>
      <c r="AB488" s="1994"/>
      <c r="AC488" s="1994"/>
      <c r="AD488" s="1994" t="s">
        <v>2449</v>
      </c>
      <c r="AE488" s="1994"/>
      <c r="AF488" s="1994"/>
      <c r="AG488" s="1994"/>
      <c r="AH488" s="199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94">
        <v>0</v>
      </c>
      <c r="U489" s="1994"/>
      <c r="V489" s="1994"/>
      <c r="W489" s="1994"/>
      <c r="X489" s="1994"/>
      <c r="Y489" s="1994">
        <v>0</v>
      </c>
      <c r="Z489" s="1994"/>
      <c r="AA489" s="1994"/>
      <c r="AB489" s="1994"/>
      <c r="AC489" s="1994"/>
      <c r="AD489" s="1994" t="s">
        <v>2449</v>
      </c>
      <c r="AE489" s="1994"/>
      <c r="AF489" s="1994"/>
      <c r="AG489" s="1994"/>
      <c r="AH489" s="199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94">
        <v>0</v>
      </c>
      <c r="U490" s="1994"/>
      <c r="V490" s="1994"/>
      <c r="W490" s="1994"/>
      <c r="X490" s="1994"/>
      <c r="Y490" s="1994">
        <v>0</v>
      </c>
      <c r="Z490" s="1994"/>
      <c r="AA490" s="1994"/>
      <c r="AB490" s="1994"/>
      <c r="AC490" s="1994"/>
      <c r="AD490" s="1994" t="s">
        <v>2449</v>
      </c>
      <c r="AE490" s="1994"/>
      <c r="AF490" s="1994"/>
      <c r="AG490" s="1994"/>
      <c r="AH490" s="199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6" t="s">
        <v>266</v>
      </c>
      <c r="R492" s="1997"/>
      <c r="S492" s="1997"/>
      <c r="T492" s="1997"/>
      <c r="U492" s="1997"/>
      <c r="V492" s="1997"/>
      <c r="W492" s="1997"/>
      <c r="X492" s="1997"/>
      <c r="Y492" s="1997"/>
      <c r="Z492" s="1997"/>
      <c r="AA492" s="1997"/>
      <c r="AB492" s="1997"/>
      <c r="AC492" s="1997"/>
      <c r="AD492" s="1997"/>
      <c r="AE492" s="1997"/>
      <c r="AF492" s="1997"/>
      <c r="AG492" s="1997"/>
      <c r="AH492" s="1997"/>
      <c r="AI492" s="1997"/>
      <c r="AJ492" s="1997"/>
      <c r="AK492" s="199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95" t="s">
        <v>2451</v>
      </c>
      <c r="R493" s="1690"/>
      <c r="S493" s="1690"/>
      <c r="T493" s="1690"/>
      <c r="U493" s="1690"/>
      <c r="V493" s="1690"/>
      <c r="W493" s="1690"/>
      <c r="X493" s="1690"/>
      <c r="Y493" s="1690"/>
      <c r="Z493" s="1690"/>
      <c r="AA493" s="1690"/>
      <c r="AB493" s="1690"/>
      <c r="AC493" s="1690"/>
      <c r="AD493" s="1690"/>
      <c r="AE493" s="1690"/>
      <c r="AF493" s="1690"/>
      <c r="AG493" s="1690"/>
      <c r="AH493" s="1690"/>
      <c r="AI493" s="1690"/>
      <c r="AJ493" s="1690"/>
      <c r="AK493" s="172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95" t="s">
        <v>2452</v>
      </c>
      <c r="R494" s="1690"/>
      <c r="S494" s="1690"/>
      <c r="T494" s="1690"/>
      <c r="U494" s="1690"/>
      <c r="V494" s="1690"/>
      <c r="W494" s="1690"/>
      <c r="X494" s="1690"/>
      <c r="Y494" s="1690"/>
      <c r="Z494" s="1690"/>
      <c r="AA494" s="1690"/>
      <c r="AB494" s="1690"/>
      <c r="AC494" s="1690"/>
      <c r="AD494" s="1690"/>
      <c r="AE494" s="1690"/>
      <c r="AF494" s="1690"/>
      <c r="AG494" s="1690"/>
      <c r="AH494" s="1690"/>
      <c r="AI494" s="1690"/>
      <c r="AJ494" s="1690"/>
      <c r="AK494" s="172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0" t="str">
        <f>Q494</f>
        <v>88 DU/Acre</v>
      </c>
      <c r="R495" s="1690"/>
      <c r="S495" s="1690"/>
      <c r="T495" s="1690"/>
      <c r="U495" s="1690"/>
      <c r="V495" s="1690"/>
      <c r="W495" s="1690"/>
      <c r="X495" s="1690"/>
      <c r="Y495" s="1690"/>
      <c r="Z495" s="1690"/>
      <c r="AA495" s="1690"/>
      <c r="AB495" s="1690"/>
      <c r="AC495" s="1690"/>
      <c r="AD495" s="1690"/>
      <c r="AE495" s="1690"/>
      <c r="AF495" s="1690"/>
      <c r="AG495" s="1690"/>
      <c r="AH495" s="1690"/>
      <c r="AI495" s="1690"/>
      <c r="AJ495" s="1690"/>
      <c r="AK495" s="172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7" t="s">
        <v>270</v>
      </c>
      <c r="C496" s="2018"/>
      <c r="D496" s="2018"/>
      <c r="E496" s="2018"/>
      <c r="F496" s="2018"/>
      <c r="G496" s="2018"/>
      <c r="H496" s="2018"/>
      <c r="I496" s="2018"/>
      <c r="J496" s="2018"/>
      <c r="K496" s="2018"/>
      <c r="L496" s="2018"/>
      <c r="M496" s="2018"/>
      <c r="N496" s="2018"/>
      <c r="O496" s="2018"/>
      <c r="P496" s="2019"/>
      <c r="Q496" s="2129" t="s">
        <v>531</v>
      </c>
      <c r="R496" s="2130"/>
      <c r="S496" s="2133" t="s">
        <v>58</v>
      </c>
      <c r="T496" s="2134"/>
      <c r="U496" s="2134"/>
      <c r="V496" s="2134"/>
      <c r="W496" s="2134"/>
      <c r="X496" s="2134"/>
      <c r="Y496" s="2134"/>
      <c r="Z496" s="2134"/>
      <c r="AA496" s="2134"/>
      <c r="AB496" s="2134"/>
      <c r="AC496" s="2134"/>
      <c r="AD496" s="2134"/>
      <c r="AE496" s="2134"/>
      <c r="AF496" s="2134"/>
      <c r="AG496" s="2134"/>
      <c r="AH496" s="2134"/>
      <c r="AI496" s="2134"/>
      <c r="AJ496" s="2134"/>
      <c r="AK496" s="213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0"/>
      <c r="C497" s="2021"/>
      <c r="D497" s="2021"/>
      <c r="E497" s="2021"/>
      <c r="F497" s="2021"/>
      <c r="G497" s="2021"/>
      <c r="H497" s="2021"/>
      <c r="I497" s="2021"/>
      <c r="J497" s="2021"/>
      <c r="K497" s="2021"/>
      <c r="L497" s="2021"/>
      <c r="M497" s="2021"/>
      <c r="N497" s="2021"/>
      <c r="O497" s="2021"/>
      <c r="P497" s="2022"/>
      <c r="Q497" s="2131"/>
      <c r="R497" s="2132"/>
      <c r="S497" s="2136"/>
      <c r="T497" s="2137"/>
      <c r="U497" s="2137"/>
      <c r="V497" s="2137"/>
      <c r="W497" s="2137"/>
      <c r="X497" s="2137"/>
      <c r="Y497" s="2137"/>
      <c r="Z497" s="2137"/>
      <c r="AA497" s="2137"/>
      <c r="AB497" s="2137"/>
      <c r="AC497" s="2137"/>
      <c r="AD497" s="2137"/>
      <c r="AE497" s="2137"/>
      <c r="AF497" s="2137"/>
      <c r="AG497" s="2137"/>
      <c r="AH497" s="2137"/>
      <c r="AI497" s="2137"/>
      <c r="AJ497" s="2137"/>
      <c r="AK497" s="213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0" t="s">
        <v>2272</v>
      </c>
      <c r="C498" s="1385"/>
      <c r="D498" s="1385"/>
      <c r="E498" s="1385"/>
      <c r="F498" s="1385"/>
      <c r="G498" s="1385"/>
      <c r="H498" s="1385"/>
      <c r="I498" s="1385"/>
      <c r="J498" s="1385"/>
      <c r="K498" s="1385"/>
      <c r="L498" s="1385"/>
      <c r="M498" s="1385"/>
      <c r="N498" s="1385"/>
      <c r="O498" s="1385"/>
      <c r="P498" s="1385"/>
      <c r="Q498" s="2139" t="s">
        <v>531</v>
      </c>
      <c r="R498" s="2140"/>
      <c r="S498" s="2140"/>
      <c r="T498" s="2140"/>
      <c r="U498" s="2140"/>
      <c r="V498" s="2140"/>
      <c r="W498" s="2140"/>
      <c r="X498" s="2140"/>
      <c r="Y498" s="2140"/>
      <c r="Z498" s="2140"/>
      <c r="AA498" s="2140"/>
      <c r="AB498" s="2140"/>
      <c r="AC498" s="2140"/>
      <c r="AD498" s="2140"/>
      <c r="AE498" s="2140"/>
      <c r="AF498" s="2140"/>
      <c r="AG498" s="2140"/>
      <c r="AH498" s="2140"/>
      <c r="AI498" s="2140"/>
      <c r="AJ498" s="2140"/>
      <c r="AK498" s="214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95" t="s">
        <v>2453</v>
      </c>
      <c r="R499" s="1690"/>
      <c r="S499" s="1690"/>
      <c r="T499" s="1690"/>
      <c r="U499" s="1690"/>
      <c r="V499" s="1690"/>
      <c r="W499" s="1690"/>
      <c r="X499" s="1690"/>
      <c r="Y499" s="1690"/>
      <c r="Z499" s="1690"/>
      <c r="AA499" s="1690"/>
      <c r="AB499" s="1690"/>
      <c r="AC499" s="1690"/>
      <c r="AD499" s="1690"/>
      <c r="AE499" s="1690"/>
      <c r="AF499" s="1690"/>
      <c r="AG499" s="1690"/>
      <c r="AH499" s="1690"/>
      <c r="AI499" s="1690"/>
      <c r="AJ499" s="1690"/>
      <c r="AK499" s="17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95" t="s">
        <v>2449</v>
      </c>
      <c r="R500" s="1690"/>
      <c r="S500" s="1690"/>
      <c r="T500" s="1690"/>
      <c r="U500" s="1690"/>
      <c r="V500" s="1690"/>
      <c r="W500" s="1690"/>
      <c r="X500" s="1690"/>
      <c r="Y500" s="1690"/>
      <c r="Z500" s="1690"/>
      <c r="AA500" s="1690"/>
      <c r="AB500" s="1690"/>
      <c r="AC500" s="1690"/>
      <c r="AD500" s="1690"/>
      <c r="AE500" s="1690"/>
      <c r="AF500" s="1690"/>
      <c r="AG500" s="1690"/>
      <c r="AH500" s="1690"/>
      <c r="AI500" s="1690"/>
      <c r="AJ500" s="1690"/>
      <c r="AK500" s="17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20">
        <v>67</v>
      </c>
      <c r="R501" s="1690"/>
      <c r="S501" s="1690"/>
      <c r="T501" s="1690"/>
      <c r="U501" s="1690"/>
      <c r="V501" s="1690"/>
      <c r="W501" s="1690"/>
      <c r="X501" s="1690"/>
      <c r="Y501" s="1690"/>
      <c r="Z501" s="1690"/>
      <c r="AA501" s="1690"/>
      <c r="AB501" s="1690"/>
      <c r="AC501" s="1690"/>
      <c r="AD501" s="1690"/>
      <c r="AE501" s="1690"/>
      <c r="AF501" s="1690"/>
      <c r="AG501" s="1690"/>
      <c r="AH501" s="1690"/>
      <c r="AI501" s="1690"/>
      <c r="AJ501" s="1690"/>
      <c r="AK501" s="172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63">
        <v>67</v>
      </c>
      <c r="N502" s="1689"/>
      <c r="O502" s="1689"/>
      <c r="P502" s="1964"/>
      <c r="Q502" s="1421" t="s">
        <v>2275</v>
      </c>
      <c r="R502" s="1422"/>
      <c r="S502" s="1422"/>
      <c r="T502" s="1422"/>
      <c r="U502" s="1422"/>
      <c r="V502" s="1422"/>
      <c r="W502" s="1422"/>
      <c r="X502" s="1422"/>
      <c r="Y502" s="1422"/>
      <c r="Z502" s="1422"/>
      <c r="AA502" s="1422"/>
      <c r="AB502" s="1422"/>
      <c r="AC502" s="1422"/>
      <c r="AD502" s="1422"/>
      <c r="AE502" s="1422"/>
      <c r="AF502" s="1422"/>
      <c r="AG502" s="1422"/>
      <c r="AH502" s="1963"/>
      <c r="AI502" s="1689"/>
      <c r="AJ502" s="1689"/>
      <c r="AK502" s="196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6" t="s">
        <v>274</v>
      </c>
      <c r="AD506" s="1997"/>
      <c r="AE506" s="1997"/>
      <c r="AF506" s="1997"/>
      <c r="AG506" s="1997"/>
      <c r="AH506" s="1997"/>
      <c r="AI506" s="1997"/>
      <c r="AJ506" s="1997"/>
      <c r="AK506" s="199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1" t="s">
        <v>275</v>
      </c>
      <c r="AD507" s="2012"/>
      <c r="AE507" s="2012"/>
      <c r="AF507" s="2012"/>
      <c r="AG507" s="96" t="s">
        <v>276</v>
      </c>
      <c r="AH507" s="2012" t="s">
        <v>277</v>
      </c>
      <c r="AI507" s="2012"/>
      <c r="AJ507" s="2012"/>
      <c r="AK507" s="201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09" t="s">
        <v>278</v>
      </c>
      <c r="C508" s="1810"/>
      <c r="D508" s="1810"/>
      <c r="E508" s="1810"/>
      <c r="F508" s="1810"/>
      <c r="G508" s="1810"/>
      <c r="H508" s="1811"/>
      <c r="I508" s="86" t="s">
        <v>737</v>
      </c>
      <c r="J508" s="86"/>
      <c r="K508" s="86"/>
      <c r="L508" s="86"/>
      <c r="M508" s="86"/>
      <c r="N508" s="86"/>
      <c r="O508" s="86"/>
      <c r="P508" s="86"/>
      <c r="Q508" s="86"/>
      <c r="R508" s="86"/>
      <c r="S508" s="86"/>
      <c r="T508" s="86"/>
      <c r="U508" s="86"/>
      <c r="V508" s="86"/>
      <c r="W508" s="86"/>
      <c r="X508" s="35"/>
      <c r="Y508" s="35"/>
      <c r="AC508" s="1971">
        <v>7</v>
      </c>
      <c r="AD508" s="1838"/>
      <c r="AE508" s="1838"/>
      <c r="AF508" s="1838"/>
      <c r="AG508" s="89" t="s">
        <v>276</v>
      </c>
      <c r="AH508" s="1723">
        <v>2019</v>
      </c>
      <c r="AI508" s="1723"/>
      <c r="AJ508" s="1723"/>
      <c r="AK508" s="17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2"/>
      <c r="C509" s="1813"/>
      <c r="D509" s="1813"/>
      <c r="E509" s="1813"/>
      <c r="F509" s="1813"/>
      <c r="G509" s="1813"/>
      <c r="H509" s="1814"/>
      <c r="I509" s="94" t="s">
        <v>738</v>
      </c>
      <c r="J509" s="94"/>
      <c r="K509" s="94"/>
      <c r="L509" s="94"/>
      <c r="M509" s="94"/>
      <c r="N509" s="94"/>
      <c r="O509" s="94"/>
      <c r="P509" s="94"/>
      <c r="Q509" s="94"/>
      <c r="R509" s="94"/>
      <c r="S509" s="94"/>
      <c r="T509" s="94"/>
      <c r="U509" s="94"/>
      <c r="V509" s="94"/>
      <c r="W509" s="94"/>
      <c r="X509" s="94"/>
      <c r="Y509" s="94"/>
      <c r="Z509" s="94"/>
      <c r="AA509" s="94"/>
      <c r="AB509" s="94"/>
      <c r="AC509" s="1971">
        <v>1</v>
      </c>
      <c r="AD509" s="1838"/>
      <c r="AE509" s="1838"/>
      <c r="AF509" s="1838"/>
      <c r="AG509" s="79" t="s">
        <v>276</v>
      </c>
      <c r="AH509" s="1723">
        <v>2018</v>
      </c>
      <c r="AI509" s="1723"/>
      <c r="AJ509" s="1723"/>
      <c r="AK509" s="17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09" t="s">
        <v>739</v>
      </c>
      <c r="C510" s="1810"/>
      <c r="D510" s="1810"/>
      <c r="E510" s="1810"/>
      <c r="F510" s="1810"/>
      <c r="G510" s="1810"/>
      <c r="H510" s="1811"/>
      <c r="I510" s="86" t="s">
        <v>740</v>
      </c>
      <c r="J510" s="86"/>
      <c r="K510" s="86"/>
      <c r="L510" s="86"/>
      <c r="M510" s="86"/>
      <c r="N510" s="86"/>
      <c r="O510" s="86"/>
      <c r="P510" s="86"/>
      <c r="Q510" s="86"/>
      <c r="R510" s="86"/>
      <c r="S510" s="86"/>
      <c r="T510" s="86"/>
      <c r="U510" s="86"/>
      <c r="V510" s="86"/>
      <c r="W510" s="86"/>
      <c r="X510" s="35"/>
      <c r="Y510" s="35"/>
      <c r="AC510" s="1971" t="s">
        <v>136</v>
      </c>
      <c r="AD510" s="1838"/>
      <c r="AE510" s="1838"/>
      <c r="AF510" s="1838"/>
      <c r="AG510" s="89" t="s">
        <v>276</v>
      </c>
      <c r="AH510" s="1723"/>
      <c r="AI510" s="1723"/>
      <c r="AJ510" s="1723"/>
      <c r="AK510" s="17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2"/>
      <c r="C511" s="1813"/>
      <c r="D511" s="1813"/>
      <c r="E511" s="1813"/>
      <c r="F511" s="1813"/>
      <c r="G511" s="1813"/>
      <c r="H511" s="1814"/>
      <c r="I511" s="35" t="s">
        <v>741</v>
      </c>
      <c r="J511" s="35"/>
      <c r="K511" s="35"/>
      <c r="L511" s="35"/>
      <c r="M511" s="35"/>
      <c r="N511" s="35"/>
      <c r="O511" s="35"/>
      <c r="P511" s="35"/>
      <c r="Q511" s="35"/>
      <c r="R511" s="35"/>
      <c r="S511" s="35"/>
      <c r="T511" s="35"/>
      <c r="U511" s="35"/>
      <c r="V511" s="35"/>
      <c r="W511" s="35"/>
      <c r="X511" s="35"/>
      <c r="Y511" s="35"/>
      <c r="AC511" s="1971" t="s">
        <v>136</v>
      </c>
      <c r="AD511" s="1838"/>
      <c r="AE511" s="1838"/>
      <c r="AF511" s="1838"/>
      <c r="AG511" s="89" t="s">
        <v>276</v>
      </c>
      <c r="AH511" s="1723"/>
      <c r="AI511" s="1723"/>
      <c r="AJ511" s="1723"/>
      <c r="AK511" s="17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2"/>
      <c r="C512" s="1813"/>
      <c r="D512" s="1813"/>
      <c r="E512" s="1813"/>
      <c r="F512" s="1813"/>
      <c r="G512" s="1813"/>
      <c r="H512" s="1814"/>
      <c r="I512" s="35" t="s">
        <v>742</v>
      </c>
      <c r="J512" s="35"/>
      <c r="K512" s="35"/>
      <c r="L512" s="35"/>
      <c r="M512" s="35"/>
      <c r="N512" s="35"/>
      <c r="O512" s="35"/>
      <c r="P512" s="35"/>
      <c r="Q512" s="35"/>
      <c r="R512" s="35"/>
      <c r="S512" s="35"/>
      <c r="T512" s="35"/>
      <c r="U512" s="35"/>
      <c r="V512" s="35"/>
      <c r="W512" s="35"/>
      <c r="X512" s="35"/>
      <c r="Y512" s="35"/>
      <c r="AC512" s="1971" t="s">
        <v>136</v>
      </c>
      <c r="AD512" s="1838"/>
      <c r="AE512" s="1838"/>
      <c r="AF512" s="1838"/>
      <c r="AG512" s="89" t="s">
        <v>276</v>
      </c>
      <c r="AH512" s="1723"/>
      <c r="AI512" s="1723"/>
      <c r="AJ512" s="1723"/>
      <c r="AK512" s="17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2"/>
      <c r="C513" s="1813"/>
      <c r="D513" s="1813"/>
      <c r="E513" s="1813"/>
      <c r="F513" s="1813"/>
      <c r="G513" s="1813"/>
      <c r="H513" s="1814"/>
      <c r="I513" s="35" t="s">
        <v>743</v>
      </c>
      <c r="J513" s="35"/>
      <c r="K513" s="35"/>
      <c r="L513" s="35"/>
      <c r="M513" s="35"/>
      <c r="N513" s="35"/>
      <c r="O513" s="35"/>
      <c r="P513" s="35"/>
      <c r="Q513" s="35"/>
      <c r="R513" s="35"/>
      <c r="S513" s="35"/>
      <c r="T513" s="35"/>
      <c r="U513" s="35"/>
      <c r="V513" s="35"/>
      <c r="W513" s="35"/>
      <c r="X513" s="35"/>
      <c r="Y513" s="35"/>
      <c r="AC513" s="1971" t="s">
        <v>136</v>
      </c>
      <c r="AD513" s="1838"/>
      <c r="AE513" s="1838"/>
      <c r="AF513" s="1838"/>
      <c r="AG513" s="89" t="s">
        <v>276</v>
      </c>
      <c r="AH513" s="1723"/>
      <c r="AI513" s="1723"/>
      <c r="AJ513" s="1723"/>
      <c r="AK513" s="17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2"/>
      <c r="C514" s="1813"/>
      <c r="D514" s="1813"/>
      <c r="E514" s="1813"/>
      <c r="F514" s="1813"/>
      <c r="G514" s="1813"/>
      <c r="H514" s="1814"/>
      <c r="I514" s="326" t="s">
        <v>744</v>
      </c>
      <c r="J514" s="35"/>
      <c r="K514" s="35"/>
      <c r="L514" s="35"/>
      <c r="M514" s="35"/>
      <c r="N514" s="35"/>
      <c r="O514" s="35"/>
      <c r="P514" s="35"/>
      <c r="Q514" s="35"/>
      <c r="R514" s="35"/>
      <c r="S514" s="35"/>
      <c r="T514" s="35"/>
      <c r="U514" s="35"/>
      <c r="V514" s="35"/>
      <c r="W514" s="35"/>
      <c r="X514" s="35"/>
      <c r="Y514" s="35"/>
      <c r="AC514" s="1768">
        <v>1</v>
      </c>
      <c r="AD514" s="1769"/>
      <c r="AE514" s="1769"/>
      <c r="AF514" s="1769"/>
      <c r="AG514" s="1387" t="s">
        <v>276</v>
      </c>
      <c r="AH514" s="1723">
        <v>2022</v>
      </c>
      <c r="AI514" s="1723"/>
      <c r="AJ514" s="1723"/>
      <c r="AK514" s="17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2"/>
      <c r="C515" s="1813"/>
      <c r="D515" s="1813"/>
      <c r="E515" s="1813"/>
      <c r="F515" s="1813"/>
      <c r="G515" s="1813"/>
      <c r="H515" s="1814"/>
      <c r="I515" s="646" t="s">
        <v>311</v>
      </c>
      <c r="J515" s="94"/>
      <c r="K515" s="94"/>
      <c r="L515" s="2110" t="s">
        <v>622</v>
      </c>
      <c r="M515" s="2111"/>
      <c r="N515" s="2111"/>
      <c r="O515" s="2111"/>
      <c r="P515" s="2111"/>
      <c r="Q515" s="2111"/>
      <c r="R515" s="2111"/>
      <c r="S515" s="2111"/>
      <c r="T515" s="2111"/>
      <c r="U515" s="2111"/>
      <c r="V515" s="2111"/>
      <c r="W515" s="2111"/>
      <c r="X515" s="2111"/>
      <c r="Y515" s="2111"/>
      <c r="Z515" s="2111"/>
      <c r="AA515" s="2111"/>
      <c r="AB515" s="2112"/>
      <c r="AC515" s="1971" t="s">
        <v>136</v>
      </c>
      <c r="AD515" s="1838"/>
      <c r="AE515" s="1838"/>
      <c r="AF515" s="1838"/>
      <c r="AG515" s="1383" t="s">
        <v>276</v>
      </c>
      <c r="AH515" s="1723"/>
      <c r="AI515" s="1723"/>
      <c r="AJ515" s="1723"/>
      <c r="AK515" s="17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2"/>
      <c r="C516" s="1813"/>
      <c r="D516" s="1813"/>
      <c r="E516" s="1813"/>
      <c r="F516" s="1813"/>
      <c r="G516" s="1813"/>
      <c r="H516" s="1814"/>
      <c r="I516" s="1098" t="s">
        <v>2276</v>
      </c>
      <c r="J516" s="35"/>
      <c r="K516" s="35"/>
      <c r="L516" s="35"/>
      <c r="M516" s="35"/>
      <c r="N516" s="35"/>
      <c r="O516" s="35"/>
      <c r="P516" s="35"/>
      <c r="Q516" s="35"/>
      <c r="R516" s="35"/>
      <c r="S516" s="35"/>
      <c r="T516" s="35"/>
      <c r="U516" s="35"/>
      <c r="V516" s="35"/>
      <c r="W516" s="35"/>
      <c r="X516" s="35"/>
      <c r="Y516" s="35"/>
      <c r="AC516" s="2026" t="s">
        <v>2267</v>
      </c>
      <c r="AD516" s="2026"/>
      <c r="AE516" s="2026"/>
      <c r="AF516" s="2026"/>
      <c r="AG516" s="1387"/>
      <c r="AH516" s="2097"/>
      <c r="AI516" s="2097"/>
      <c r="AJ516" s="2097"/>
      <c r="AK516" s="209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2"/>
      <c r="C517" s="1813"/>
      <c r="D517" s="1813"/>
      <c r="E517" s="1813"/>
      <c r="F517" s="1813"/>
      <c r="G517" s="1813"/>
      <c r="H517" s="1814"/>
      <c r="I517" s="645" t="s">
        <v>2277</v>
      </c>
      <c r="J517" s="35"/>
      <c r="K517" s="35"/>
      <c r="L517" s="35"/>
      <c r="M517" s="35"/>
      <c r="N517" s="35"/>
      <c r="O517" s="35"/>
      <c r="P517" s="35"/>
      <c r="Q517" s="35"/>
      <c r="R517" s="35"/>
      <c r="S517" s="35"/>
      <c r="T517" s="35"/>
      <c r="U517" s="35"/>
      <c r="V517" s="35"/>
      <c r="W517" s="35"/>
      <c r="X517" s="35"/>
      <c r="Y517" s="35"/>
      <c r="AC517" s="1768"/>
      <c r="AD517" s="1769"/>
      <c r="AE517" s="1769"/>
      <c r="AF517" s="1770"/>
      <c r="AG517" s="1387"/>
      <c r="AH517" s="2097"/>
      <c r="AI517" s="2097"/>
      <c r="AJ517" s="2097"/>
      <c r="AK517" s="209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2"/>
      <c r="C518" s="1813"/>
      <c r="D518" s="1813"/>
      <c r="E518" s="1813"/>
      <c r="F518" s="1813"/>
      <c r="G518" s="1813"/>
      <c r="H518" s="1814"/>
      <c r="I518" s="645" t="s">
        <v>2278</v>
      </c>
      <c r="J518" s="35"/>
      <c r="K518" s="35"/>
      <c r="L518" s="35"/>
      <c r="M518" s="35"/>
      <c r="N518" s="35"/>
      <c r="O518" s="35"/>
      <c r="P518" s="35"/>
      <c r="Q518" s="35"/>
      <c r="R518" s="35"/>
      <c r="S518" s="35"/>
      <c r="T518" s="35"/>
      <c r="U518" s="35"/>
      <c r="V518" s="35"/>
      <c r="W518" s="35"/>
      <c r="X518" s="35"/>
      <c r="Y518" s="35"/>
      <c r="AC518" s="1423"/>
      <c r="AD518" s="1424"/>
      <c r="AE518" s="1424"/>
      <c r="AF518" s="1425"/>
      <c r="AG518" s="1386"/>
      <c r="AH518" s="1389"/>
      <c r="AI518" s="1389"/>
      <c r="AJ518" s="1389"/>
      <c r="AK518" s="142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2"/>
      <c r="C519" s="1813"/>
      <c r="D519" s="1813"/>
      <c r="E519" s="1813"/>
      <c r="F519" s="1813"/>
      <c r="G519" s="1813"/>
      <c r="H519" s="1814"/>
      <c r="I519" s="1427" t="s">
        <v>2279</v>
      </c>
      <c r="J519" s="94"/>
      <c r="K519" s="94"/>
      <c r="L519" s="94"/>
      <c r="M519" s="94"/>
      <c r="N519" s="94"/>
      <c r="O519" s="94"/>
      <c r="P519" s="94"/>
      <c r="Q519" s="94"/>
      <c r="R519" s="94"/>
      <c r="S519" s="94"/>
      <c r="T519" s="94"/>
      <c r="U519" s="94"/>
      <c r="V519" s="94"/>
      <c r="W519" s="94"/>
      <c r="X519" s="94"/>
      <c r="Y519" s="94"/>
      <c r="Z519" s="94"/>
      <c r="AA519" s="94"/>
      <c r="AB519" s="94"/>
      <c r="AC519" s="2105"/>
      <c r="AD519" s="2106"/>
      <c r="AE519" s="2106"/>
      <c r="AF519" s="2107"/>
      <c r="AG519" s="1383"/>
      <c r="AH519" s="2014"/>
      <c r="AI519" s="2014"/>
      <c r="AJ519" s="2014"/>
      <c r="AK519" s="20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09" t="s">
        <v>745</v>
      </c>
      <c r="C520" s="1810"/>
      <c r="D520" s="1810"/>
      <c r="E520" s="1810"/>
      <c r="F520" s="1810"/>
      <c r="G520" s="1810"/>
      <c r="H520" s="1811"/>
      <c r="I520" s="86" t="s">
        <v>746</v>
      </c>
      <c r="J520" s="86"/>
      <c r="K520" s="86"/>
      <c r="L520" s="86"/>
      <c r="M520" s="86"/>
      <c r="N520" s="86"/>
      <c r="O520" s="86"/>
      <c r="P520" s="86"/>
      <c r="Q520" s="86"/>
      <c r="R520" s="86"/>
      <c r="S520" s="86"/>
      <c r="T520" s="86"/>
      <c r="U520" s="86"/>
      <c r="V520" s="86"/>
      <c r="W520" s="86"/>
      <c r="X520" s="35"/>
      <c r="Y520" s="35"/>
      <c r="AC520" s="1971">
        <v>6</v>
      </c>
      <c r="AD520" s="1838"/>
      <c r="AE520" s="1838"/>
      <c r="AF520" s="1838"/>
      <c r="AG520" s="89" t="s">
        <v>276</v>
      </c>
      <c r="AH520" s="1723">
        <v>2021</v>
      </c>
      <c r="AI520" s="1723"/>
      <c r="AJ520" s="1723"/>
      <c r="AK520" s="17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2"/>
      <c r="C521" s="1813"/>
      <c r="D521" s="1813"/>
      <c r="E521" s="1813"/>
      <c r="F521" s="1813"/>
      <c r="G521" s="1813"/>
      <c r="H521" s="1814"/>
      <c r="I521" s="35" t="s">
        <v>747</v>
      </c>
      <c r="J521" s="35"/>
      <c r="K521" s="35"/>
      <c r="L521" s="35"/>
      <c r="M521" s="35"/>
      <c r="N521" s="35"/>
      <c r="O521" s="35"/>
      <c r="P521" s="35"/>
      <c r="Q521" s="35"/>
      <c r="R521" s="35"/>
      <c r="S521" s="35"/>
      <c r="T521" s="35"/>
      <c r="U521" s="35"/>
      <c r="V521" s="35"/>
      <c r="W521" s="35"/>
      <c r="X521" s="35"/>
      <c r="Y521" s="35"/>
      <c r="AC521" s="1971">
        <v>6</v>
      </c>
      <c r="AD521" s="1838"/>
      <c r="AE521" s="1838"/>
      <c r="AF521" s="1838"/>
      <c r="AG521" s="89" t="s">
        <v>276</v>
      </c>
      <c r="AH521" s="1723">
        <v>2021</v>
      </c>
      <c r="AI521" s="1723"/>
      <c r="AJ521" s="1723"/>
      <c r="AK521" s="17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2"/>
      <c r="C522" s="1813"/>
      <c r="D522" s="1813"/>
      <c r="E522" s="1813"/>
      <c r="F522" s="1813"/>
      <c r="G522" s="1813"/>
      <c r="H522" s="1814"/>
      <c r="I522" s="94" t="s">
        <v>748</v>
      </c>
      <c r="J522" s="94"/>
      <c r="K522" s="94"/>
      <c r="L522" s="94"/>
      <c r="M522" s="94"/>
      <c r="N522" s="94"/>
      <c r="O522" s="94"/>
      <c r="P522" s="94"/>
      <c r="Q522" s="94"/>
      <c r="R522" s="94"/>
      <c r="S522" s="94"/>
      <c r="T522" s="94"/>
      <c r="U522" s="94"/>
      <c r="V522" s="94"/>
      <c r="W522" s="94"/>
      <c r="X522" s="94"/>
      <c r="Y522" s="94"/>
      <c r="Z522" s="94"/>
      <c r="AA522" s="94"/>
      <c r="AB522" s="94"/>
      <c r="AC522" s="1971">
        <v>2</v>
      </c>
      <c r="AD522" s="1838"/>
      <c r="AE522" s="1838"/>
      <c r="AF522" s="1838"/>
      <c r="AG522" s="79" t="s">
        <v>276</v>
      </c>
      <c r="AH522" s="1723">
        <v>2022</v>
      </c>
      <c r="AI522" s="1723"/>
      <c r="AJ522" s="1723"/>
      <c r="AK522" s="17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09" t="s">
        <v>749</v>
      </c>
      <c r="C523" s="1810"/>
      <c r="D523" s="1810"/>
      <c r="E523" s="1810"/>
      <c r="F523" s="1810"/>
      <c r="G523" s="1810"/>
      <c r="H523" s="1811"/>
      <c r="I523" s="86" t="s">
        <v>746</v>
      </c>
      <c r="J523" s="86"/>
      <c r="K523" s="86"/>
      <c r="L523" s="86"/>
      <c r="M523" s="86"/>
      <c r="N523" s="86"/>
      <c r="O523" s="86"/>
      <c r="P523" s="86"/>
      <c r="Q523" s="86"/>
      <c r="R523" s="86"/>
      <c r="S523" s="86"/>
      <c r="T523" s="86"/>
      <c r="U523" s="86"/>
      <c r="V523" s="86"/>
      <c r="W523" s="86"/>
      <c r="X523" s="86"/>
      <c r="Y523" s="86"/>
      <c r="Z523" s="86"/>
      <c r="AA523" s="86"/>
      <c r="AB523" s="86"/>
      <c r="AC523" s="1768">
        <v>6</v>
      </c>
      <c r="AD523" s="1769"/>
      <c r="AE523" s="1769"/>
      <c r="AF523" s="1769"/>
      <c r="AG523" s="360" t="s">
        <v>276</v>
      </c>
      <c r="AH523" s="1723">
        <v>2021</v>
      </c>
      <c r="AI523" s="1723"/>
      <c r="AJ523" s="1723"/>
      <c r="AK523" s="17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2"/>
      <c r="C524" s="1813"/>
      <c r="D524" s="1813"/>
      <c r="E524" s="1813"/>
      <c r="F524" s="1813"/>
      <c r="G524" s="1813"/>
      <c r="H524" s="1814"/>
      <c r="I524" s="35" t="s">
        <v>747</v>
      </c>
      <c r="J524" s="35"/>
      <c r="K524" s="35"/>
      <c r="L524" s="35"/>
      <c r="M524" s="35"/>
      <c r="N524" s="35"/>
      <c r="O524" s="35"/>
      <c r="P524" s="35"/>
      <c r="Q524" s="35"/>
      <c r="R524" s="35"/>
      <c r="S524" s="35"/>
      <c r="T524" s="35"/>
      <c r="U524" s="35"/>
      <c r="V524" s="35"/>
      <c r="W524" s="35"/>
      <c r="X524" s="35"/>
      <c r="Y524" s="35"/>
      <c r="Z524" s="35"/>
      <c r="AA524" s="35"/>
      <c r="AB524" s="35"/>
      <c r="AC524" s="1971">
        <v>6</v>
      </c>
      <c r="AD524" s="1838"/>
      <c r="AE524" s="1838"/>
      <c r="AF524" s="1838"/>
      <c r="AG524" s="89" t="s">
        <v>276</v>
      </c>
      <c r="AH524" s="1723">
        <v>2021</v>
      </c>
      <c r="AI524" s="1723"/>
      <c r="AJ524" s="1723"/>
      <c r="AK524" s="17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5"/>
      <c r="C525" s="1816"/>
      <c r="D525" s="1816"/>
      <c r="E525" s="1816"/>
      <c r="F525" s="1816"/>
      <c r="G525" s="1816"/>
      <c r="H525" s="1817"/>
      <c r="I525" s="94" t="s">
        <v>748</v>
      </c>
      <c r="J525" s="94"/>
      <c r="K525" s="94"/>
      <c r="L525" s="94"/>
      <c r="M525" s="94"/>
      <c r="N525" s="94"/>
      <c r="O525" s="94"/>
      <c r="P525" s="94"/>
      <c r="Q525" s="94"/>
      <c r="R525" s="94"/>
      <c r="S525" s="94"/>
      <c r="T525" s="94"/>
      <c r="U525" s="94"/>
      <c r="V525" s="94"/>
      <c r="W525" s="94"/>
      <c r="X525" s="94"/>
      <c r="Y525" s="94"/>
      <c r="Z525" s="94"/>
      <c r="AA525" s="94"/>
      <c r="AB525" s="94"/>
      <c r="AC525" s="1971">
        <v>8</v>
      </c>
      <c r="AD525" s="1838"/>
      <c r="AE525" s="1838"/>
      <c r="AF525" s="1838"/>
      <c r="AG525" s="79" t="s">
        <v>276</v>
      </c>
      <c r="AH525" s="1723">
        <v>2023</v>
      </c>
      <c r="AI525" s="1723"/>
      <c r="AJ525" s="1723"/>
      <c r="AK525" s="17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09" t="s">
        <v>750</v>
      </c>
      <c r="C526" s="1810"/>
      <c r="D526" s="1810"/>
      <c r="E526" s="1810"/>
      <c r="F526" s="1810"/>
      <c r="G526" s="1810"/>
      <c r="H526" s="1811"/>
      <c r="I526" s="85" t="s">
        <v>751</v>
      </c>
      <c r="J526" s="86"/>
      <c r="K526" s="86"/>
      <c r="L526" s="86"/>
      <c r="M526" s="86"/>
      <c r="N526" s="86"/>
      <c r="O526" s="1692" t="s">
        <v>2454</v>
      </c>
      <c r="P526" s="1690"/>
      <c r="Q526" s="1690"/>
      <c r="R526" s="1690"/>
      <c r="S526" s="1690"/>
      <c r="T526" s="1690"/>
      <c r="U526" s="1690"/>
      <c r="V526" s="1690"/>
      <c r="W526" s="1690"/>
      <c r="X526" s="1690"/>
      <c r="Y526" s="1690"/>
      <c r="Z526" s="1690"/>
      <c r="AA526" s="1690"/>
      <c r="AB526" s="108"/>
      <c r="AC526" s="1768" t="s">
        <v>136</v>
      </c>
      <c r="AD526" s="1769"/>
      <c r="AE526" s="1769"/>
      <c r="AF526" s="1769"/>
      <c r="AG526" s="360" t="s">
        <v>276</v>
      </c>
      <c r="AH526" s="1723"/>
      <c r="AI526" s="1723"/>
      <c r="AJ526" s="1723"/>
      <c r="AK526" s="17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2"/>
      <c r="C527" s="1813"/>
      <c r="D527" s="1813"/>
      <c r="E527" s="1813"/>
      <c r="F527" s="1813"/>
      <c r="G527" s="1813"/>
      <c r="H527" s="1814"/>
      <c r="I527" s="317" t="s">
        <v>752</v>
      </c>
      <c r="J527" s="35"/>
      <c r="K527" s="35"/>
      <c r="L527" s="35"/>
      <c r="M527" s="35"/>
      <c r="N527" s="35"/>
      <c r="O527" s="35"/>
      <c r="P527" s="35"/>
      <c r="Q527" s="35"/>
      <c r="R527" s="35"/>
      <c r="S527" s="35"/>
      <c r="T527" s="35"/>
      <c r="U527" s="35"/>
      <c r="V527" s="35"/>
      <c r="W527" s="35"/>
      <c r="X527" s="35"/>
      <c r="Y527" s="35"/>
      <c r="Z527" s="35"/>
      <c r="AA527" s="35"/>
      <c r="AB527" s="115"/>
      <c r="AC527" s="1971">
        <v>12</v>
      </c>
      <c r="AD527" s="1838"/>
      <c r="AE527" s="1838"/>
      <c r="AF527" s="1838"/>
      <c r="AG527" s="89" t="s">
        <v>276</v>
      </c>
      <c r="AH527" s="1723">
        <v>2018</v>
      </c>
      <c r="AI527" s="1723"/>
      <c r="AJ527" s="1723"/>
      <c r="AK527" s="17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2"/>
      <c r="C528" s="1813"/>
      <c r="D528" s="1813"/>
      <c r="E528" s="1813"/>
      <c r="F528" s="1813"/>
      <c r="G528" s="1813"/>
      <c r="H528" s="1814"/>
      <c r="I528" s="93" t="s">
        <v>753</v>
      </c>
      <c r="J528" s="94"/>
      <c r="K528" s="94"/>
      <c r="L528" s="94"/>
      <c r="M528" s="94"/>
      <c r="N528" s="94"/>
      <c r="O528" s="94"/>
      <c r="P528" s="94"/>
      <c r="Q528" s="94"/>
      <c r="R528" s="94"/>
      <c r="S528" s="94"/>
      <c r="T528" s="94"/>
      <c r="U528" s="94"/>
      <c r="V528" s="94"/>
      <c r="W528" s="94"/>
      <c r="X528" s="94"/>
      <c r="Y528" s="94"/>
      <c r="Z528" s="94"/>
      <c r="AA528" s="94"/>
      <c r="AB528" s="95"/>
      <c r="AC528" s="1971">
        <v>4</v>
      </c>
      <c r="AD528" s="1838"/>
      <c r="AE528" s="1838"/>
      <c r="AF528" s="1838"/>
      <c r="AG528" s="79" t="s">
        <v>276</v>
      </c>
      <c r="AH528" s="1723">
        <v>2019</v>
      </c>
      <c r="AI528" s="1723"/>
      <c r="AJ528" s="1723"/>
      <c r="AK528" s="17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2"/>
      <c r="C529" s="1813"/>
      <c r="D529" s="1813"/>
      <c r="E529" s="1813"/>
      <c r="F529" s="1813"/>
      <c r="G529" s="1813"/>
      <c r="H529" s="1814"/>
      <c r="I529" s="86" t="s">
        <v>754</v>
      </c>
      <c r="J529" s="86"/>
      <c r="K529" s="86"/>
      <c r="L529" s="86"/>
      <c r="M529" s="86"/>
      <c r="N529" s="86"/>
      <c r="O529" s="1694" t="s">
        <v>2455</v>
      </c>
      <c r="P529" s="1691"/>
      <c r="Q529" s="1691"/>
      <c r="R529" s="1691"/>
      <c r="S529" s="1691"/>
      <c r="T529" s="1691"/>
      <c r="U529" s="1691"/>
      <c r="V529" s="1691"/>
      <c r="W529" s="1691"/>
      <c r="X529" s="1691"/>
      <c r="Y529" s="1691"/>
      <c r="Z529" s="1691"/>
      <c r="AA529" s="1691"/>
      <c r="AC529" s="1971" t="s">
        <v>136</v>
      </c>
      <c r="AD529" s="1838"/>
      <c r="AE529" s="1838"/>
      <c r="AF529" s="1838"/>
      <c r="AG529" s="89" t="s">
        <v>276</v>
      </c>
      <c r="AH529" s="1723"/>
      <c r="AI529" s="1723"/>
      <c r="AJ529" s="1723"/>
      <c r="AK529" s="17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2"/>
      <c r="C530" s="1813"/>
      <c r="D530" s="1813"/>
      <c r="E530" s="1813"/>
      <c r="F530" s="1813"/>
      <c r="G530" s="1813"/>
      <c r="H530" s="1814"/>
      <c r="I530" s="35" t="s">
        <v>752</v>
      </c>
      <c r="J530" s="35"/>
      <c r="K530" s="35"/>
      <c r="L530" s="35"/>
      <c r="M530" s="35"/>
      <c r="N530" s="35"/>
      <c r="O530" s="35"/>
      <c r="P530" s="35"/>
      <c r="Q530" s="35"/>
      <c r="R530" s="35"/>
      <c r="S530" s="35"/>
      <c r="T530" s="35"/>
      <c r="U530" s="35"/>
      <c r="V530" s="35"/>
      <c r="W530" s="35"/>
      <c r="X530" s="35"/>
      <c r="Y530" s="35"/>
      <c r="AC530" s="1971">
        <v>3</v>
      </c>
      <c r="AD530" s="1838"/>
      <c r="AE530" s="1838"/>
      <c r="AF530" s="1838"/>
      <c r="AG530" s="89" t="s">
        <v>276</v>
      </c>
      <c r="AH530" s="1723">
        <v>2020</v>
      </c>
      <c r="AI530" s="1723"/>
      <c r="AJ530" s="1723"/>
      <c r="AK530" s="17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2"/>
      <c r="C531" s="1813"/>
      <c r="D531" s="1813"/>
      <c r="E531" s="1813"/>
      <c r="F531" s="1813"/>
      <c r="G531" s="1813"/>
      <c r="H531" s="1814"/>
      <c r="I531" s="94" t="s">
        <v>753</v>
      </c>
      <c r="J531" s="94"/>
      <c r="K531" s="94"/>
      <c r="L531" s="94"/>
      <c r="M531" s="94"/>
      <c r="N531" s="94"/>
      <c r="O531" s="94"/>
      <c r="P531" s="94"/>
      <c r="Q531" s="94"/>
      <c r="R531" s="94"/>
      <c r="S531" s="94"/>
      <c r="T531" s="94"/>
      <c r="U531" s="94"/>
      <c r="V531" s="94"/>
      <c r="W531" s="94"/>
      <c r="X531" s="94"/>
      <c r="Y531" s="94"/>
      <c r="Z531" s="94"/>
      <c r="AA531" s="94"/>
      <c r="AB531" s="94"/>
      <c r="AC531" s="1971">
        <v>6</v>
      </c>
      <c r="AD531" s="1838"/>
      <c r="AE531" s="1838"/>
      <c r="AF531" s="1838"/>
      <c r="AG531" s="79" t="s">
        <v>276</v>
      </c>
      <c r="AH531" s="1723">
        <v>2020</v>
      </c>
      <c r="AI531" s="1723"/>
      <c r="AJ531" s="1723"/>
      <c r="AK531" s="17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2"/>
      <c r="C532" s="1813"/>
      <c r="D532" s="1813"/>
      <c r="E532" s="1813"/>
      <c r="F532" s="1813"/>
      <c r="G532" s="1813"/>
      <c r="H532" s="1814"/>
      <c r="I532" s="86" t="s">
        <v>754</v>
      </c>
      <c r="J532" s="86"/>
      <c r="K532" s="86"/>
      <c r="L532" s="86"/>
      <c r="M532" s="86"/>
      <c r="N532" s="86"/>
      <c r="O532" s="1691" t="s">
        <v>622</v>
      </c>
      <c r="P532" s="1691"/>
      <c r="Q532" s="1691"/>
      <c r="R532" s="1691"/>
      <c r="S532" s="1691"/>
      <c r="T532" s="1691"/>
      <c r="U532" s="1691"/>
      <c r="V532" s="1691"/>
      <c r="W532" s="1691"/>
      <c r="X532" s="1691"/>
      <c r="Y532" s="1691"/>
      <c r="Z532" s="1691"/>
      <c r="AA532" s="1691"/>
      <c r="AC532" s="1971" t="s">
        <v>136</v>
      </c>
      <c r="AD532" s="1838"/>
      <c r="AE532" s="1838"/>
      <c r="AF532" s="1838"/>
      <c r="AG532" s="89" t="s">
        <v>276</v>
      </c>
      <c r="AH532" s="1723"/>
      <c r="AI532" s="1723"/>
      <c r="AJ532" s="1723"/>
      <c r="AK532" s="17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2"/>
      <c r="C533" s="1813"/>
      <c r="D533" s="1813"/>
      <c r="E533" s="1813"/>
      <c r="F533" s="1813"/>
      <c r="G533" s="1813"/>
      <c r="H533" s="1814"/>
      <c r="I533" s="35" t="s">
        <v>752</v>
      </c>
      <c r="J533" s="35"/>
      <c r="K533" s="35"/>
      <c r="L533" s="35"/>
      <c r="M533" s="35"/>
      <c r="N533" s="35"/>
      <c r="O533" s="35"/>
      <c r="P533" s="35"/>
      <c r="Q533" s="35"/>
      <c r="R533" s="35"/>
      <c r="S533" s="35"/>
      <c r="T533" s="35"/>
      <c r="U533" s="35"/>
      <c r="V533" s="35"/>
      <c r="W533" s="35"/>
      <c r="X533" s="35"/>
      <c r="Y533" s="35"/>
      <c r="AC533" s="1971" t="s">
        <v>136</v>
      </c>
      <c r="AD533" s="1838"/>
      <c r="AE533" s="1838"/>
      <c r="AF533" s="1838"/>
      <c r="AG533" s="89" t="s">
        <v>276</v>
      </c>
      <c r="AH533" s="1723"/>
      <c r="AI533" s="1723"/>
      <c r="AJ533" s="1723"/>
      <c r="AK533" s="17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2"/>
      <c r="C534" s="1813"/>
      <c r="D534" s="1813"/>
      <c r="E534" s="1813"/>
      <c r="F534" s="1813"/>
      <c r="G534" s="1813"/>
      <c r="H534" s="1814"/>
      <c r="I534" s="94" t="s">
        <v>753</v>
      </c>
      <c r="J534" s="94"/>
      <c r="K534" s="94"/>
      <c r="L534" s="94"/>
      <c r="M534" s="94"/>
      <c r="N534" s="94"/>
      <c r="O534" s="94"/>
      <c r="P534" s="94"/>
      <c r="Q534" s="94"/>
      <c r="R534" s="94"/>
      <c r="S534" s="94"/>
      <c r="T534" s="94"/>
      <c r="U534" s="94"/>
      <c r="V534" s="94"/>
      <c r="W534" s="94"/>
      <c r="X534" s="94"/>
      <c r="Y534" s="94"/>
      <c r="Z534" s="94"/>
      <c r="AA534" s="94"/>
      <c r="AB534" s="94"/>
      <c r="AC534" s="1971" t="s">
        <v>136</v>
      </c>
      <c r="AD534" s="1838"/>
      <c r="AE534" s="1838"/>
      <c r="AF534" s="1838"/>
      <c r="AG534" s="79" t="s">
        <v>276</v>
      </c>
      <c r="AH534" s="1723"/>
      <c r="AI534" s="1723"/>
      <c r="AJ534" s="1723"/>
      <c r="AK534" s="17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2"/>
      <c r="C535" s="1813"/>
      <c r="D535" s="1813"/>
      <c r="E535" s="1813"/>
      <c r="F535" s="1813"/>
      <c r="G535" s="1813"/>
      <c r="H535" s="1814"/>
      <c r="I535" s="86" t="s">
        <v>754</v>
      </c>
      <c r="J535" s="86"/>
      <c r="K535" s="86"/>
      <c r="L535" s="86"/>
      <c r="M535" s="86"/>
      <c r="N535" s="86"/>
      <c r="O535" s="1691" t="s">
        <v>622</v>
      </c>
      <c r="P535" s="1691"/>
      <c r="Q535" s="1691"/>
      <c r="R535" s="1691"/>
      <c r="S535" s="1691"/>
      <c r="T535" s="1691"/>
      <c r="U535" s="1691"/>
      <c r="V535" s="1691"/>
      <c r="W535" s="1691"/>
      <c r="X535" s="1691"/>
      <c r="Y535" s="1691"/>
      <c r="Z535" s="1691"/>
      <c r="AA535" s="1691"/>
      <c r="AC535" s="1971" t="s">
        <v>136</v>
      </c>
      <c r="AD535" s="1838"/>
      <c r="AE535" s="1838"/>
      <c r="AF535" s="1838"/>
      <c r="AG535" s="89" t="s">
        <v>276</v>
      </c>
      <c r="AH535" s="1723"/>
      <c r="AI535" s="1723"/>
      <c r="AJ535" s="1723"/>
      <c r="AK535" s="172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2"/>
      <c r="C536" s="1813"/>
      <c r="D536" s="1813"/>
      <c r="E536" s="1813"/>
      <c r="F536" s="1813"/>
      <c r="G536" s="1813"/>
      <c r="H536" s="1814"/>
      <c r="I536" s="35" t="s">
        <v>752</v>
      </c>
      <c r="J536" s="35"/>
      <c r="K536" s="35"/>
      <c r="L536" s="35"/>
      <c r="M536" s="35"/>
      <c r="N536" s="35"/>
      <c r="O536" s="35"/>
      <c r="P536" s="35"/>
      <c r="Q536" s="35"/>
      <c r="R536" s="35"/>
      <c r="S536" s="35"/>
      <c r="T536" s="35"/>
      <c r="U536" s="35"/>
      <c r="V536" s="35"/>
      <c r="W536" s="35"/>
      <c r="X536" s="35"/>
      <c r="Y536" s="35"/>
      <c r="AC536" s="1971" t="s">
        <v>136</v>
      </c>
      <c r="AD536" s="1838"/>
      <c r="AE536" s="1838"/>
      <c r="AF536" s="1838"/>
      <c r="AG536" s="89" t="s">
        <v>276</v>
      </c>
      <c r="AH536" s="1723"/>
      <c r="AI536" s="1723"/>
      <c r="AJ536" s="1723"/>
      <c r="AK536" s="172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2"/>
      <c r="C537" s="1813"/>
      <c r="D537" s="1813"/>
      <c r="E537" s="1813"/>
      <c r="F537" s="1813"/>
      <c r="G537" s="1813"/>
      <c r="H537" s="1814"/>
      <c r="I537" s="94" t="s">
        <v>753</v>
      </c>
      <c r="J537" s="94"/>
      <c r="K537" s="94"/>
      <c r="L537" s="94"/>
      <c r="M537" s="94"/>
      <c r="N537" s="94"/>
      <c r="O537" s="94"/>
      <c r="P537" s="94"/>
      <c r="Q537" s="94"/>
      <c r="R537" s="94"/>
      <c r="S537" s="94"/>
      <c r="T537" s="94"/>
      <c r="U537" s="94"/>
      <c r="V537" s="94"/>
      <c r="W537" s="94"/>
      <c r="X537" s="94"/>
      <c r="Y537" s="94"/>
      <c r="Z537" s="94"/>
      <c r="AA537" s="94"/>
      <c r="AB537" s="94"/>
      <c r="AC537" s="1971" t="s">
        <v>136</v>
      </c>
      <c r="AD537" s="1838"/>
      <c r="AE537" s="1838"/>
      <c r="AF537" s="1838"/>
      <c r="AG537" s="79" t="s">
        <v>276</v>
      </c>
      <c r="AH537" s="1723"/>
      <c r="AI537" s="1723"/>
      <c r="AJ537" s="1723"/>
      <c r="AK537" s="17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2"/>
      <c r="C538" s="1813"/>
      <c r="D538" s="1813"/>
      <c r="E538" s="1813"/>
      <c r="F538" s="1813"/>
      <c r="G538" s="1813"/>
      <c r="H538" s="1814"/>
      <c r="I538" s="86" t="s">
        <v>754</v>
      </c>
      <c r="J538" s="86"/>
      <c r="K538" s="86"/>
      <c r="L538" s="86"/>
      <c r="M538" s="86"/>
      <c r="N538" s="86"/>
      <c r="O538" s="1691" t="s">
        <v>622</v>
      </c>
      <c r="P538" s="1691"/>
      <c r="Q538" s="1691"/>
      <c r="R538" s="1691"/>
      <c r="S538" s="1691"/>
      <c r="T538" s="1691"/>
      <c r="U538" s="1691"/>
      <c r="V538" s="1691"/>
      <c r="W538" s="1691"/>
      <c r="X538" s="1691"/>
      <c r="Y538" s="1691"/>
      <c r="Z538" s="1691"/>
      <c r="AA538" s="1691"/>
      <c r="AC538" s="1971" t="s">
        <v>136</v>
      </c>
      <c r="AD538" s="1838"/>
      <c r="AE538" s="1838"/>
      <c r="AF538" s="1838"/>
      <c r="AG538" s="89" t="s">
        <v>276</v>
      </c>
      <c r="AH538" s="1723"/>
      <c r="AI538" s="1723"/>
      <c r="AJ538" s="1723"/>
      <c r="AK538" s="17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2"/>
      <c r="C539" s="1813"/>
      <c r="D539" s="1813"/>
      <c r="E539" s="1813"/>
      <c r="F539" s="1813"/>
      <c r="G539" s="1813"/>
      <c r="H539" s="1814"/>
      <c r="I539" s="35" t="s">
        <v>752</v>
      </c>
      <c r="J539" s="35"/>
      <c r="K539" s="35"/>
      <c r="L539" s="35"/>
      <c r="M539" s="35"/>
      <c r="N539" s="35"/>
      <c r="O539" s="35"/>
      <c r="P539" s="35"/>
      <c r="Q539" s="35"/>
      <c r="R539" s="35"/>
      <c r="S539" s="35"/>
      <c r="T539" s="35"/>
      <c r="U539" s="35"/>
      <c r="V539" s="35"/>
      <c r="W539" s="35"/>
      <c r="X539" s="35"/>
      <c r="Y539" s="35"/>
      <c r="AC539" s="1971" t="s">
        <v>136</v>
      </c>
      <c r="AD539" s="1838"/>
      <c r="AE539" s="1838"/>
      <c r="AF539" s="1838"/>
      <c r="AG539" s="79" t="s">
        <v>276</v>
      </c>
      <c r="AH539" s="1723"/>
      <c r="AI539" s="1723"/>
      <c r="AJ539" s="1723"/>
      <c r="AK539" s="172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2"/>
      <c r="C540" s="1813"/>
      <c r="D540" s="1813"/>
      <c r="E540" s="1813"/>
      <c r="F540" s="1813"/>
      <c r="G540" s="1813"/>
      <c r="H540" s="1814"/>
      <c r="I540" s="94" t="s">
        <v>753</v>
      </c>
      <c r="J540" s="94"/>
      <c r="K540" s="94"/>
      <c r="L540" s="94"/>
      <c r="M540" s="94"/>
      <c r="N540" s="94"/>
      <c r="O540" s="94"/>
      <c r="P540" s="94"/>
      <c r="Q540" s="94"/>
      <c r="R540" s="94"/>
      <c r="S540" s="94"/>
      <c r="T540" s="94"/>
      <c r="U540" s="94"/>
      <c r="V540" s="94"/>
      <c r="W540" s="94"/>
      <c r="X540" s="94"/>
      <c r="Y540" s="94"/>
      <c r="Z540" s="94"/>
      <c r="AA540" s="94"/>
      <c r="AB540" s="94"/>
      <c r="AC540" s="1971" t="s">
        <v>136</v>
      </c>
      <c r="AD540" s="1838"/>
      <c r="AE540" s="1838"/>
      <c r="AF540" s="1838"/>
      <c r="AG540" s="89" t="s">
        <v>276</v>
      </c>
      <c r="AH540" s="1723"/>
      <c r="AI540" s="1723"/>
      <c r="AJ540" s="1723"/>
      <c r="AK540" s="172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2"/>
      <c r="C541" s="1813"/>
      <c r="D541" s="1813"/>
      <c r="E541" s="1813"/>
      <c r="F541" s="1813"/>
      <c r="G541" s="1813"/>
      <c r="H541" s="1814"/>
      <c r="I541" s="86" t="s">
        <v>754</v>
      </c>
      <c r="J541" s="86"/>
      <c r="K541" s="86"/>
      <c r="L541" s="86"/>
      <c r="M541" s="86"/>
      <c r="N541" s="86"/>
      <c r="O541" s="1691" t="s">
        <v>622</v>
      </c>
      <c r="P541" s="1691"/>
      <c r="Q541" s="1691"/>
      <c r="R541" s="1691"/>
      <c r="S541" s="1691"/>
      <c r="T541" s="1691"/>
      <c r="U541" s="1691"/>
      <c r="V541" s="1691"/>
      <c r="W541" s="1691"/>
      <c r="X541" s="1691"/>
      <c r="Y541" s="1691"/>
      <c r="Z541" s="1691"/>
      <c r="AA541" s="1691"/>
      <c r="AC541" s="1971" t="s">
        <v>136</v>
      </c>
      <c r="AD541" s="1838"/>
      <c r="AE541" s="1838"/>
      <c r="AF541" s="1838"/>
      <c r="AG541" s="79" t="s">
        <v>276</v>
      </c>
      <c r="AH541" s="1723"/>
      <c r="AI541" s="1723"/>
      <c r="AJ541" s="1723"/>
      <c r="AK541" s="172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2"/>
      <c r="C542" s="1813"/>
      <c r="D542" s="1813"/>
      <c r="E542" s="1813"/>
      <c r="F542" s="1813"/>
      <c r="G542" s="1813"/>
      <c r="H542" s="1814"/>
      <c r="I542" s="35" t="s">
        <v>752</v>
      </c>
      <c r="J542" s="35"/>
      <c r="K542" s="35"/>
      <c r="L542" s="35"/>
      <c r="M542" s="35"/>
      <c r="N542" s="35"/>
      <c r="O542" s="35"/>
      <c r="P542" s="35"/>
      <c r="Q542" s="35"/>
      <c r="R542" s="35"/>
      <c r="S542" s="35"/>
      <c r="T542" s="35"/>
      <c r="U542" s="35"/>
      <c r="V542" s="35"/>
      <c r="W542" s="35"/>
      <c r="X542" s="35"/>
      <c r="Y542" s="35"/>
      <c r="AC542" s="1971" t="s">
        <v>136</v>
      </c>
      <c r="AD542" s="1838"/>
      <c r="AE542" s="1838"/>
      <c r="AF542" s="1838"/>
      <c r="AG542" s="89" t="s">
        <v>276</v>
      </c>
      <c r="AH542" s="1723"/>
      <c r="AI542" s="1723"/>
      <c r="AJ542" s="1723"/>
      <c r="AK542" s="172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2"/>
      <c r="C543" s="1813"/>
      <c r="D543" s="1813"/>
      <c r="E543" s="1813"/>
      <c r="F543" s="1813"/>
      <c r="G543" s="1813"/>
      <c r="H543" s="1814"/>
      <c r="I543" s="94" t="s">
        <v>753</v>
      </c>
      <c r="J543" s="94"/>
      <c r="K543" s="94"/>
      <c r="L543" s="94"/>
      <c r="M543" s="94"/>
      <c r="N543" s="94"/>
      <c r="O543" s="94"/>
      <c r="P543" s="94"/>
      <c r="Q543" s="94"/>
      <c r="R543" s="94"/>
      <c r="S543" s="94"/>
      <c r="T543" s="94"/>
      <c r="U543" s="94"/>
      <c r="V543" s="94"/>
      <c r="W543" s="94"/>
      <c r="X543" s="94"/>
      <c r="Y543" s="94"/>
      <c r="Z543" s="94"/>
      <c r="AA543" s="94"/>
      <c r="AB543" s="94"/>
      <c r="AC543" s="1971" t="s">
        <v>136</v>
      </c>
      <c r="AD543" s="1838"/>
      <c r="AE543" s="1838"/>
      <c r="AF543" s="1838"/>
      <c r="AG543" s="79" t="s">
        <v>276</v>
      </c>
      <c r="AH543" s="1723"/>
      <c r="AI543" s="1723"/>
      <c r="AJ543" s="1723"/>
      <c r="AK543" s="172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2"/>
      <c r="C544" s="1813"/>
      <c r="D544" s="1813"/>
      <c r="E544" s="1813"/>
      <c r="F544" s="1813"/>
      <c r="G544" s="1813"/>
      <c r="H544" s="1814"/>
      <c r="I544" s="86" t="s">
        <v>802</v>
      </c>
      <c r="J544" s="86"/>
      <c r="K544" s="86"/>
      <c r="L544" s="86"/>
      <c r="M544" s="86"/>
      <c r="N544" s="86"/>
      <c r="O544" s="86"/>
      <c r="P544" s="86"/>
      <c r="Q544" s="86"/>
      <c r="R544" s="86"/>
      <c r="S544" s="86"/>
      <c r="T544" s="86"/>
      <c r="U544" s="86"/>
      <c r="V544" s="86"/>
      <c r="W544" s="86"/>
      <c r="X544" s="35"/>
      <c r="Y544" s="35"/>
      <c r="AC544" s="1971">
        <v>3</v>
      </c>
      <c r="AD544" s="1838"/>
      <c r="AE544" s="1838"/>
      <c r="AF544" s="1838"/>
      <c r="AG544" s="79" t="s">
        <v>276</v>
      </c>
      <c r="AH544" s="1723">
        <v>2022</v>
      </c>
      <c r="AI544" s="1723"/>
      <c r="AJ544" s="1723"/>
      <c r="AK544" s="172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2"/>
      <c r="C545" s="1813"/>
      <c r="D545" s="1813"/>
      <c r="E545" s="1813"/>
      <c r="F545" s="1813"/>
      <c r="G545" s="1813"/>
      <c r="H545" s="1814"/>
      <c r="I545" s="35" t="s">
        <v>803</v>
      </c>
      <c r="J545" s="35"/>
      <c r="K545" s="35"/>
      <c r="L545" s="35"/>
      <c r="M545" s="35"/>
      <c r="N545" s="35"/>
      <c r="O545" s="35"/>
      <c r="P545" s="35"/>
      <c r="Q545" s="35"/>
      <c r="R545" s="35"/>
      <c r="S545" s="35"/>
      <c r="T545" s="35"/>
      <c r="U545" s="35"/>
      <c r="V545" s="35"/>
      <c r="W545" s="35"/>
      <c r="X545" s="35"/>
      <c r="Y545" s="35"/>
      <c r="AC545" s="1971">
        <v>2</v>
      </c>
      <c r="AD545" s="1838"/>
      <c r="AE545" s="1838"/>
      <c r="AF545" s="1838"/>
      <c r="AG545" s="89" t="s">
        <v>276</v>
      </c>
      <c r="AH545" s="1723">
        <v>2022</v>
      </c>
      <c r="AI545" s="1723"/>
      <c r="AJ545" s="1723"/>
      <c r="AK545" s="17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2"/>
      <c r="C546" s="1813"/>
      <c r="D546" s="1813"/>
      <c r="E546" s="1813"/>
      <c r="F546" s="1813"/>
      <c r="G546" s="1813"/>
      <c r="H546" s="1814"/>
      <c r="I546" s="35" t="s">
        <v>804</v>
      </c>
      <c r="J546" s="35"/>
      <c r="K546" s="35"/>
      <c r="L546" s="35"/>
      <c r="M546" s="35"/>
      <c r="N546" s="35"/>
      <c r="O546" s="35"/>
      <c r="P546" s="35"/>
      <c r="Q546" s="35"/>
      <c r="R546" s="35"/>
      <c r="S546" s="35"/>
      <c r="T546" s="35"/>
      <c r="U546" s="35"/>
      <c r="V546" s="35"/>
      <c r="W546" s="35"/>
      <c r="X546" s="35"/>
      <c r="Y546" s="35"/>
      <c r="AC546" s="1971">
        <v>8</v>
      </c>
      <c r="AD546" s="1838"/>
      <c r="AE546" s="1838"/>
      <c r="AF546" s="1838"/>
      <c r="AG546" s="79" t="s">
        <v>276</v>
      </c>
      <c r="AH546" s="1723">
        <v>2023</v>
      </c>
      <c r="AI546" s="1723"/>
      <c r="AJ546" s="1723"/>
      <c r="AK546" s="17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2"/>
      <c r="C547" s="1813"/>
      <c r="D547" s="1813"/>
      <c r="E547" s="1813"/>
      <c r="F547" s="1813"/>
      <c r="G547" s="1813"/>
      <c r="H547" s="1814"/>
      <c r="I547" s="35" t="s">
        <v>805</v>
      </c>
      <c r="J547" s="35"/>
      <c r="K547" s="35"/>
      <c r="L547" s="35"/>
      <c r="M547" s="35"/>
      <c r="N547" s="35"/>
      <c r="O547" s="35"/>
      <c r="P547" s="35"/>
      <c r="Q547" s="35"/>
      <c r="R547" s="35"/>
      <c r="S547" s="35"/>
      <c r="T547" s="35"/>
      <c r="U547" s="35"/>
      <c r="V547" s="35"/>
      <c r="W547" s="35"/>
      <c r="X547" s="35"/>
      <c r="Y547" s="35"/>
      <c r="AC547" s="1971">
        <v>8</v>
      </c>
      <c r="AD547" s="1838"/>
      <c r="AE547" s="1838"/>
      <c r="AF547" s="1838"/>
      <c r="AG547" s="79" t="s">
        <v>276</v>
      </c>
      <c r="AH547" s="1723">
        <v>2023</v>
      </c>
      <c r="AI547" s="1723"/>
      <c r="AJ547" s="1723"/>
      <c r="AK547" s="17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5"/>
      <c r="C548" s="1816"/>
      <c r="D548" s="1816"/>
      <c r="E548" s="1816"/>
      <c r="F548" s="1816"/>
      <c r="G548" s="1816"/>
      <c r="H548" s="1817"/>
      <c r="I548" s="94" t="s">
        <v>1518</v>
      </c>
      <c r="J548" s="94"/>
      <c r="K548" s="94"/>
      <c r="L548" s="94"/>
      <c r="M548" s="94"/>
      <c r="N548" s="94"/>
      <c r="O548" s="94"/>
      <c r="P548" s="94"/>
      <c r="Q548" s="94"/>
      <c r="R548" s="94"/>
      <c r="S548" s="94"/>
      <c r="T548" s="94"/>
      <c r="U548" s="94"/>
      <c r="V548" s="94"/>
      <c r="W548" s="94"/>
      <c r="X548" s="94"/>
      <c r="Y548" s="94"/>
      <c r="Z548" s="94"/>
      <c r="AA548" s="94"/>
      <c r="AB548" s="94"/>
      <c r="AC548" s="1971">
        <v>11</v>
      </c>
      <c r="AD548" s="1838"/>
      <c r="AE548" s="1838"/>
      <c r="AF548" s="1838"/>
      <c r="AG548" s="79" t="s">
        <v>276</v>
      </c>
      <c r="AH548" s="1723">
        <v>2023</v>
      </c>
      <c r="AI548" s="1723"/>
      <c r="AJ548" s="1723"/>
      <c r="AK548" s="17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7" t="s">
        <v>547</v>
      </c>
      <c r="B550" s="1547"/>
      <c r="C550" s="1547"/>
      <c r="D550" s="1547"/>
      <c r="E550" s="1547"/>
      <c r="F550" s="1547"/>
      <c r="G550" s="1547"/>
      <c r="H550" s="1547"/>
      <c r="I550" s="1547"/>
      <c r="J550" s="1547"/>
      <c r="K550" s="1547"/>
      <c r="L550" s="1547"/>
      <c r="M550" s="1547"/>
      <c r="N550" s="1547"/>
      <c r="O550" s="1547"/>
      <c r="P550" s="1547"/>
      <c r="Q550" s="1547"/>
      <c r="R550" s="1547"/>
      <c r="S550" s="1547"/>
      <c r="T550" s="1547"/>
      <c r="U550" s="1547"/>
      <c r="V550" s="1547"/>
      <c r="W550" s="1547"/>
      <c r="X550" s="1547"/>
      <c r="Y550" s="1547"/>
      <c r="Z550" s="1547"/>
      <c r="AA550" s="1547"/>
      <c r="AB550" s="1547"/>
      <c r="AC550" s="1547"/>
      <c r="AD550" s="1547"/>
      <c r="AE550" s="1547"/>
      <c r="AF550" s="1547"/>
      <c r="AG550" s="1547"/>
      <c r="AH550" s="1547"/>
      <c r="AI550" s="1547"/>
      <c r="AJ550" s="1547"/>
      <c r="AK550" s="1547"/>
      <c r="AL550" s="1547"/>
      <c r="AM550" s="1547"/>
      <c r="AN550" s="1547"/>
      <c r="AO550" s="1547"/>
      <c r="AP550" s="1547"/>
      <c r="AQ550" s="1547"/>
      <c r="AR550" s="1547"/>
      <c r="AS550" s="154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7"/>
      <c r="B551" s="1547"/>
      <c r="C551" s="1547"/>
      <c r="D551" s="1547"/>
      <c r="E551" s="1547"/>
      <c r="F551" s="1547"/>
      <c r="G551" s="1547"/>
      <c r="H551" s="1547"/>
      <c r="I551" s="1547"/>
      <c r="J551" s="1547"/>
      <c r="K551" s="1547"/>
      <c r="L551" s="1547"/>
      <c r="M551" s="1547"/>
      <c r="N551" s="1547"/>
      <c r="O551" s="1547"/>
      <c r="P551" s="1547"/>
      <c r="Q551" s="1547"/>
      <c r="R551" s="1547"/>
      <c r="S551" s="1547"/>
      <c r="T551" s="1547"/>
      <c r="U551" s="1547"/>
      <c r="V551" s="1547"/>
      <c r="W551" s="1547"/>
      <c r="X551" s="1547"/>
      <c r="Y551" s="1547"/>
      <c r="Z551" s="1547"/>
      <c r="AA551" s="1547"/>
      <c r="AB551" s="1547"/>
      <c r="AC551" s="1547"/>
      <c r="AD551" s="1547"/>
      <c r="AE551" s="1547"/>
      <c r="AF551" s="1547"/>
      <c r="AG551" s="1547"/>
      <c r="AH551" s="1547"/>
      <c r="AI551" s="1547"/>
      <c r="AJ551" s="1547"/>
      <c r="AK551" s="1547"/>
      <c r="AL551" s="1547"/>
      <c r="AM551" s="1547"/>
      <c r="AN551" s="1547"/>
      <c r="AO551" s="1547"/>
      <c r="AP551" s="1547"/>
      <c r="AQ551" s="1547"/>
      <c r="AR551" s="1547"/>
      <c r="AS551" s="154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28"/>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9" t="s">
        <v>807</v>
      </c>
      <c r="C557" s="1810"/>
      <c r="D557" s="1810"/>
      <c r="E557" s="1810"/>
      <c r="F557" s="1810"/>
      <c r="G557" s="1810"/>
      <c r="H557" s="1810"/>
      <c r="I557" s="1810"/>
      <c r="J557" s="1810"/>
      <c r="K557" s="1810"/>
      <c r="L557" s="1810"/>
      <c r="M557" s="1810"/>
      <c r="N557" s="1810"/>
      <c r="O557" s="1810"/>
      <c r="P557" s="1811"/>
      <c r="Q557" s="1809" t="s">
        <v>489</v>
      </c>
      <c r="R557" s="1810"/>
      <c r="S557" s="1811"/>
      <c r="T557" s="1809" t="s">
        <v>2281</v>
      </c>
      <c r="U557" s="1810"/>
      <c r="V557" s="1811"/>
      <c r="W557" s="1809" t="s">
        <v>808</v>
      </c>
      <c r="X557" s="1810"/>
      <c r="Y557" s="1811"/>
      <c r="Z557" s="1809" t="s">
        <v>2286</v>
      </c>
      <c r="AA557" s="1810"/>
      <c r="AB557" s="1810"/>
      <c r="AC557" s="1810"/>
      <c r="AD557" s="1811"/>
      <c r="AE557" s="1809" t="s">
        <v>2283</v>
      </c>
      <c r="AF557" s="1810"/>
      <c r="AG557" s="1810"/>
      <c r="AH557" s="1811"/>
      <c r="AI557" s="1809" t="s">
        <v>2287</v>
      </c>
      <c r="AJ557" s="1810"/>
      <c r="AK557" s="1810"/>
      <c r="AL557" s="1811"/>
      <c r="AM557" s="1809" t="s">
        <v>809</v>
      </c>
      <c r="AN557" s="1810"/>
      <c r="AO557" s="1810"/>
      <c r="AP557" s="1810"/>
      <c r="AQ557" s="1810"/>
      <c r="AR557" s="1810"/>
      <c r="AS557" s="181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2"/>
      <c r="C558" s="1813"/>
      <c r="D558" s="1813"/>
      <c r="E558" s="1813"/>
      <c r="F558" s="1813"/>
      <c r="G558" s="1813"/>
      <c r="H558" s="1813"/>
      <c r="I558" s="1813"/>
      <c r="J558" s="1813"/>
      <c r="K558" s="1813"/>
      <c r="L558" s="1813"/>
      <c r="M558" s="1813"/>
      <c r="N558" s="1813"/>
      <c r="O558" s="1813"/>
      <c r="P558" s="1814"/>
      <c r="Q558" s="1812"/>
      <c r="R558" s="1813"/>
      <c r="S558" s="1814"/>
      <c r="T558" s="1812"/>
      <c r="U558" s="1813"/>
      <c r="V558" s="1814"/>
      <c r="W558" s="1812"/>
      <c r="X558" s="1813"/>
      <c r="Y558" s="1814"/>
      <c r="Z558" s="1812"/>
      <c r="AA558" s="1813"/>
      <c r="AB558" s="1813"/>
      <c r="AC558" s="1813"/>
      <c r="AD558" s="1814"/>
      <c r="AE558" s="1812"/>
      <c r="AF558" s="1813"/>
      <c r="AG558" s="1813"/>
      <c r="AH558" s="1814"/>
      <c r="AI558" s="1812"/>
      <c r="AJ558" s="1813"/>
      <c r="AK558" s="1813"/>
      <c r="AL558" s="1814"/>
      <c r="AM558" s="1812"/>
      <c r="AN558" s="1813"/>
      <c r="AO558" s="1813"/>
      <c r="AP558" s="1813"/>
      <c r="AQ558" s="1813"/>
      <c r="AR558" s="1813"/>
      <c r="AS558" s="181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5"/>
      <c r="C559" s="1816"/>
      <c r="D559" s="1816"/>
      <c r="E559" s="1816"/>
      <c r="F559" s="1816"/>
      <c r="G559" s="1816"/>
      <c r="H559" s="1816"/>
      <c r="I559" s="1816"/>
      <c r="J559" s="1816"/>
      <c r="K559" s="1816"/>
      <c r="L559" s="1816"/>
      <c r="M559" s="1816"/>
      <c r="N559" s="1816"/>
      <c r="O559" s="1816"/>
      <c r="P559" s="1817"/>
      <c r="Q559" s="1815"/>
      <c r="R559" s="1816"/>
      <c r="S559" s="1817"/>
      <c r="T559" s="1815"/>
      <c r="U559" s="1816"/>
      <c r="V559" s="1817"/>
      <c r="W559" s="1815"/>
      <c r="X559" s="1816"/>
      <c r="Y559" s="1817"/>
      <c r="Z559" s="1815"/>
      <c r="AA559" s="1816"/>
      <c r="AB559" s="1816"/>
      <c r="AC559" s="1816"/>
      <c r="AD559" s="1817"/>
      <c r="AE559" s="1815"/>
      <c r="AF559" s="1816"/>
      <c r="AG559" s="1816"/>
      <c r="AH559" s="1817"/>
      <c r="AI559" s="1815"/>
      <c r="AJ559" s="1816"/>
      <c r="AK559" s="1816"/>
      <c r="AL559" s="1817"/>
      <c r="AM559" s="1815"/>
      <c r="AN559" s="1816"/>
      <c r="AO559" s="1816"/>
      <c r="AP559" s="1816"/>
      <c r="AQ559" s="1816"/>
      <c r="AR559" s="1816"/>
      <c r="AS559" s="181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2" t="s">
        <v>2527</v>
      </c>
      <c r="D560" s="1692"/>
      <c r="E560" s="1692"/>
      <c r="F560" s="1692"/>
      <c r="G560" s="1692"/>
      <c r="H560" s="1692"/>
      <c r="I560" s="1692"/>
      <c r="J560" s="1692"/>
      <c r="K560" s="1692"/>
      <c r="L560" s="1692"/>
      <c r="M560" s="1692"/>
      <c r="N560" s="1692"/>
      <c r="O560" s="1692"/>
      <c r="P560" s="2027"/>
      <c r="Q560" s="1963">
        <v>18</v>
      </c>
      <c r="R560" s="1689"/>
      <c r="S560" s="1964"/>
      <c r="T560" s="1963">
        <v>18</v>
      </c>
      <c r="U560" s="1689"/>
      <c r="V560" s="1964"/>
      <c r="W560" s="2031">
        <v>4.2500000000000003E-2</v>
      </c>
      <c r="X560" s="2032"/>
      <c r="Y560" s="2033"/>
      <c r="Z560" s="2034" t="s">
        <v>2456</v>
      </c>
      <c r="AA560" s="2034"/>
      <c r="AB560" s="2034"/>
      <c r="AC560" s="2034"/>
      <c r="AD560" s="2034"/>
      <c r="AE560" s="2144">
        <v>1</v>
      </c>
      <c r="AF560" s="2145"/>
      <c r="AG560" s="2145"/>
      <c r="AH560" s="2146"/>
      <c r="AI560" s="2038"/>
      <c r="AJ560" s="2039"/>
      <c r="AK560" s="2039"/>
      <c r="AL560" s="2040"/>
      <c r="AM560" s="1703">
        <v>45791164</v>
      </c>
      <c r="AN560" s="1704"/>
      <c r="AO560" s="1704"/>
      <c r="AP560" s="1704"/>
      <c r="AQ560" s="1704"/>
      <c r="AR560" s="1704"/>
      <c r="AS560" s="170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2" t="s">
        <v>2457</v>
      </c>
      <c r="D561" s="1692"/>
      <c r="E561" s="1692"/>
      <c r="F561" s="1692"/>
      <c r="G561" s="1692"/>
      <c r="H561" s="1692"/>
      <c r="I561" s="1692"/>
      <c r="J561" s="1692"/>
      <c r="K561" s="1692"/>
      <c r="L561" s="1692"/>
      <c r="M561" s="1692"/>
      <c r="N561" s="1692"/>
      <c r="O561" s="1692"/>
      <c r="P561" s="2027"/>
      <c r="Q561" s="1963" t="s">
        <v>2449</v>
      </c>
      <c r="R561" s="1689"/>
      <c r="S561" s="1964"/>
      <c r="T561" s="1963" t="s">
        <v>2449</v>
      </c>
      <c r="U561" s="1689"/>
      <c r="V561" s="1964"/>
      <c r="W561" s="2031" t="s">
        <v>2449</v>
      </c>
      <c r="X561" s="2032"/>
      <c r="Y561" s="2033"/>
      <c r="Z561" s="2034"/>
      <c r="AA561" s="2034"/>
      <c r="AB561" s="2034"/>
      <c r="AC561" s="2034"/>
      <c r="AD561" s="2034"/>
      <c r="AE561" s="2144">
        <v>2</v>
      </c>
      <c r="AF561" s="2145"/>
      <c r="AG561" s="2145"/>
      <c r="AH561" s="2146"/>
      <c r="AI561" s="2038"/>
      <c r="AJ561" s="2039"/>
      <c r="AK561" s="2039"/>
      <c r="AL561" s="2040"/>
      <c r="AM561" s="1703">
        <v>4946151</v>
      </c>
      <c r="AN561" s="1704"/>
      <c r="AO561" s="1704"/>
      <c r="AP561" s="1704"/>
      <c r="AQ561" s="1704"/>
      <c r="AR561" s="1704"/>
      <c r="AS561" s="170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2" t="s">
        <v>2458</v>
      </c>
      <c r="D562" s="1692"/>
      <c r="E562" s="1692"/>
      <c r="F562" s="1692"/>
      <c r="G562" s="1692"/>
      <c r="H562" s="1692"/>
      <c r="I562" s="1692"/>
      <c r="J562" s="1692"/>
      <c r="K562" s="1692"/>
      <c r="L562" s="1692"/>
      <c r="M562" s="1692"/>
      <c r="N562" s="1692"/>
      <c r="O562" s="1692"/>
      <c r="P562" s="2027"/>
      <c r="Q562" s="1765" t="s">
        <v>2449</v>
      </c>
      <c r="R562" s="1766"/>
      <c r="S562" s="1767"/>
      <c r="T562" s="1765" t="s">
        <v>2449</v>
      </c>
      <c r="U562" s="1766"/>
      <c r="V562" s="1767"/>
      <c r="W562" s="2031" t="s">
        <v>2449</v>
      </c>
      <c r="X562" s="2032"/>
      <c r="Y562" s="2033"/>
      <c r="Z562" s="2142" t="s">
        <v>2267</v>
      </c>
      <c r="AA562" s="2034"/>
      <c r="AB562" s="2034"/>
      <c r="AC562" s="2034"/>
      <c r="AD562" s="2143"/>
      <c r="AE562" s="2144">
        <v>2</v>
      </c>
      <c r="AF562" s="2145"/>
      <c r="AG562" s="2145"/>
      <c r="AH562" s="2146"/>
      <c r="AI562" s="2038"/>
      <c r="AJ562" s="2039"/>
      <c r="AK562" s="2039"/>
      <c r="AL562" s="2040"/>
      <c r="AM562" s="1703">
        <f>'Sources and Uses Budget'!C104-SUM(Application!AM560:AS561)</f>
        <v>2240745</v>
      </c>
      <c r="AN562" s="1704"/>
      <c r="AO562" s="1704"/>
      <c r="AP562" s="1704"/>
      <c r="AQ562" s="1704"/>
      <c r="AR562" s="1704"/>
      <c r="AS562" s="170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2"/>
      <c r="D563" s="1692"/>
      <c r="E563" s="1692"/>
      <c r="F563" s="1692"/>
      <c r="G563" s="1692"/>
      <c r="H563" s="1692"/>
      <c r="I563" s="1692"/>
      <c r="J563" s="1692"/>
      <c r="K563" s="1692"/>
      <c r="L563" s="1692"/>
      <c r="M563" s="1692"/>
      <c r="N563" s="1692"/>
      <c r="O563" s="1692"/>
      <c r="P563" s="2027"/>
      <c r="Q563" s="2029"/>
      <c r="R563" s="1845"/>
      <c r="S563" s="2030"/>
      <c r="T563" s="2029"/>
      <c r="U563" s="1845"/>
      <c r="V563" s="2030"/>
      <c r="W563" s="2031"/>
      <c r="X563" s="2032"/>
      <c r="Y563" s="2033"/>
      <c r="Z563" s="2034" t="s">
        <v>2267</v>
      </c>
      <c r="AA563" s="2034"/>
      <c r="AB563" s="2034"/>
      <c r="AC563" s="2034"/>
      <c r="AD563" s="2034"/>
      <c r="AE563" s="2035"/>
      <c r="AF563" s="2036"/>
      <c r="AG563" s="2036"/>
      <c r="AH563" s="2037"/>
      <c r="AI563" s="2038"/>
      <c r="AJ563" s="2039"/>
      <c r="AK563" s="2039"/>
      <c r="AL563" s="2040"/>
      <c r="AM563" s="1703"/>
      <c r="AN563" s="1704"/>
      <c r="AO563" s="1704"/>
      <c r="AP563" s="1704"/>
      <c r="AQ563" s="1704"/>
      <c r="AR563" s="1704"/>
      <c r="AS563" s="170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2"/>
      <c r="D564" s="1692"/>
      <c r="E564" s="1692"/>
      <c r="F564" s="1692"/>
      <c r="G564" s="1692"/>
      <c r="H564" s="1692"/>
      <c r="I564" s="1692"/>
      <c r="J564" s="1692"/>
      <c r="K564" s="1692"/>
      <c r="L564" s="1692"/>
      <c r="M564" s="1692"/>
      <c r="N564" s="1692"/>
      <c r="O564" s="1692"/>
      <c r="P564" s="2027"/>
      <c r="Q564" s="2029"/>
      <c r="R564" s="1845"/>
      <c r="S564" s="2030"/>
      <c r="T564" s="2029"/>
      <c r="U564" s="1845"/>
      <c r="V564" s="2030"/>
      <c r="W564" s="2031"/>
      <c r="X564" s="2032"/>
      <c r="Y564" s="2033"/>
      <c r="Z564" s="2034" t="s">
        <v>2267</v>
      </c>
      <c r="AA564" s="2034"/>
      <c r="AB564" s="2034"/>
      <c r="AC564" s="2034"/>
      <c r="AD564" s="2034"/>
      <c r="AE564" s="2035"/>
      <c r="AF564" s="2036"/>
      <c r="AG564" s="2036"/>
      <c r="AH564" s="2037"/>
      <c r="AI564" s="2038"/>
      <c r="AJ564" s="2039"/>
      <c r="AK564" s="2039"/>
      <c r="AL564" s="2040"/>
      <c r="AM564" s="1703"/>
      <c r="AN564" s="1704"/>
      <c r="AO564" s="1704"/>
      <c r="AP564" s="1704"/>
      <c r="AQ564" s="1704"/>
      <c r="AR564" s="1704"/>
      <c r="AS564" s="170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2"/>
      <c r="D565" s="1692"/>
      <c r="E565" s="1692"/>
      <c r="F565" s="1692"/>
      <c r="G565" s="1692"/>
      <c r="H565" s="1692"/>
      <c r="I565" s="1692"/>
      <c r="J565" s="1692"/>
      <c r="K565" s="1692"/>
      <c r="L565" s="1692"/>
      <c r="M565" s="1692"/>
      <c r="N565" s="1692"/>
      <c r="O565" s="1692"/>
      <c r="P565" s="2027"/>
      <c r="Q565" s="2029"/>
      <c r="R565" s="1845"/>
      <c r="S565" s="2030"/>
      <c r="T565" s="2029"/>
      <c r="U565" s="1845"/>
      <c r="V565" s="2030"/>
      <c r="W565" s="2031"/>
      <c r="X565" s="2032"/>
      <c r="Y565" s="2033"/>
      <c r="Z565" s="2034" t="s">
        <v>2267</v>
      </c>
      <c r="AA565" s="2034"/>
      <c r="AB565" s="2034"/>
      <c r="AC565" s="2034"/>
      <c r="AD565" s="2034"/>
      <c r="AE565" s="2035"/>
      <c r="AF565" s="2036"/>
      <c r="AG565" s="2036"/>
      <c r="AH565" s="2037"/>
      <c r="AI565" s="2038"/>
      <c r="AJ565" s="2039"/>
      <c r="AK565" s="2039"/>
      <c r="AL565" s="2040"/>
      <c r="AM565" s="1703"/>
      <c r="AN565" s="1704"/>
      <c r="AO565" s="1704"/>
      <c r="AP565" s="1704"/>
      <c r="AQ565" s="1704"/>
      <c r="AR565" s="1704"/>
      <c r="AS565" s="170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2"/>
      <c r="D566" s="1692"/>
      <c r="E566" s="1692"/>
      <c r="F566" s="1692"/>
      <c r="G566" s="1692"/>
      <c r="H566" s="1692"/>
      <c r="I566" s="1692"/>
      <c r="J566" s="1692"/>
      <c r="K566" s="1692"/>
      <c r="L566" s="1692"/>
      <c r="M566" s="1692"/>
      <c r="N566" s="1692"/>
      <c r="O566" s="1692"/>
      <c r="P566" s="2027"/>
      <c r="Q566" s="2029"/>
      <c r="R566" s="1845"/>
      <c r="S566" s="2030"/>
      <c r="T566" s="2029"/>
      <c r="U566" s="1845"/>
      <c r="V566" s="2030"/>
      <c r="W566" s="2031"/>
      <c r="X566" s="2032"/>
      <c r="Y566" s="2033"/>
      <c r="Z566" s="2034" t="s">
        <v>2267</v>
      </c>
      <c r="AA566" s="2034"/>
      <c r="AB566" s="2034"/>
      <c r="AC566" s="2034"/>
      <c r="AD566" s="2034"/>
      <c r="AE566" s="2035"/>
      <c r="AF566" s="2036"/>
      <c r="AG566" s="2036"/>
      <c r="AH566" s="2037"/>
      <c r="AI566" s="2038"/>
      <c r="AJ566" s="2039"/>
      <c r="AK566" s="2039"/>
      <c r="AL566" s="2040"/>
      <c r="AM566" s="1703"/>
      <c r="AN566" s="1704"/>
      <c r="AO566" s="1704"/>
      <c r="AP566" s="1704"/>
      <c r="AQ566" s="1704"/>
      <c r="AR566" s="1704"/>
      <c r="AS566" s="170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2"/>
      <c r="D567" s="1692"/>
      <c r="E567" s="1692"/>
      <c r="F567" s="1692"/>
      <c r="G567" s="1692"/>
      <c r="H567" s="1692"/>
      <c r="I567" s="1692"/>
      <c r="J567" s="1692"/>
      <c r="K567" s="1692"/>
      <c r="L567" s="1692"/>
      <c r="M567" s="1692"/>
      <c r="N567" s="1692"/>
      <c r="O567" s="1692"/>
      <c r="P567" s="2027"/>
      <c r="Q567" s="2029"/>
      <c r="R567" s="1845"/>
      <c r="S567" s="2030"/>
      <c r="T567" s="2029"/>
      <c r="U567" s="1845"/>
      <c r="V567" s="2030"/>
      <c r="W567" s="2031"/>
      <c r="X567" s="2032"/>
      <c r="Y567" s="2033"/>
      <c r="Z567" s="2034" t="s">
        <v>2267</v>
      </c>
      <c r="AA567" s="2034"/>
      <c r="AB567" s="2034"/>
      <c r="AC567" s="2034"/>
      <c r="AD567" s="2034"/>
      <c r="AE567" s="2035"/>
      <c r="AF567" s="2036"/>
      <c r="AG567" s="2036"/>
      <c r="AH567" s="2037"/>
      <c r="AI567" s="2038"/>
      <c r="AJ567" s="2039"/>
      <c r="AK567" s="2039"/>
      <c r="AL567" s="2040"/>
      <c r="AM567" s="1703"/>
      <c r="AN567" s="1704"/>
      <c r="AO567" s="1704"/>
      <c r="AP567" s="1704"/>
      <c r="AQ567" s="1704"/>
      <c r="AR567" s="1704"/>
      <c r="AS567" s="170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2"/>
      <c r="D568" s="1692"/>
      <c r="E568" s="1692"/>
      <c r="F568" s="1692"/>
      <c r="G568" s="1692"/>
      <c r="H568" s="1692"/>
      <c r="I568" s="1692"/>
      <c r="J568" s="1692"/>
      <c r="K568" s="1692"/>
      <c r="L568" s="1692"/>
      <c r="M568" s="1692"/>
      <c r="N568" s="1692"/>
      <c r="O568" s="1692"/>
      <c r="P568" s="2027"/>
      <c r="Q568" s="2029"/>
      <c r="R568" s="1845"/>
      <c r="S568" s="2030"/>
      <c r="T568" s="2029"/>
      <c r="U568" s="1845"/>
      <c r="V568" s="2030"/>
      <c r="W568" s="2031"/>
      <c r="X568" s="2032"/>
      <c r="Y568" s="2033"/>
      <c r="Z568" s="2034" t="s">
        <v>2267</v>
      </c>
      <c r="AA568" s="2034"/>
      <c r="AB568" s="2034"/>
      <c r="AC568" s="2034"/>
      <c r="AD568" s="2034"/>
      <c r="AE568" s="2035"/>
      <c r="AF568" s="2036"/>
      <c r="AG568" s="2036"/>
      <c r="AH568" s="2037"/>
      <c r="AI568" s="2038"/>
      <c r="AJ568" s="2039"/>
      <c r="AK568" s="2039"/>
      <c r="AL568" s="2040"/>
      <c r="AM568" s="1703"/>
      <c r="AN568" s="1704"/>
      <c r="AO568" s="1704"/>
      <c r="AP568" s="1704"/>
      <c r="AQ568" s="1704"/>
      <c r="AR568" s="1704"/>
      <c r="AS568" s="170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2"/>
      <c r="D569" s="1692"/>
      <c r="E569" s="1692"/>
      <c r="F569" s="1692"/>
      <c r="G569" s="1692"/>
      <c r="H569" s="1692"/>
      <c r="I569" s="1692"/>
      <c r="J569" s="1692"/>
      <c r="K569" s="1692"/>
      <c r="L569" s="1692"/>
      <c r="M569" s="1692"/>
      <c r="N569" s="1692"/>
      <c r="O569" s="1692"/>
      <c r="P569" s="2027"/>
      <c r="Q569" s="2029"/>
      <c r="R569" s="1845"/>
      <c r="S569" s="2030"/>
      <c r="T569" s="2029"/>
      <c r="U569" s="1845"/>
      <c r="V569" s="2030"/>
      <c r="W569" s="2031"/>
      <c r="X569" s="2032"/>
      <c r="Y569" s="2033"/>
      <c r="Z569" s="2034" t="s">
        <v>2267</v>
      </c>
      <c r="AA569" s="2034"/>
      <c r="AB569" s="2034"/>
      <c r="AC569" s="2034"/>
      <c r="AD569" s="2034"/>
      <c r="AE569" s="2035"/>
      <c r="AF569" s="2036"/>
      <c r="AG569" s="2036"/>
      <c r="AH569" s="2037"/>
      <c r="AI569" s="2038"/>
      <c r="AJ569" s="2039"/>
      <c r="AK569" s="2039"/>
      <c r="AL569" s="2040"/>
      <c r="AM569" s="1703"/>
      <c r="AN569" s="1704"/>
      <c r="AO569" s="1704"/>
      <c r="AP569" s="1704"/>
      <c r="AQ569" s="1704"/>
      <c r="AR569" s="1704"/>
      <c r="AS569" s="170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2"/>
      <c r="D570" s="1692"/>
      <c r="E570" s="1692"/>
      <c r="F570" s="1692"/>
      <c r="G570" s="1692"/>
      <c r="H570" s="1692"/>
      <c r="I570" s="1692"/>
      <c r="J570" s="1692"/>
      <c r="K570" s="1692"/>
      <c r="L570" s="1692"/>
      <c r="M570" s="1692"/>
      <c r="N570" s="1692"/>
      <c r="O570" s="1692"/>
      <c r="P570" s="2027"/>
      <c r="Q570" s="2029"/>
      <c r="R570" s="1845"/>
      <c r="S570" s="2030"/>
      <c r="T570" s="2029"/>
      <c r="U570" s="1845"/>
      <c r="V570" s="2030"/>
      <c r="W570" s="2031"/>
      <c r="X570" s="2032"/>
      <c r="Y570" s="2033"/>
      <c r="Z570" s="2034" t="s">
        <v>2267</v>
      </c>
      <c r="AA570" s="2034"/>
      <c r="AB570" s="2034"/>
      <c r="AC570" s="2034"/>
      <c r="AD570" s="2034"/>
      <c r="AE570" s="2035"/>
      <c r="AF570" s="2036"/>
      <c r="AG570" s="2036"/>
      <c r="AH570" s="2037"/>
      <c r="AI570" s="2038"/>
      <c r="AJ570" s="2039"/>
      <c r="AK570" s="2039"/>
      <c r="AL570" s="2040"/>
      <c r="AM570" s="1703"/>
      <c r="AN570" s="1704"/>
      <c r="AO570" s="1704"/>
      <c r="AP570" s="1704"/>
      <c r="AQ570" s="1704"/>
      <c r="AR570" s="1704"/>
      <c r="AS570" s="170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2"/>
      <c r="D571" s="1692"/>
      <c r="E571" s="1692"/>
      <c r="F571" s="1692"/>
      <c r="G571" s="1692"/>
      <c r="H571" s="1692"/>
      <c r="I571" s="1692"/>
      <c r="J571" s="1692"/>
      <c r="K571" s="1692"/>
      <c r="L571" s="1692"/>
      <c r="M571" s="1692"/>
      <c r="N571" s="1692"/>
      <c r="O571" s="1692"/>
      <c r="P571" s="2027"/>
      <c r="Q571" s="2029"/>
      <c r="R571" s="1845"/>
      <c r="S571" s="2030"/>
      <c r="T571" s="2029"/>
      <c r="U571" s="1845"/>
      <c r="V571" s="2030"/>
      <c r="W571" s="2031"/>
      <c r="X571" s="2032"/>
      <c r="Y571" s="2033"/>
      <c r="Z571" s="2034" t="s">
        <v>2267</v>
      </c>
      <c r="AA571" s="2034"/>
      <c r="AB571" s="2034"/>
      <c r="AC571" s="2034"/>
      <c r="AD571" s="2034"/>
      <c r="AE571" s="2035"/>
      <c r="AF571" s="2036"/>
      <c r="AG571" s="2036"/>
      <c r="AH571" s="2037"/>
      <c r="AI571" s="2038"/>
      <c r="AJ571" s="2039"/>
      <c r="AK571" s="2039"/>
      <c r="AL571" s="2040"/>
      <c r="AM571" s="1703"/>
      <c r="AN571" s="1704"/>
      <c r="AO571" s="1704"/>
      <c r="AP571" s="1704"/>
      <c r="AQ571" s="1704"/>
      <c r="AR571" s="1704"/>
      <c r="AS571" s="170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7" t="s">
        <v>401</v>
      </c>
      <c r="C572" s="1788"/>
      <c r="D572" s="1788"/>
      <c r="E572" s="1788"/>
      <c r="F572" s="1788"/>
      <c r="G572" s="1788"/>
      <c r="H572" s="1788"/>
      <c r="I572" s="1788"/>
      <c r="J572" s="1788"/>
      <c r="K572" s="1788"/>
      <c r="L572" s="1788"/>
      <c r="M572" s="1788"/>
      <c r="N572" s="1788"/>
      <c r="O572" s="1788"/>
      <c r="P572" s="1788"/>
      <c r="Q572" s="1788"/>
      <c r="R572" s="1788"/>
      <c r="S572" s="1788"/>
      <c r="T572" s="1788"/>
      <c r="U572" s="2076"/>
      <c r="V572" s="1788"/>
      <c r="W572" s="1788"/>
      <c r="X572" s="1788"/>
      <c r="Y572" s="1788"/>
      <c r="Z572" s="1788"/>
      <c r="AA572" s="1788"/>
      <c r="AB572" s="1788"/>
      <c r="AC572" s="1788"/>
      <c r="AD572" s="1788"/>
      <c r="AE572" s="1788"/>
      <c r="AF572" s="1788"/>
      <c r="AG572" s="1788"/>
      <c r="AH572" s="1788"/>
      <c r="AI572" s="1788"/>
      <c r="AJ572" s="1788"/>
      <c r="AK572" s="1788"/>
      <c r="AL572" s="1789"/>
      <c r="AM572" s="1710">
        <f>SUM(AM560:AS571)</f>
        <v>52978060</v>
      </c>
      <c r="AN572" s="1711"/>
      <c r="AO572" s="1711"/>
      <c r="AP572" s="1711"/>
      <c r="AQ572" s="1711"/>
      <c r="AR572" s="1711"/>
      <c r="AS572" s="171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84"/>
      <c r="AF573" s="1384"/>
      <c r="AG573" s="1384"/>
      <c r="AH573" s="1384"/>
      <c r="AI573" s="1384"/>
      <c r="AJ573" s="1384"/>
      <c r="AK573" s="1384"/>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40" t="str">
        <f>C560</f>
        <v>Citi Construction Loan</v>
      </c>
      <c r="H574" s="1840"/>
      <c r="I574" s="1840"/>
      <c r="J574" s="1840"/>
      <c r="K574" s="1840"/>
      <c r="L574" s="1840"/>
      <c r="M574" s="1840"/>
      <c r="N574" s="1840"/>
      <c r="O574" s="1840"/>
      <c r="P574" s="1840"/>
      <c r="Q574" s="1840"/>
      <c r="R574" s="1840"/>
      <c r="S574" s="18"/>
      <c r="T574" s="101" t="s">
        <v>1005</v>
      </c>
      <c r="U574" s="16" t="s">
        <v>93</v>
      </c>
      <c r="Z574" s="1840" t="str">
        <f>C561</f>
        <v>CREA Tax Credit Proceeds</v>
      </c>
      <c r="AA574" s="1840"/>
      <c r="AB574" s="1840"/>
      <c r="AC574" s="1840"/>
      <c r="AD574" s="1840"/>
      <c r="AE574" s="1840"/>
      <c r="AF574" s="1840"/>
      <c r="AG574" s="1840"/>
      <c r="AH574" s="1840"/>
      <c r="AI574" s="1840"/>
      <c r="AJ574" s="1840"/>
      <c r="AK574" s="184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4" t="s">
        <v>2459</v>
      </c>
      <c r="H575" s="1691"/>
      <c r="I575" s="1691"/>
      <c r="J575" s="1691"/>
      <c r="K575" s="1691"/>
      <c r="L575" s="1691"/>
      <c r="M575" s="1691"/>
      <c r="N575" s="1691"/>
      <c r="O575" s="1691"/>
      <c r="P575" s="1691"/>
      <c r="Q575" s="1691"/>
      <c r="R575" s="1691"/>
      <c r="S575" s="18"/>
      <c r="T575" s="46"/>
      <c r="U575" s="16" t="s">
        <v>416</v>
      </c>
      <c r="Z575" s="1694" t="s">
        <v>2463</v>
      </c>
      <c r="AA575" s="1691"/>
      <c r="AB575" s="1691"/>
      <c r="AC575" s="1691"/>
      <c r="AD575" s="1691"/>
      <c r="AE575" s="1691"/>
      <c r="AF575" s="1691"/>
      <c r="AG575" s="1691"/>
      <c r="AH575" s="1691"/>
      <c r="AI575" s="1691"/>
      <c r="AJ575" s="1691"/>
      <c r="AK575" s="169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4" t="s">
        <v>2460</v>
      </c>
      <c r="H576" s="1691"/>
      <c r="I576" s="1691"/>
      <c r="J576" s="1691"/>
      <c r="K576" s="1691"/>
      <c r="L576" s="1691"/>
      <c r="M576" s="1691"/>
      <c r="N576" s="1691"/>
      <c r="O576" s="1691"/>
      <c r="P576" s="1691"/>
      <c r="Q576" s="1691"/>
      <c r="R576" s="1691"/>
      <c r="S576" s="102"/>
      <c r="T576" s="46"/>
      <c r="U576" s="16" t="s">
        <v>479</v>
      </c>
      <c r="Z576" s="1692" t="s">
        <v>2427</v>
      </c>
      <c r="AA576" s="1690"/>
      <c r="AB576" s="1690"/>
      <c r="AC576" s="1690"/>
      <c r="AD576" s="1690"/>
      <c r="AE576" s="1690"/>
      <c r="AF576" s="1690"/>
      <c r="AG576" s="1690"/>
      <c r="AH576" s="1690"/>
      <c r="AI576" s="1690"/>
      <c r="AJ576" s="1690"/>
      <c r="AK576" s="169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4" t="s">
        <v>2461</v>
      </c>
      <c r="H577" s="1691"/>
      <c r="I577" s="1691"/>
      <c r="J577" s="1691"/>
      <c r="K577" s="1691"/>
      <c r="L577" s="1691"/>
      <c r="M577" s="1691"/>
      <c r="N577" s="1691"/>
      <c r="O577" s="1691"/>
      <c r="P577" s="1691"/>
      <c r="Q577" s="1691"/>
      <c r="R577" s="1691"/>
      <c r="S577" s="18"/>
      <c r="T577" s="46"/>
      <c r="U577" s="16" t="s">
        <v>915</v>
      </c>
      <c r="Z577" s="1692" t="s">
        <v>2428</v>
      </c>
      <c r="AA577" s="1690"/>
      <c r="AB577" s="1690"/>
      <c r="AC577" s="1690"/>
      <c r="AD577" s="1690"/>
      <c r="AE577" s="1690"/>
      <c r="AF577" s="1690"/>
      <c r="AG577" s="1690"/>
      <c r="AH577" s="1690"/>
      <c r="AI577" s="1690"/>
      <c r="AJ577" s="1690"/>
      <c r="AK577" s="169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2" t="s">
        <v>2462</v>
      </c>
      <c r="H578" s="1682"/>
      <c r="I578" s="1682"/>
      <c r="J578" s="1682"/>
      <c r="K578" s="1682"/>
      <c r="L578" s="1682"/>
      <c r="O578" s="149" t="s">
        <v>900</v>
      </c>
      <c r="P578" s="1696"/>
      <c r="Q578" s="1696"/>
      <c r="R578" s="1696"/>
      <c r="S578" s="20"/>
      <c r="T578" s="46"/>
      <c r="U578" s="16" t="s">
        <v>716</v>
      </c>
      <c r="Z578" s="1682" t="s">
        <v>2464</v>
      </c>
      <c r="AA578" s="1683"/>
      <c r="AB578" s="1683"/>
      <c r="AC578" s="1683"/>
      <c r="AD578" s="1683"/>
      <c r="AE578" s="1683"/>
      <c r="AH578" s="149" t="s">
        <v>900</v>
      </c>
      <c r="AI578" s="1696"/>
      <c r="AJ578" s="1696"/>
      <c r="AK578" s="169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1" t="str">
        <f>G574</f>
        <v>Citi Construction Loan</v>
      </c>
      <c r="I579" s="1691"/>
      <c r="J579" s="1691"/>
      <c r="K579" s="1691"/>
      <c r="L579" s="1691"/>
      <c r="M579" s="1691"/>
      <c r="N579" s="1691"/>
      <c r="O579" s="1691"/>
      <c r="P579" s="1691"/>
      <c r="Q579" s="1691"/>
      <c r="R579" s="1691"/>
      <c r="S579" s="18"/>
      <c r="T579" s="46"/>
      <c r="U579" s="16" t="s">
        <v>916</v>
      </c>
      <c r="AA579" s="1691" t="str">
        <f>Z574</f>
        <v>CREA Tax Credit Proceeds</v>
      </c>
      <c r="AB579" s="1691"/>
      <c r="AC579" s="1691"/>
      <c r="AD579" s="1691"/>
      <c r="AE579" s="1691"/>
      <c r="AF579" s="1691"/>
      <c r="AG579" s="1691"/>
      <c r="AH579" s="1691"/>
      <c r="AI579" s="1691"/>
      <c r="AJ579" s="1691"/>
      <c r="AK579" s="169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8" t="s">
        <v>119</v>
      </c>
      <c r="O580" s="1688"/>
      <c r="T580" s="46"/>
      <c r="U580" s="16" t="s">
        <v>918</v>
      </c>
      <c r="AG580" s="1688" t="s">
        <v>119</v>
      </c>
      <c r="AH580" s="168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0" t="str">
        <f>C562</f>
        <v>Deferred Fees &amp; Costs</v>
      </c>
      <c r="H582" s="1840"/>
      <c r="I582" s="1840"/>
      <c r="J582" s="1840"/>
      <c r="K582" s="1840"/>
      <c r="L582" s="1840"/>
      <c r="M582" s="1840"/>
      <c r="N582" s="1840"/>
      <c r="O582" s="1840"/>
      <c r="P582" s="1840"/>
      <c r="Q582" s="1840"/>
      <c r="R582" s="1840"/>
      <c r="T582" s="101" t="s">
        <v>480</v>
      </c>
      <c r="U582" s="16" t="s">
        <v>93</v>
      </c>
      <c r="Z582" s="1840">
        <f>C563</f>
        <v>0</v>
      </c>
      <c r="AA582" s="1840"/>
      <c r="AB582" s="1840"/>
      <c r="AC582" s="1840"/>
      <c r="AD582" s="1840"/>
      <c r="AE582" s="1840"/>
      <c r="AF582" s="1840"/>
      <c r="AG582" s="1840"/>
      <c r="AH582" s="1840"/>
      <c r="AI582" s="1840"/>
      <c r="AJ582" s="1840"/>
      <c r="AK582" s="184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2" t="s">
        <v>2381</v>
      </c>
      <c r="H583" s="1692"/>
      <c r="I583" s="1692"/>
      <c r="J583" s="1692"/>
      <c r="K583" s="1692"/>
      <c r="L583" s="1692"/>
      <c r="M583" s="1692"/>
      <c r="N583" s="1692"/>
      <c r="O583" s="1692"/>
      <c r="P583" s="1692"/>
      <c r="Q583" s="1692"/>
      <c r="R583" s="1692"/>
      <c r="T583" s="46"/>
      <c r="U583" s="16" t="s">
        <v>416</v>
      </c>
      <c r="Z583" s="1691"/>
      <c r="AA583" s="1691"/>
      <c r="AB583" s="1691"/>
      <c r="AC583" s="1691"/>
      <c r="AD583" s="1691"/>
      <c r="AE583" s="1691"/>
      <c r="AF583" s="1691"/>
      <c r="AG583" s="1691"/>
      <c r="AH583" s="1691"/>
      <c r="AI583" s="1691"/>
      <c r="AJ583" s="1691"/>
      <c r="AK583" s="169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2" t="s">
        <v>2397</v>
      </c>
      <c r="H584" s="1692"/>
      <c r="I584" s="1692"/>
      <c r="J584" s="1692"/>
      <c r="K584" s="1692"/>
      <c r="L584" s="1692"/>
      <c r="M584" s="1692"/>
      <c r="N584" s="1692"/>
      <c r="O584" s="1692"/>
      <c r="P584" s="1692"/>
      <c r="Q584" s="1692"/>
      <c r="R584" s="1692"/>
      <c r="T584" s="46"/>
      <c r="U584" s="16" t="s">
        <v>479</v>
      </c>
      <c r="Z584" s="1690"/>
      <c r="AA584" s="1690"/>
      <c r="AB584" s="1690"/>
      <c r="AC584" s="1690"/>
      <c r="AD584" s="1690"/>
      <c r="AE584" s="1690"/>
      <c r="AF584" s="1690"/>
      <c r="AG584" s="1690"/>
      <c r="AH584" s="1690"/>
      <c r="AI584" s="1690"/>
      <c r="AJ584" s="1690"/>
      <c r="AK584" s="169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2" t="s">
        <v>2384</v>
      </c>
      <c r="H585" s="1692"/>
      <c r="I585" s="1692"/>
      <c r="J585" s="1692"/>
      <c r="K585" s="1692"/>
      <c r="L585" s="1692"/>
      <c r="M585" s="1692"/>
      <c r="N585" s="1692"/>
      <c r="O585" s="1692"/>
      <c r="P585" s="1692"/>
      <c r="Q585" s="1692"/>
      <c r="R585" s="1692"/>
      <c r="T585" s="46"/>
      <c r="U585" s="16" t="s">
        <v>915</v>
      </c>
      <c r="Z585" s="1690"/>
      <c r="AA585" s="1690"/>
      <c r="AB585" s="1690"/>
      <c r="AC585" s="1690"/>
      <c r="AD585" s="1690"/>
      <c r="AE585" s="1690"/>
      <c r="AF585" s="1690"/>
      <c r="AG585" s="1690"/>
      <c r="AH585" s="1690"/>
      <c r="AI585" s="1690"/>
      <c r="AJ585" s="1690"/>
      <c r="AK585" s="169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2" t="s">
        <v>2398</v>
      </c>
      <c r="H586" s="1682"/>
      <c r="I586" s="1682"/>
      <c r="J586" s="1682"/>
      <c r="K586" s="1682"/>
      <c r="L586" s="1682"/>
      <c r="O586" s="149" t="s">
        <v>900</v>
      </c>
      <c r="P586" s="1696"/>
      <c r="Q586" s="1696"/>
      <c r="R586" s="1696"/>
      <c r="T586" s="46"/>
      <c r="U586" s="16" t="s">
        <v>716</v>
      </c>
      <c r="Z586" s="1683"/>
      <c r="AA586" s="1683"/>
      <c r="AB586" s="1683"/>
      <c r="AC586" s="1683"/>
      <c r="AD586" s="1683"/>
      <c r="AE586" s="1683"/>
      <c r="AH586" s="149" t="s">
        <v>900</v>
      </c>
      <c r="AI586" s="1696"/>
      <c r="AJ586" s="1696"/>
      <c r="AK586" s="169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1" t="s">
        <v>2458</v>
      </c>
      <c r="I587" s="1691"/>
      <c r="J587" s="1691"/>
      <c r="K587" s="1691"/>
      <c r="L587" s="1691"/>
      <c r="M587" s="1691"/>
      <c r="N587" s="1691"/>
      <c r="O587" s="1691"/>
      <c r="P587" s="1691"/>
      <c r="Q587" s="1691"/>
      <c r="R587" s="1691"/>
      <c r="T587" s="46"/>
      <c r="U587" s="16" t="s">
        <v>916</v>
      </c>
      <c r="AA587" s="1691"/>
      <c r="AB587" s="1691"/>
      <c r="AC587" s="1691"/>
      <c r="AD587" s="1691"/>
      <c r="AE587" s="1691"/>
      <c r="AF587" s="1691"/>
      <c r="AG587" s="1691"/>
      <c r="AH587" s="1691"/>
      <c r="AI587" s="1691"/>
      <c r="AJ587" s="1691"/>
      <c r="AK587" s="169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3" t="s">
        <v>119</v>
      </c>
      <c r="O588" s="1723"/>
      <c r="T588" s="46"/>
      <c r="U588" s="16" t="s">
        <v>918</v>
      </c>
      <c r="AG588" s="1723" t="s">
        <v>531</v>
      </c>
      <c r="AH588" s="172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0">
        <f>C564</f>
        <v>0</v>
      </c>
      <c r="H590" s="1840"/>
      <c r="I590" s="1840"/>
      <c r="J590" s="1840"/>
      <c r="K590" s="1840"/>
      <c r="L590" s="1840"/>
      <c r="M590" s="1840"/>
      <c r="N590" s="1840"/>
      <c r="O590" s="1840"/>
      <c r="P590" s="1840"/>
      <c r="Q590" s="1840"/>
      <c r="R590" s="1840"/>
      <c r="T590" s="101" t="s">
        <v>483</v>
      </c>
      <c r="U590" s="16" t="s">
        <v>93</v>
      </c>
      <c r="Z590" s="1840">
        <f>C565</f>
        <v>0</v>
      </c>
      <c r="AA590" s="1840"/>
      <c r="AB590" s="1840"/>
      <c r="AC590" s="1840"/>
      <c r="AD590" s="1840"/>
      <c r="AE590" s="1840"/>
      <c r="AF590" s="1840"/>
      <c r="AG590" s="1840"/>
      <c r="AH590" s="1840"/>
      <c r="AI590" s="1840"/>
      <c r="AJ590" s="1840"/>
      <c r="AK590" s="184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1"/>
      <c r="H591" s="1691"/>
      <c r="I591" s="1691"/>
      <c r="J591" s="1691"/>
      <c r="K591" s="1691"/>
      <c r="L591" s="1691"/>
      <c r="M591" s="1691"/>
      <c r="N591" s="1691"/>
      <c r="O591" s="1691"/>
      <c r="P591" s="1691"/>
      <c r="Q591" s="1691"/>
      <c r="R591" s="1691"/>
      <c r="T591" s="46"/>
      <c r="U591" s="16" t="s">
        <v>416</v>
      </c>
      <c r="Z591" s="1691"/>
      <c r="AA591" s="1691"/>
      <c r="AB591" s="1691"/>
      <c r="AC591" s="1691"/>
      <c r="AD591" s="1691"/>
      <c r="AE591" s="1691"/>
      <c r="AF591" s="1691"/>
      <c r="AG591" s="1691"/>
      <c r="AH591" s="1691"/>
      <c r="AI591" s="1691"/>
      <c r="AJ591" s="1691"/>
      <c r="AK591" s="169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1"/>
      <c r="H592" s="1691"/>
      <c r="I592" s="1691"/>
      <c r="J592" s="1691"/>
      <c r="K592" s="1691"/>
      <c r="L592" s="1691"/>
      <c r="M592" s="1691"/>
      <c r="N592" s="1691"/>
      <c r="O592" s="1691"/>
      <c r="P592" s="1691"/>
      <c r="Q592" s="1691"/>
      <c r="R592" s="1691"/>
      <c r="T592" s="46"/>
      <c r="U592" s="16" t="s">
        <v>479</v>
      </c>
      <c r="Z592" s="1690"/>
      <c r="AA592" s="1690"/>
      <c r="AB592" s="1690"/>
      <c r="AC592" s="1690"/>
      <c r="AD592" s="1690"/>
      <c r="AE592" s="1690"/>
      <c r="AF592" s="1690"/>
      <c r="AG592" s="1690"/>
      <c r="AH592" s="1690"/>
      <c r="AI592" s="1690"/>
      <c r="AJ592" s="1690"/>
      <c r="AK592" s="169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1"/>
      <c r="H593" s="1691"/>
      <c r="I593" s="1691"/>
      <c r="J593" s="1691"/>
      <c r="K593" s="1691"/>
      <c r="L593" s="1691"/>
      <c r="M593" s="1691"/>
      <c r="N593" s="1691"/>
      <c r="O593" s="1691"/>
      <c r="P593" s="1691"/>
      <c r="Q593" s="1691"/>
      <c r="R593" s="1691"/>
      <c r="T593" s="46"/>
      <c r="U593" s="16" t="s">
        <v>915</v>
      </c>
      <c r="Z593" s="1690"/>
      <c r="AA593" s="1690"/>
      <c r="AB593" s="1690"/>
      <c r="AC593" s="1690"/>
      <c r="AD593" s="1690"/>
      <c r="AE593" s="1690"/>
      <c r="AF593" s="1690"/>
      <c r="AG593" s="1690"/>
      <c r="AH593" s="1690"/>
      <c r="AI593" s="1690"/>
      <c r="AJ593" s="1690"/>
      <c r="AK593" s="169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3"/>
      <c r="H594" s="1683"/>
      <c r="I594" s="1683"/>
      <c r="J594" s="1683"/>
      <c r="K594" s="1683"/>
      <c r="L594" s="1683"/>
      <c r="O594" s="149" t="s">
        <v>900</v>
      </c>
      <c r="P594" s="1696"/>
      <c r="Q594" s="1696"/>
      <c r="R594" s="1696"/>
      <c r="T594" s="46"/>
      <c r="U594" s="16" t="s">
        <v>716</v>
      </c>
      <c r="Z594" s="1683"/>
      <c r="AA594" s="1683"/>
      <c r="AB594" s="1683"/>
      <c r="AC594" s="1683"/>
      <c r="AD594" s="1683"/>
      <c r="AE594" s="1683"/>
      <c r="AH594" s="149" t="s">
        <v>900</v>
      </c>
      <c r="AI594" s="1696"/>
      <c r="AJ594" s="1696"/>
      <c r="AK594" s="169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1"/>
      <c r="I595" s="1691"/>
      <c r="J595" s="1691"/>
      <c r="K595" s="1691"/>
      <c r="L595" s="1691"/>
      <c r="M595" s="1691"/>
      <c r="N595" s="1691"/>
      <c r="O595" s="1691"/>
      <c r="P595" s="1691"/>
      <c r="Q595" s="1691"/>
      <c r="R595" s="1691"/>
      <c r="T595" s="46"/>
      <c r="U595" s="16" t="s">
        <v>916</v>
      </c>
      <c r="AA595" s="1691"/>
      <c r="AB595" s="1691"/>
      <c r="AC595" s="1691"/>
      <c r="AD595" s="1691"/>
      <c r="AE595" s="1691"/>
      <c r="AF595" s="1691"/>
      <c r="AG595" s="1691"/>
      <c r="AH595" s="1691"/>
      <c r="AI595" s="1691"/>
      <c r="AJ595" s="1691"/>
      <c r="AK595" s="169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3" t="s">
        <v>531</v>
      </c>
      <c r="O596" s="1723"/>
      <c r="T596" s="46"/>
      <c r="U596" s="16" t="s">
        <v>918</v>
      </c>
      <c r="AG596" s="1723" t="s">
        <v>531</v>
      </c>
      <c r="AH596" s="172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0">
        <f>C566</f>
        <v>0</v>
      </c>
      <c r="H598" s="1840"/>
      <c r="I598" s="1840"/>
      <c r="J598" s="1840"/>
      <c r="K598" s="1840"/>
      <c r="L598" s="1840"/>
      <c r="M598" s="1840"/>
      <c r="N598" s="1840"/>
      <c r="O598" s="1840"/>
      <c r="P598" s="1840"/>
      <c r="Q598" s="1840"/>
      <c r="R598" s="1840"/>
      <c r="T598" s="101" t="s">
        <v>811</v>
      </c>
      <c r="U598" s="16" t="s">
        <v>93</v>
      </c>
      <c r="Z598" s="1840">
        <f>C567</f>
        <v>0</v>
      </c>
      <c r="AA598" s="1840"/>
      <c r="AB598" s="1840"/>
      <c r="AC598" s="1840"/>
      <c r="AD598" s="1840"/>
      <c r="AE598" s="1840"/>
      <c r="AF598" s="1840"/>
      <c r="AG598" s="1840"/>
      <c r="AH598" s="1840"/>
      <c r="AI598" s="1840"/>
      <c r="AJ598" s="1840"/>
      <c r="AK598" s="184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1"/>
      <c r="H599" s="1691"/>
      <c r="I599" s="1691"/>
      <c r="J599" s="1691"/>
      <c r="K599" s="1691"/>
      <c r="L599" s="1691"/>
      <c r="M599" s="1691"/>
      <c r="N599" s="1691"/>
      <c r="O599" s="1691"/>
      <c r="P599" s="1691"/>
      <c r="Q599" s="1691"/>
      <c r="R599" s="1691"/>
      <c r="T599" s="46"/>
      <c r="U599" s="16" t="s">
        <v>416</v>
      </c>
      <c r="Z599" s="1691"/>
      <c r="AA599" s="1691"/>
      <c r="AB599" s="1691"/>
      <c r="AC599" s="1691"/>
      <c r="AD599" s="1691"/>
      <c r="AE599" s="1691"/>
      <c r="AF599" s="1691"/>
      <c r="AG599" s="1691"/>
      <c r="AH599" s="1691"/>
      <c r="AI599" s="1691"/>
      <c r="AJ599" s="1691"/>
      <c r="AK599" s="169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1"/>
      <c r="H600" s="1691"/>
      <c r="I600" s="1691"/>
      <c r="J600" s="1691"/>
      <c r="K600" s="1691"/>
      <c r="L600" s="1691"/>
      <c r="M600" s="1691"/>
      <c r="N600" s="1691"/>
      <c r="O600" s="1691"/>
      <c r="P600" s="1691"/>
      <c r="Q600" s="1691"/>
      <c r="R600" s="1691"/>
      <c r="S600" s="16"/>
      <c r="T600" s="46"/>
      <c r="U600" s="16" t="s">
        <v>479</v>
      </c>
      <c r="V600" s="16"/>
      <c r="W600" s="16"/>
      <c r="X600" s="16"/>
      <c r="Y600" s="16"/>
      <c r="Z600" s="1690"/>
      <c r="AA600" s="1690"/>
      <c r="AB600" s="1690"/>
      <c r="AC600" s="1690"/>
      <c r="AD600" s="1690"/>
      <c r="AE600" s="1690"/>
      <c r="AF600" s="1690"/>
      <c r="AG600" s="1690"/>
      <c r="AH600" s="1690"/>
      <c r="AI600" s="1690"/>
      <c r="AJ600" s="1690"/>
      <c r="AK600" s="169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1"/>
      <c r="H601" s="1691"/>
      <c r="I601" s="1691"/>
      <c r="J601" s="1691"/>
      <c r="K601" s="1691"/>
      <c r="L601" s="1691"/>
      <c r="M601" s="1691"/>
      <c r="N601" s="1691"/>
      <c r="O601" s="1691"/>
      <c r="P601" s="1691"/>
      <c r="Q601" s="1691"/>
      <c r="R601" s="1691"/>
      <c r="S601" s="16"/>
      <c r="T601" s="46"/>
      <c r="U601" s="16" t="s">
        <v>915</v>
      </c>
      <c r="V601" s="16"/>
      <c r="W601" s="16"/>
      <c r="X601" s="16"/>
      <c r="Y601" s="16"/>
      <c r="Z601" s="1690"/>
      <c r="AA601" s="1690"/>
      <c r="AB601" s="1690"/>
      <c r="AC601" s="1690"/>
      <c r="AD601" s="1690"/>
      <c r="AE601" s="1690"/>
      <c r="AF601" s="1690"/>
      <c r="AG601" s="1690"/>
      <c r="AH601" s="1690"/>
      <c r="AI601" s="1690"/>
      <c r="AJ601" s="1690"/>
      <c r="AK601" s="1690"/>
      <c r="AL601" s="16"/>
      <c r="AM601" s="72"/>
      <c r="AN601" s="72"/>
      <c r="AO601" s="72"/>
      <c r="AP601" s="72"/>
      <c r="AQ601" s="72"/>
      <c r="AR601" s="72"/>
      <c r="AS601" s="72"/>
      <c r="AT601" s="72"/>
      <c r="AU601" s="72"/>
      <c r="AV601" s="72"/>
      <c r="AW601" s="72"/>
      <c r="AX601" s="72"/>
      <c r="AY601" s="72"/>
      <c r="AZ601" s="72"/>
      <c r="BN601" s="1429" t="s">
        <v>468</v>
      </c>
      <c r="BO601" s="1429"/>
      <c r="BP601" s="1429"/>
      <c r="BQ601" s="1430"/>
      <c r="BR601" s="1431"/>
      <c r="BS601" s="1429" t="s">
        <v>491</v>
      </c>
      <c r="BT601" s="1429"/>
      <c r="BU601" s="1429"/>
      <c r="BV601" s="1430"/>
      <c r="BW601" s="1431"/>
      <c r="BX601" s="1431" t="s">
        <v>853</v>
      </c>
      <c r="BY601" s="1429"/>
      <c r="BZ601" s="1429"/>
      <c r="CA601" s="1429"/>
      <c r="CB601" s="1429"/>
      <c r="CC601" s="1429" t="s">
        <v>854</v>
      </c>
      <c r="CD601" s="1429"/>
      <c r="CE601" s="1429"/>
      <c r="CF601" s="1429"/>
      <c r="CG601" s="1429"/>
      <c r="CH601" s="1429" t="s">
        <v>867</v>
      </c>
      <c r="CI601" s="1429"/>
      <c r="CJ601" s="1429"/>
      <c r="CK601" s="1429"/>
      <c r="CL601" s="1429"/>
      <c r="CM601" s="1429" t="s">
        <v>383</v>
      </c>
      <c r="CN601" s="1429"/>
      <c r="CO601" s="1429"/>
      <c r="CP601" s="1430"/>
      <c r="CQ601" s="1431"/>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3"/>
      <c r="H602" s="1683"/>
      <c r="I602" s="1683"/>
      <c r="J602" s="1683"/>
      <c r="K602" s="1683"/>
      <c r="L602" s="1683"/>
      <c r="M602" s="16"/>
      <c r="N602" s="16"/>
      <c r="O602" s="149" t="s">
        <v>900</v>
      </c>
      <c r="P602" s="1696"/>
      <c r="Q602" s="1696"/>
      <c r="R602" s="1696"/>
      <c r="S602" s="16"/>
      <c r="T602" s="46"/>
      <c r="U602" s="16" t="s">
        <v>716</v>
      </c>
      <c r="V602" s="16"/>
      <c r="W602" s="16"/>
      <c r="X602" s="16"/>
      <c r="Y602" s="16"/>
      <c r="Z602" s="1683"/>
      <c r="AA602" s="1683"/>
      <c r="AB602" s="1683"/>
      <c r="AC602" s="1683"/>
      <c r="AD602" s="1683"/>
      <c r="AE602" s="1683"/>
      <c r="AF602" s="16"/>
      <c r="AG602" s="16"/>
      <c r="AH602" s="149" t="s">
        <v>900</v>
      </c>
      <c r="AI602" s="1696"/>
      <c r="AJ602" s="1696"/>
      <c r="AK602" s="1696"/>
      <c r="AL602" s="16"/>
      <c r="AZ602" s="8" t="s">
        <v>490</v>
      </c>
      <c r="BA602" s="72"/>
      <c r="BB602" s="72"/>
      <c r="BC602" s="72"/>
      <c r="BD602" s="72"/>
      <c r="BE602" s="334" t="s">
        <v>392</v>
      </c>
      <c r="BF602" s="335"/>
      <c r="BG602" s="1802"/>
      <c r="BH602" s="1805"/>
      <c r="BI602" s="334" t="s">
        <v>393</v>
      </c>
      <c r="BJ602" s="335"/>
      <c r="BK602" s="1802"/>
      <c r="BL602" s="1805"/>
      <c r="BN602" s="1802">
        <f t="shared" ref="BN602:BN626" si="0">IF(B706="SRO/Studio",G706,0)</f>
        <v>0</v>
      </c>
      <c r="BO602" s="1803"/>
      <c r="BP602" s="1803"/>
      <c r="BQ602" s="1803"/>
      <c r="BR602" s="1804"/>
      <c r="BS602" s="1802">
        <f t="shared" ref="BS602:BS626" si="1">IF(B706="1 Bedroom",G706,0)</f>
        <v>20</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50">
        <f t="shared" ref="CM602:CM626" si="5">IF(B706="5 Bedrooms",G706,0)</f>
        <v>0</v>
      </c>
      <c r="CN602" s="2151"/>
      <c r="CO602" s="2151"/>
      <c r="CP602" s="2151"/>
      <c r="CQ602" s="1804"/>
      <c r="CS602" s="1429" t="s">
        <v>468</v>
      </c>
      <c r="CT602" s="1429"/>
      <c r="CU602" s="1429"/>
      <c r="CV602" s="1429"/>
      <c r="CW602" s="1429"/>
      <c r="CX602" s="1429" t="s">
        <v>491</v>
      </c>
      <c r="CY602" s="1429"/>
      <c r="CZ602" s="1430"/>
      <c r="DA602" s="1432"/>
      <c r="DB602" s="1431"/>
      <c r="DC602" s="1429" t="s">
        <v>853</v>
      </c>
      <c r="DD602" s="1429"/>
      <c r="DE602" s="1429"/>
      <c r="DF602" s="1429"/>
      <c r="DG602" s="1429"/>
      <c r="DH602" s="1429" t="s">
        <v>854</v>
      </c>
      <c r="DI602" s="1429"/>
      <c r="DJ602" s="1429"/>
      <c r="DK602" s="1429"/>
      <c r="DL602" s="1429"/>
      <c r="DM602" s="1429" t="s">
        <v>867</v>
      </c>
      <c r="DN602" s="1429"/>
      <c r="DO602" s="1429"/>
      <c r="DP602" s="1429"/>
      <c r="DQ602" s="1429"/>
      <c r="DR602" s="1429" t="s">
        <v>383</v>
      </c>
      <c r="DS602" s="1429"/>
      <c r="DT602" s="1429"/>
      <c r="DU602" s="1429"/>
      <c r="DV602" s="1429"/>
    </row>
    <row r="603" spans="1:126" s="8" customFormat="1" ht="12.75">
      <c r="A603" s="46"/>
      <c r="B603" s="16" t="s">
        <v>916</v>
      </c>
      <c r="C603" s="16"/>
      <c r="D603" s="16"/>
      <c r="E603" s="16"/>
      <c r="F603" s="16"/>
      <c r="G603" s="16"/>
      <c r="H603" s="1691"/>
      <c r="I603" s="1691"/>
      <c r="J603" s="1691"/>
      <c r="K603" s="1691"/>
      <c r="L603" s="1691"/>
      <c r="M603" s="1691"/>
      <c r="N603" s="1691"/>
      <c r="O603" s="1691"/>
      <c r="P603" s="1691"/>
      <c r="Q603" s="1691"/>
      <c r="R603" s="1691"/>
      <c r="S603" s="16"/>
      <c r="T603" s="46"/>
      <c r="U603" s="16" t="s">
        <v>916</v>
      </c>
      <c r="V603" s="16"/>
      <c r="W603" s="16"/>
      <c r="X603" s="16"/>
      <c r="Y603" s="16"/>
      <c r="Z603" s="16"/>
      <c r="AA603" s="1691"/>
      <c r="AB603" s="1691"/>
      <c r="AC603" s="1691"/>
      <c r="AD603" s="1691"/>
      <c r="AE603" s="1691"/>
      <c r="AF603" s="1691"/>
      <c r="AG603" s="1691"/>
      <c r="AH603" s="1691"/>
      <c r="AI603" s="1691"/>
      <c r="AJ603" s="1691"/>
      <c r="AK603" s="1691"/>
      <c r="AL603" s="16"/>
      <c r="AZ603" s="8" t="s">
        <v>491</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20</v>
      </c>
      <c r="BL603" s="1805"/>
      <c r="BN603" s="1802">
        <f t="shared" si="0"/>
        <v>0</v>
      </c>
      <c r="BO603" s="1803"/>
      <c r="BP603" s="1803"/>
      <c r="BQ603" s="1803"/>
      <c r="BR603" s="1804"/>
      <c r="BS603" s="1802">
        <f t="shared" si="1"/>
        <v>20</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47">
        <f>IF(AND(B706="SRO/Studio",AH706&lt;=0.3),G706,0)</f>
        <v>0</v>
      </c>
      <c r="CT603" s="2148"/>
      <c r="CU603" s="2148"/>
      <c r="CV603" s="2148"/>
      <c r="CW603" s="2149"/>
      <c r="CX603" s="2147">
        <f>IF(AND(B706="1 Bedroom",AH706&lt;=0.3),G706,0)</f>
        <v>20</v>
      </c>
      <c r="CY603" s="2148"/>
      <c r="CZ603" s="2148"/>
      <c r="DA603" s="2148"/>
      <c r="DB603" s="2149"/>
      <c r="DC603" s="2147">
        <f>IF(AND(B706="2 Bedrooms",AH706&lt;=0.3),G706,0)</f>
        <v>0</v>
      </c>
      <c r="DD603" s="2148"/>
      <c r="DE603" s="2148"/>
      <c r="DF603" s="2148"/>
      <c r="DG603" s="2149"/>
      <c r="DH603" s="2147">
        <f>IF(AND(B706="3 Bedrooms",AH706&lt;=0.3),G706,0)</f>
        <v>0</v>
      </c>
      <c r="DI603" s="2148"/>
      <c r="DJ603" s="2148"/>
      <c r="DK603" s="2148"/>
      <c r="DL603" s="2149"/>
      <c r="DM603" s="2147">
        <f>IF(AND(B706="4 Bedrooms",AH706&lt;=0.3),G706,0)</f>
        <v>0</v>
      </c>
      <c r="DN603" s="2148"/>
      <c r="DO603" s="2148"/>
      <c r="DP603" s="2148"/>
      <c r="DQ603" s="2149"/>
      <c r="DR603" s="2147">
        <f>IF(AND(B706="5 Bedrooms",AH706&lt;=0.3),G706,0)</f>
        <v>0</v>
      </c>
      <c r="DS603" s="2148"/>
      <c r="DT603" s="2148"/>
      <c r="DU603" s="2148"/>
      <c r="DV603" s="2149"/>
    </row>
    <row r="604" spans="1:126" s="8" customFormat="1" ht="12.75">
      <c r="A604" s="46"/>
      <c r="B604" s="16" t="s">
        <v>918</v>
      </c>
      <c r="C604" s="16"/>
      <c r="D604" s="16"/>
      <c r="E604" s="16"/>
      <c r="F604" s="16"/>
      <c r="G604" s="16"/>
      <c r="H604" s="16"/>
      <c r="I604" s="16"/>
      <c r="J604" s="16"/>
      <c r="K604" s="16"/>
      <c r="L604" s="16"/>
      <c r="M604" s="16"/>
      <c r="N604" s="1723" t="s">
        <v>531</v>
      </c>
      <c r="O604" s="1723"/>
      <c r="P604" s="16"/>
      <c r="Q604" s="16"/>
      <c r="R604" s="16"/>
      <c r="S604" s="16"/>
      <c r="T604" s="46"/>
      <c r="U604" s="16" t="s">
        <v>918</v>
      </c>
      <c r="V604" s="16"/>
      <c r="W604" s="16"/>
      <c r="X604" s="16"/>
      <c r="Y604" s="16"/>
      <c r="Z604" s="16"/>
      <c r="AA604" s="16"/>
      <c r="AB604" s="16"/>
      <c r="AC604" s="16"/>
      <c r="AD604" s="16"/>
      <c r="AE604" s="16"/>
      <c r="AF604" s="16"/>
      <c r="AG604" s="1723" t="s">
        <v>531</v>
      </c>
      <c r="AH604" s="1723"/>
      <c r="AI604" s="16"/>
      <c r="AJ604" s="16"/>
      <c r="AK604" s="16"/>
      <c r="AL604" s="16"/>
      <c r="AZ604" s="8" t="s">
        <v>853</v>
      </c>
      <c r="BA604" s="72"/>
      <c r="BB604" s="72"/>
      <c r="BC604" s="72"/>
      <c r="BD604" s="72"/>
      <c r="BE604" s="1806">
        <f t="shared" ref="BE604:BE627" si="8">IF(AND(AH707&lt;=0.5,AH707&gt;=0.36),1,0)</f>
        <v>0</v>
      </c>
      <c r="BF604" s="1807"/>
      <c r="BG604" s="1802">
        <f t="shared" si="6"/>
        <v>0</v>
      </c>
      <c r="BH604" s="1805"/>
      <c r="BI604" s="1806">
        <f t="shared" ref="BI604:BI627" si="9">IF(AND(AH707&lt;=0.35,AH707&gt;0),1,0)</f>
        <v>1</v>
      </c>
      <c r="BJ604" s="1807"/>
      <c r="BK604" s="1802">
        <f t="shared" si="7"/>
        <v>20</v>
      </c>
      <c r="BL604" s="1805"/>
      <c r="BN604" s="1802">
        <f t="shared" si="0"/>
        <v>0</v>
      </c>
      <c r="BO604" s="1803"/>
      <c r="BP604" s="1803"/>
      <c r="BQ604" s="1803"/>
      <c r="BR604" s="1804"/>
      <c r="BS604" s="1802">
        <f t="shared" si="1"/>
        <v>10</v>
      </c>
      <c r="BT604" s="1803"/>
      <c r="BU604" s="1803"/>
      <c r="BV604" s="1803"/>
      <c r="BW604" s="1805"/>
      <c r="BX604" s="1802">
        <f t="shared" si="2"/>
        <v>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47">
        <f t="shared" ref="CS604:CS627" si="10">IF(AND(B707="SRO/Studio",AH707&lt;=0.3),G707,0)</f>
        <v>0</v>
      </c>
      <c r="CT604" s="2148"/>
      <c r="CU604" s="2148"/>
      <c r="CV604" s="2148"/>
      <c r="CW604" s="2149"/>
      <c r="CX604" s="2147">
        <f t="shared" ref="CX604:CX627" si="11">IF(AND(B707="1 Bedroom",AH707&lt;=0.3),G707,0)</f>
        <v>20</v>
      </c>
      <c r="CY604" s="2148"/>
      <c r="CZ604" s="2148"/>
      <c r="DA604" s="2148"/>
      <c r="DB604" s="2149"/>
      <c r="DC604" s="2147">
        <f t="shared" ref="DC604:DC627" si="12">IF(AND(B707="2 Bedrooms",AH707&lt;=0.3),G707,0)</f>
        <v>0</v>
      </c>
      <c r="DD604" s="2148"/>
      <c r="DE604" s="2148"/>
      <c r="DF604" s="2148"/>
      <c r="DG604" s="2149"/>
      <c r="DH604" s="2147">
        <f t="shared" ref="DH604:DH627" si="13">IF(AND(B707="3 Bedrooms",AH707&lt;=0.3),G707,0)</f>
        <v>0</v>
      </c>
      <c r="DI604" s="2148"/>
      <c r="DJ604" s="2148"/>
      <c r="DK604" s="2148"/>
      <c r="DL604" s="2149"/>
      <c r="DM604" s="2147">
        <f t="shared" ref="DM604:DM627" si="14">IF(AND(B707="4 Bedrooms",AH707&lt;=0.3),G707,0)</f>
        <v>0</v>
      </c>
      <c r="DN604" s="2148"/>
      <c r="DO604" s="2148"/>
      <c r="DP604" s="2148"/>
      <c r="DQ604" s="2149"/>
      <c r="DR604" s="2147">
        <f t="shared" ref="DR604:DR627" si="15">IF(AND(B707="5 Bedrooms",AH707&lt;=0.3),G707,0)</f>
        <v>0</v>
      </c>
      <c r="DS604" s="2148"/>
      <c r="DT604" s="2148"/>
      <c r="DU604" s="2148"/>
      <c r="DV604" s="2149"/>
    </row>
    <row r="605" spans="1:126" ht="12.75">
      <c r="AZ605" s="8" t="s">
        <v>854</v>
      </c>
      <c r="BA605" s="72"/>
      <c r="BB605" s="72"/>
      <c r="BC605" s="72"/>
      <c r="BD605" s="72"/>
      <c r="BE605" s="1806">
        <f t="shared" si="8"/>
        <v>1</v>
      </c>
      <c r="BF605" s="1807"/>
      <c r="BG605" s="1802">
        <f t="shared" si="6"/>
        <v>10</v>
      </c>
      <c r="BH605" s="1805"/>
      <c r="BI605" s="1806">
        <f t="shared" si="9"/>
        <v>0</v>
      </c>
      <c r="BJ605" s="1807"/>
      <c r="BK605" s="1802">
        <f t="shared" si="7"/>
        <v>0</v>
      </c>
      <c r="BL605" s="1805"/>
      <c r="BN605" s="1802">
        <f t="shared" si="0"/>
        <v>0</v>
      </c>
      <c r="BO605" s="1803"/>
      <c r="BP605" s="1803"/>
      <c r="BQ605" s="1803"/>
      <c r="BR605" s="1804"/>
      <c r="BS605" s="1802">
        <f t="shared" si="1"/>
        <v>30</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47">
        <f t="shared" si="10"/>
        <v>0</v>
      </c>
      <c r="CT605" s="2148"/>
      <c r="CU605" s="2148"/>
      <c r="CV605" s="2148"/>
      <c r="CW605" s="2149"/>
      <c r="CX605" s="2147">
        <f t="shared" si="11"/>
        <v>0</v>
      </c>
      <c r="CY605" s="2148"/>
      <c r="CZ605" s="2148"/>
      <c r="DA605" s="2148"/>
      <c r="DB605" s="2149"/>
      <c r="DC605" s="2147">
        <f t="shared" si="12"/>
        <v>0</v>
      </c>
      <c r="DD605" s="2148"/>
      <c r="DE605" s="2148"/>
      <c r="DF605" s="2148"/>
      <c r="DG605" s="2149"/>
      <c r="DH605" s="2147">
        <f t="shared" si="13"/>
        <v>0</v>
      </c>
      <c r="DI605" s="2148"/>
      <c r="DJ605" s="2148"/>
      <c r="DK605" s="2148"/>
      <c r="DL605" s="2149"/>
      <c r="DM605" s="2147">
        <f t="shared" si="14"/>
        <v>0</v>
      </c>
      <c r="DN605" s="2148"/>
      <c r="DO605" s="2148"/>
      <c r="DP605" s="2148"/>
      <c r="DQ605" s="2149"/>
      <c r="DR605" s="2147">
        <f t="shared" si="15"/>
        <v>0</v>
      </c>
      <c r="DS605" s="2148"/>
      <c r="DT605" s="2148"/>
      <c r="DU605" s="2148"/>
      <c r="DV605" s="2149"/>
    </row>
    <row r="606" spans="1:126" ht="12.75">
      <c r="A606" s="101" t="s">
        <v>606</v>
      </c>
      <c r="B606" s="16" t="s">
        <v>93</v>
      </c>
      <c r="G606" s="1840">
        <f>C568</f>
        <v>0</v>
      </c>
      <c r="H606" s="1840"/>
      <c r="I606" s="1840"/>
      <c r="J606" s="1840"/>
      <c r="K606" s="1840"/>
      <c r="L606" s="1840"/>
      <c r="M606" s="1840"/>
      <c r="N606" s="1840"/>
      <c r="O606" s="1840"/>
      <c r="P606" s="1840"/>
      <c r="Q606" s="1840"/>
      <c r="R606" s="1840"/>
      <c r="T606" s="101" t="s">
        <v>191</v>
      </c>
      <c r="U606" s="16" t="s">
        <v>93</v>
      </c>
      <c r="Z606" s="1840">
        <f>C569</f>
        <v>0</v>
      </c>
      <c r="AA606" s="1840"/>
      <c r="AB606" s="1840"/>
      <c r="AC606" s="1840"/>
      <c r="AD606" s="1840"/>
      <c r="AE606" s="1840"/>
      <c r="AF606" s="1840"/>
      <c r="AG606" s="1840"/>
      <c r="AH606" s="1840"/>
      <c r="AI606" s="1840"/>
      <c r="AJ606" s="1840"/>
      <c r="AK606" s="1840"/>
      <c r="AZ606" s="8" t="s">
        <v>855</v>
      </c>
      <c r="BA606" s="72"/>
      <c r="BB606" s="72"/>
      <c r="BC606" s="72"/>
      <c r="BD606" s="72"/>
      <c r="BE606" s="1806">
        <f t="shared" si="8"/>
        <v>1</v>
      </c>
      <c r="BF606" s="1807"/>
      <c r="BG606" s="1802">
        <f t="shared" si="6"/>
        <v>30</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5</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47">
        <f t="shared" si="10"/>
        <v>0</v>
      </c>
      <c r="CT606" s="2148"/>
      <c r="CU606" s="2148"/>
      <c r="CV606" s="2148"/>
      <c r="CW606" s="2149"/>
      <c r="CX606" s="2147">
        <f t="shared" si="11"/>
        <v>0</v>
      </c>
      <c r="CY606" s="2148"/>
      <c r="CZ606" s="2148"/>
      <c r="DA606" s="2148"/>
      <c r="DB606" s="2149"/>
      <c r="DC606" s="2147">
        <f t="shared" si="12"/>
        <v>0</v>
      </c>
      <c r="DD606" s="2148"/>
      <c r="DE606" s="2148"/>
      <c r="DF606" s="2148"/>
      <c r="DG606" s="2149"/>
      <c r="DH606" s="2147">
        <f t="shared" si="13"/>
        <v>0</v>
      </c>
      <c r="DI606" s="2148"/>
      <c r="DJ606" s="2148"/>
      <c r="DK606" s="2148"/>
      <c r="DL606" s="2149"/>
      <c r="DM606" s="2147">
        <f t="shared" si="14"/>
        <v>0</v>
      </c>
      <c r="DN606" s="2148"/>
      <c r="DO606" s="2148"/>
      <c r="DP606" s="2148"/>
      <c r="DQ606" s="2149"/>
      <c r="DR606" s="2147">
        <f t="shared" si="15"/>
        <v>0</v>
      </c>
      <c r="DS606" s="2148"/>
      <c r="DT606" s="2148"/>
      <c r="DU606" s="2148"/>
      <c r="DV606" s="2149"/>
    </row>
    <row r="607" spans="1:126" ht="12.75">
      <c r="A607" s="46"/>
      <c r="B607" s="16" t="s">
        <v>416</v>
      </c>
      <c r="G607" s="1691"/>
      <c r="H607" s="1691"/>
      <c r="I607" s="1691"/>
      <c r="J607" s="1691"/>
      <c r="K607" s="1691"/>
      <c r="L607" s="1691"/>
      <c r="M607" s="1691"/>
      <c r="N607" s="1691"/>
      <c r="O607" s="1691"/>
      <c r="P607" s="1691"/>
      <c r="Q607" s="1691"/>
      <c r="R607" s="1691"/>
      <c r="T607" s="46"/>
      <c r="U607" s="16" t="s">
        <v>416</v>
      </c>
      <c r="Z607" s="1691"/>
      <c r="AA607" s="1691"/>
      <c r="AB607" s="1691"/>
      <c r="AC607" s="1691"/>
      <c r="AD607" s="1691"/>
      <c r="AE607" s="1691"/>
      <c r="AF607" s="1691"/>
      <c r="AG607" s="1691"/>
      <c r="AH607" s="1691"/>
      <c r="AI607" s="1691"/>
      <c r="AJ607" s="1691"/>
      <c r="AK607" s="1691"/>
      <c r="AZ607" s="8" t="s">
        <v>383</v>
      </c>
      <c r="BA607" s="72"/>
      <c r="BB607" s="72"/>
      <c r="BC607" s="72"/>
      <c r="BD607" s="72"/>
      <c r="BE607" s="1806">
        <f t="shared" si="8"/>
        <v>0</v>
      </c>
      <c r="BF607" s="1807"/>
      <c r="BG607" s="1802">
        <f t="shared" si="6"/>
        <v>0</v>
      </c>
      <c r="BH607" s="1805"/>
      <c r="BI607" s="1806">
        <f t="shared" si="9"/>
        <v>1</v>
      </c>
      <c r="BJ607" s="1807"/>
      <c r="BK607" s="1802">
        <f t="shared" si="7"/>
        <v>5</v>
      </c>
      <c r="BL607" s="1805"/>
      <c r="BN607" s="1802">
        <f t="shared" si="0"/>
        <v>0</v>
      </c>
      <c r="BO607" s="1803"/>
      <c r="BP607" s="1803"/>
      <c r="BQ607" s="1803"/>
      <c r="BR607" s="1804"/>
      <c r="BS607" s="1802">
        <f t="shared" si="1"/>
        <v>0</v>
      </c>
      <c r="BT607" s="1803"/>
      <c r="BU607" s="1803"/>
      <c r="BV607" s="1803"/>
      <c r="BW607" s="1805"/>
      <c r="BX607" s="1802">
        <f t="shared" si="2"/>
        <v>15</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47">
        <f t="shared" si="10"/>
        <v>0</v>
      </c>
      <c r="CT607" s="2148"/>
      <c r="CU607" s="2148"/>
      <c r="CV607" s="2148"/>
      <c r="CW607" s="2149"/>
      <c r="CX607" s="2147">
        <f t="shared" si="11"/>
        <v>0</v>
      </c>
      <c r="CY607" s="2148"/>
      <c r="CZ607" s="2148"/>
      <c r="DA607" s="2148"/>
      <c r="DB607" s="2149"/>
      <c r="DC607" s="2147">
        <f t="shared" si="12"/>
        <v>5</v>
      </c>
      <c r="DD607" s="2148"/>
      <c r="DE607" s="2148"/>
      <c r="DF607" s="2148"/>
      <c r="DG607" s="2149"/>
      <c r="DH607" s="2147">
        <f t="shared" si="13"/>
        <v>0</v>
      </c>
      <c r="DI607" s="2148"/>
      <c r="DJ607" s="2148"/>
      <c r="DK607" s="2148"/>
      <c r="DL607" s="2149"/>
      <c r="DM607" s="2147">
        <f t="shared" si="14"/>
        <v>0</v>
      </c>
      <c r="DN607" s="2148"/>
      <c r="DO607" s="2148"/>
      <c r="DP607" s="2148"/>
      <c r="DQ607" s="2149"/>
      <c r="DR607" s="2147">
        <f t="shared" si="15"/>
        <v>0</v>
      </c>
      <c r="DS607" s="2148"/>
      <c r="DT607" s="2148"/>
      <c r="DU607" s="2148"/>
      <c r="DV607" s="2149"/>
    </row>
    <row r="608" spans="1:126" ht="12.75">
      <c r="A608" s="46"/>
      <c r="B608" s="16" t="s">
        <v>479</v>
      </c>
      <c r="G608" s="1691"/>
      <c r="H608" s="1691"/>
      <c r="I608" s="1691"/>
      <c r="J608" s="1691"/>
      <c r="K608" s="1691"/>
      <c r="L608" s="1691"/>
      <c r="M608" s="1691"/>
      <c r="N608" s="1691"/>
      <c r="O608" s="1691"/>
      <c r="P608" s="1691"/>
      <c r="Q608" s="1691"/>
      <c r="R608" s="1691"/>
      <c r="T608" s="46"/>
      <c r="U608" s="16" t="s">
        <v>479</v>
      </c>
      <c r="Z608" s="1690"/>
      <c r="AA608" s="1690"/>
      <c r="AB608" s="1690"/>
      <c r="AC608" s="1690"/>
      <c r="AD608" s="1690"/>
      <c r="AE608" s="1690"/>
      <c r="AF608" s="1690"/>
      <c r="AG608" s="1690"/>
      <c r="AH608" s="1690"/>
      <c r="AI608" s="1690"/>
      <c r="AJ608" s="1690"/>
      <c r="AK608" s="1690"/>
      <c r="AZ608" s="72"/>
      <c r="BA608" s="72"/>
      <c r="BB608" s="72"/>
      <c r="BC608" s="72"/>
      <c r="BD608" s="72"/>
      <c r="BE608" s="1806">
        <f t="shared" si="8"/>
        <v>1</v>
      </c>
      <c r="BF608" s="1807"/>
      <c r="BG608" s="1802">
        <f t="shared" si="6"/>
        <v>15</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47">
        <f t="shared" si="10"/>
        <v>0</v>
      </c>
      <c r="CT608" s="2148"/>
      <c r="CU608" s="2148"/>
      <c r="CV608" s="2148"/>
      <c r="CW608" s="2149"/>
      <c r="CX608" s="2147">
        <f t="shared" si="11"/>
        <v>0</v>
      </c>
      <c r="CY608" s="2148"/>
      <c r="CZ608" s="2148"/>
      <c r="DA608" s="2148"/>
      <c r="DB608" s="2149"/>
      <c r="DC608" s="2147">
        <f t="shared" si="12"/>
        <v>0</v>
      </c>
      <c r="DD608" s="2148"/>
      <c r="DE608" s="2148"/>
      <c r="DF608" s="2148"/>
      <c r="DG608" s="2149"/>
      <c r="DH608" s="2147">
        <f t="shared" si="13"/>
        <v>0</v>
      </c>
      <c r="DI608" s="2148"/>
      <c r="DJ608" s="2148"/>
      <c r="DK608" s="2148"/>
      <c r="DL608" s="2149"/>
      <c r="DM608" s="2147">
        <f t="shared" si="14"/>
        <v>0</v>
      </c>
      <c r="DN608" s="2148"/>
      <c r="DO608" s="2148"/>
      <c r="DP608" s="2148"/>
      <c r="DQ608" s="2149"/>
      <c r="DR608" s="2147">
        <f t="shared" si="15"/>
        <v>0</v>
      </c>
      <c r="DS608" s="2148"/>
      <c r="DT608" s="2148"/>
      <c r="DU608" s="2148"/>
      <c r="DV608" s="2149"/>
    </row>
    <row r="609" spans="1:126" ht="12.75">
      <c r="A609" s="46"/>
      <c r="B609" s="16" t="s">
        <v>915</v>
      </c>
      <c r="G609" s="1691"/>
      <c r="H609" s="1691"/>
      <c r="I609" s="1691"/>
      <c r="J609" s="1691"/>
      <c r="K609" s="1691"/>
      <c r="L609" s="1691"/>
      <c r="M609" s="1691"/>
      <c r="N609" s="1691"/>
      <c r="O609" s="1691"/>
      <c r="P609" s="1691"/>
      <c r="Q609" s="1691"/>
      <c r="R609" s="1691"/>
      <c r="T609" s="46"/>
      <c r="U609" s="16" t="s">
        <v>915</v>
      </c>
      <c r="Z609" s="1690"/>
      <c r="AA609" s="1690"/>
      <c r="AB609" s="1690"/>
      <c r="AC609" s="1690"/>
      <c r="AD609" s="1690"/>
      <c r="AE609" s="1690"/>
      <c r="AF609" s="1690"/>
      <c r="AG609" s="1690"/>
      <c r="AH609" s="1690"/>
      <c r="AI609" s="1690"/>
      <c r="AJ609" s="1690"/>
      <c r="AK609" s="1690"/>
      <c r="AZ609" s="72"/>
      <c r="BA609" s="72"/>
      <c r="BB609" s="72"/>
      <c r="BC609" s="72"/>
      <c r="BD609" s="72"/>
      <c r="BE609" s="1806">
        <f t="shared" si="8"/>
        <v>0</v>
      </c>
      <c r="BF609" s="1807"/>
      <c r="BG609" s="1802">
        <f t="shared" si="6"/>
        <v>0</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0</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47">
        <f t="shared" si="10"/>
        <v>0</v>
      </c>
      <c r="CT609" s="2148"/>
      <c r="CU609" s="2148"/>
      <c r="CV609" s="2148"/>
      <c r="CW609" s="2149"/>
      <c r="CX609" s="2147">
        <f t="shared" si="11"/>
        <v>0</v>
      </c>
      <c r="CY609" s="2148"/>
      <c r="CZ609" s="2148"/>
      <c r="DA609" s="2148"/>
      <c r="DB609" s="2149"/>
      <c r="DC609" s="2147">
        <f t="shared" si="12"/>
        <v>0</v>
      </c>
      <c r="DD609" s="2148"/>
      <c r="DE609" s="2148"/>
      <c r="DF609" s="2148"/>
      <c r="DG609" s="2149"/>
      <c r="DH609" s="2147">
        <f t="shared" si="13"/>
        <v>0</v>
      </c>
      <c r="DI609" s="2148"/>
      <c r="DJ609" s="2148"/>
      <c r="DK609" s="2148"/>
      <c r="DL609" s="2149"/>
      <c r="DM609" s="2147">
        <f t="shared" si="14"/>
        <v>0</v>
      </c>
      <c r="DN609" s="2148"/>
      <c r="DO609" s="2148"/>
      <c r="DP609" s="2148"/>
      <c r="DQ609" s="2149"/>
      <c r="DR609" s="2147">
        <f t="shared" si="15"/>
        <v>0</v>
      </c>
      <c r="DS609" s="2148"/>
      <c r="DT609" s="2148"/>
      <c r="DU609" s="2148"/>
      <c r="DV609" s="2149"/>
    </row>
    <row r="610" spans="1:126" ht="12.75">
      <c r="A610" s="46"/>
      <c r="B610" s="16" t="s">
        <v>716</v>
      </c>
      <c r="G610" s="1683"/>
      <c r="H610" s="1683"/>
      <c r="I610" s="1683"/>
      <c r="J610" s="1683"/>
      <c r="K610" s="1683"/>
      <c r="L610" s="1683"/>
      <c r="O610" s="149" t="s">
        <v>900</v>
      </c>
      <c r="P610" s="1696"/>
      <c r="Q610" s="1696"/>
      <c r="R610" s="1696"/>
      <c r="T610" s="46"/>
      <c r="U610" s="16" t="s">
        <v>716</v>
      </c>
      <c r="Z610" s="1683"/>
      <c r="AA610" s="1683"/>
      <c r="AB610" s="1683"/>
      <c r="AC610" s="1683"/>
      <c r="AD610" s="1683"/>
      <c r="AE610" s="1683"/>
      <c r="AH610" s="149" t="s">
        <v>900</v>
      </c>
      <c r="AI610" s="1696"/>
      <c r="AJ610" s="1696"/>
      <c r="AK610" s="1696"/>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47">
        <f t="shared" si="10"/>
        <v>0</v>
      </c>
      <c r="CT610" s="2148"/>
      <c r="CU610" s="2148"/>
      <c r="CV610" s="2148"/>
      <c r="CW610" s="2149"/>
      <c r="CX610" s="2147">
        <f t="shared" si="11"/>
        <v>0</v>
      </c>
      <c r="CY610" s="2148"/>
      <c r="CZ610" s="2148"/>
      <c r="DA610" s="2148"/>
      <c r="DB610" s="2149"/>
      <c r="DC610" s="2147">
        <f t="shared" si="12"/>
        <v>0</v>
      </c>
      <c r="DD610" s="2148"/>
      <c r="DE610" s="2148"/>
      <c r="DF610" s="2148"/>
      <c r="DG610" s="2149"/>
      <c r="DH610" s="2147">
        <f t="shared" si="13"/>
        <v>0</v>
      </c>
      <c r="DI610" s="2148"/>
      <c r="DJ610" s="2148"/>
      <c r="DK610" s="2148"/>
      <c r="DL610" s="2149"/>
      <c r="DM610" s="2147">
        <f t="shared" si="14"/>
        <v>0</v>
      </c>
      <c r="DN610" s="2148"/>
      <c r="DO610" s="2148"/>
      <c r="DP610" s="2148"/>
      <c r="DQ610" s="2149"/>
      <c r="DR610" s="2147">
        <f t="shared" si="15"/>
        <v>0</v>
      </c>
      <c r="DS610" s="2148"/>
      <c r="DT610" s="2148"/>
      <c r="DU610" s="2148"/>
      <c r="DV610" s="2149"/>
    </row>
    <row r="611" spans="1:126" s="8" customFormat="1" ht="12.75">
      <c r="A611" s="46"/>
      <c r="B611" s="16" t="s">
        <v>916</v>
      </c>
      <c r="C611" s="16"/>
      <c r="D611" s="16"/>
      <c r="E611" s="16"/>
      <c r="F611" s="16"/>
      <c r="G611" s="16"/>
      <c r="H611" s="1691"/>
      <c r="I611" s="1691"/>
      <c r="J611" s="1691"/>
      <c r="K611" s="1691"/>
      <c r="L611" s="1691"/>
      <c r="M611" s="1691"/>
      <c r="N611" s="1691"/>
      <c r="O611" s="1691"/>
      <c r="P611" s="1691"/>
      <c r="Q611" s="1691"/>
      <c r="R611" s="1691"/>
      <c r="S611" s="16"/>
      <c r="T611" s="46"/>
      <c r="U611" s="16" t="s">
        <v>916</v>
      </c>
      <c r="V611" s="16"/>
      <c r="W611" s="16"/>
      <c r="X611" s="16"/>
      <c r="Y611" s="16"/>
      <c r="Z611" s="16"/>
      <c r="AA611" s="1691"/>
      <c r="AB611" s="1691"/>
      <c r="AC611" s="1691"/>
      <c r="AD611" s="1691"/>
      <c r="AE611" s="1691"/>
      <c r="AF611" s="1691"/>
      <c r="AG611" s="1691"/>
      <c r="AH611" s="1691"/>
      <c r="AI611" s="1691"/>
      <c r="AJ611" s="1691"/>
      <c r="AK611" s="1691"/>
      <c r="AL611" s="16"/>
      <c r="AZ611" s="72"/>
      <c r="BA611" s="72"/>
      <c r="BB611" s="72"/>
      <c r="BC611" s="72"/>
      <c r="BD611" s="72"/>
      <c r="BE611" s="1806">
        <f t="shared" si="8"/>
        <v>0</v>
      </c>
      <c r="BF611" s="1807"/>
      <c r="BG611" s="1802">
        <f t="shared" si="6"/>
        <v>0</v>
      </c>
      <c r="BH611" s="1805"/>
      <c r="BI611" s="1806">
        <f t="shared" si="9"/>
        <v>0</v>
      </c>
      <c r="BJ611" s="1807"/>
      <c r="BK611" s="1802">
        <f t="shared" si="7"/>
        <v>0</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47">
        <f t="shared" si="10"/>
        <v>0</v>
      </c>
      <c r="CT611" s="2148"/>
      <c r="CU611" s="2148"/>
      <c r="CV611" s="2148"/>
      <c r="CW611" s="2149"/>
      <c r="CX611" s="2147">
        <f t="shared" si="11"/>
        <v>0</v>
      </c>
      <c r="CY611" s="2148"/>
      <c r="CZ611" s="2148"/>
      <c r="DA611" s="2148"/>
      <c r="DB611" s="2149"/>
      <c r="DC611" s="2147">
        <f t="shared" si="12"/>
        <v>0</v>
      </c>
      <c r="DD611" s="2148"/>
      <c r="DE611" s="2148"/>
      <c r="DF611" s="2148"/>
      <c r="DG611" s="2149"/>
      <c r="DH611" s="2147">
        <f t="shared" si="13"/>
        <v>0</v>
      </c>
      <c r="DI611" s="2148"/>
      <c r="DJ611" s="2148"/>
      <c r="DK611" s="2148"/>
      <c r="DL611" s="2149"/>
      <c r="DM611" s="2147">
        <f t="shared" si="14"/>
        <v>0</v>
      </c>
      <c r="DN611" s="2148"/>
      <c r="DO611" s="2148"/>
      <c r="DP611" s="2148"/>
      <c r="DQ611" s="2149"/>
      <c r="DR611" s="2147">
        <f t="shared" si="15"/>
        <v>0</v>
      </c>
      <c r="DS611" s="2148"/>
      <c r="DT611" s="2148"/>
      <c r="DU611" s="2148"/>
      <c r="DV611" s="2149"/>
    </row>
    <row r="612" spans="1:126" s="8" customFormat="1" ht="12.75">
      <c r="A612" s="46"/>
      <c r="B612" s="16" t="s">
        <v>918</v>
      </c>
      <c r="C612" s="16"/>
      <c r="D612" s="16"/>
      <c r="E612" s="16"/>
      <c r="F612" s="16"/>
      <c r="G612" s="16"/>
      <c r="H612" s="16"/>
      <c r="I612" s="16"/>
      <c r="J612" s="16"/>
      <c r="K612" s="16"/>
      <c r="L612" s="16"/>
      <c r="M612" s="16"/>
      <c r="N612" s="1723" t="s">
        <v>531</v>
      </c>
      <c r="O612" s="1723"/>
      <c r="P612" s="16"/>
      <c r="Q612" s="16"/>
      <c r="R612" s="16"/>
      <c r="S612" s="16"/>
      <c r="T612" s="46"/>
      <c r="U612" s="16" t="s">
        <v>918</v>
      </c>
      <c r="V612" s="16"/>
      <c r="W612" s="16"/>
      <c r="X612" s="16"/>
      <c r="Y612" s="16"/>
      <c r="Z612" s="16"/>
      <c r="AA612" s="16"/>
      <c r="AB612" s="16"/>
      <c r="AC612" s="16"/>
      <c r="AD612" s="16"/>
      <c r="AE612" s="16"/>
      <c r="AF612" s="16"/>
      <c r="AG612" s="1723" t="s">
        <v>531</v>
      </c>
      <c r="AH612" s="1723"/>
      <c r="AI612" s="16"/>
      <c r="AJ612" s="16"/>
      <c r="AK612" s="16"/>
      <c r="AL612" s="16"/>
      <c r="AZ612" s="72"/>
      <c r="BA612" s="72"/>
      <c r="BB612" s="72"/>
      <c r="BC612" s="72"/>
      <c r="BD612" s="72"/>
      <c r="BE612" s="1806">
        <f t="shared" si="8"/>
        <v>0</v>
      </c>
      <c r="BF612" s="1807"/>
      <c r="BG612" s="1802">
        <f t="shared" si="6"/>
        <v>0</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47">
        <f t="shared" si="10"/>
        <v>0</v>
      </c>
      <c r="CT612" s="2148"/>
      <c r="CU612" s="2148"/>
      <c r="CV612" s="2148"/>
      <c r="CW612" s="2149"/>
      <c r="CX612" s="2147">
        <f t="shared" si="11"/>
        <v>0</v>
      </c>
      <c r="CY612" s="2148"/>
      <c r="CZ612" s="2148"/>
      <c r="DA612" s="2148"/>
      <c r="DB612" s="2149"/>
      <c r="DC612" s="2147">
        <f t="shared" si="12"/>
        <v>0</v>
      </c>
      <c r="DD612" s="2148"/>
      <c r="DE612" s="2148"/>
      <c r="DF612" s="2148"/>
      <c r="DG612" s="2149"/>
      <c r="DH612" s="2147">
        <f t="shared" si="13"/>
        <v>0</v>
      </c>
      <c r="DI612" s="2148"/>
      <c r="DJ612" s="2148"/>
      <c r="DK612" s="2148"/>
      <c r="DL612" s="2149"/>
      <c r="DM612" s="2147">
        <f t="shared" si="14"/>
        <v>0</v>
      </c>
      <c r="DN612" s="2148"/>
      <c r="DO612" s="2148"/>
      <c r="DP612" s="2148"/>
      <c r="DQ612" s="2149"/>
      <c r="DR612" s="2147">
        <f t="shared" si="15"/>
        <v>0</v>
      </c>
      <c r="DS612" s="2148"/>
      <c r="DT612" s="2148"/>
      <c r="DU612" s="2148"/>
      <c r="DV612" s="214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47">
        <f t="shared" si="10"/>
        <v>0</v>
      </c>
      <c r="CT613" s="2148"/>
      <c r="CU613" s="2148"/>
      <c r="CV613" s="2148"/>
      <c r="CW613" s="2149"/>
      <c r="CX613" s="2147">
        <f t="shared" si="11"/>
        <v>0</v>
      </c>
      <c r="CY613" s="2148"/>
      <c r="CZ613" s="2148"/>
      <c r="DA613" s="2148"/>
      <c r="DB613" s="2149"/>
      <c r="DC613" s="2147">
        <f t="shared" si="12"/>
        <v>0</v>
      </c>
      <c r="DD613" s="2148"/>
      <c r="DE613" s="2148"/>
      <c r="DF613" s="2148"/>
      <c r="DG613" s="2149"/>
      <c r="DH613" s="2147">
        <f t="shared" si="13"/>
        <v>0</v>
      </c>
      <c r="DI613" s="2148"/>
      <c r="DJ613" s="2148"/>
      <c r="DK613" s="2148"/>
      <c r="DL613" s="2149"/>
      <c r="DM613" s="2147">
        <f t="shared" si="14"/>
        <v>0</v>
      </c>
      <c r="DN613" s="2148"/>
      <c r="DO613" s="2148"/>
      <c r="DP613" s="2148"/>
      <c r="DQ613" s="2149"/>
      <c r="DR613" s="2147">
        <f t="shared" si="15"/>
        <v>0</v>
      </c>
      <c r="DS613" s="2148"/>
      <c r="DT613" s="2148"/>
      <c r="DU613" s="2148"/>
      <c r="DV613" s="2149"/>
    </row>
    <row r="614" spans="1:126" ht="12.75">
      <c r="A614" s="101" t="s">
        <v>37</v>
      </c>
      <c r="B614" s="16" t="s">
        <v>93</v>
      </c>
      <c r="G614" s="1840">
        <f>C570</f>
        <v>0</v>
      </c>
      <c r="H614" s="1840"/>
      <c r="I614" s="1840"/>
      <c r="J614" s="1840"/>
      <c r="K614" s="1840"/>
      <c r="L614" s="1840"/>
      <c r="M614" s="1840"/>
      <c r="N614" s="1840"/>
      <c r="O614" s="1840"/>
      <c r="P614" s="1840"/>
      <c r="Q614" s="1840"/>
      <c r="R614" s="1840"/>
      <c r="T614" s="101" t="s">
        <v>38</v>
      </c>
      <c r="U614" s="16" t="s">
        <v>93</v>
      </c>
      <c r="Z614" s="1840">
        <f>C571</f>
        <v>0</v>
      </c>
      <c r="AA614" s="1840"/>
      <c r="AB614" s="1840"/>
      <c r="AC614" s="1840"/>
      <c r="AD614" s="1840"/>
      <c r="AE614" s="1840"/>
      <c r="AF614" s="1840"/>
      <c r="AG614" s="1840"/>
      <c r="AH614" s="1840"/>
      <c r="AI614" s="1840"/>
      <c r="AJ614" s="1840"/>
      <c r="AK614" s="1840"/>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47">
        <f t="shared" si="10"/>
        <v>0</v>
      </c>
      <c r="CT614" s="2148"/>
      <c r="CU614" s="2148"/>
      <c r="CV614" s="2148"/>
      <c r="CW614" s="2149"/>
      <c r="CX614" s="2147">
        <f t="shared" si="11"/>
        <v>0</v>
      </c>
      <c r="CY614" s="2148"/>
      <c r="CZ614" s="2148"/>
      <c r="DA614" s="2148"/>
      <c r="DB614" s="2149"/>
      <c r="DC614" s="2147">
        <f t="shared" si="12"/>
        <v>0</v>
      </c>
      <c r="DD614" s="2148"/>
      <c r="DE614" s="2148"/>
      <c r="DF614" s="2148"/>
      <c r="DG614" s="2149"/>
      <c r="DH614" s="2147">
        <f t="shared" si="13"/>
        <v>0</v>
      </c>
      <c r="DI614" s="2148"/>
      <c r="DJ614" s="2148"/>
      <c r="DK614" s="2148"/>
      <c r="DL614" s="2149"/>
      <c r="DM614" s="2147">
        <f t="shared" si="14"/>
        <v>0</v>
      </c>
      <c r="DN614" s="2148"/>
      <c r="DO614" s="2148"/>
      <c r="DP614" s="2148"/>
      <c r="DQ614" s="2149"/>
      <c r="DR614" s="2147">
        <f t="shared" si="15"/>
        <v>0</v>
      </c>
      <c r="DS614" s="2148"/>
      <c r="DT614" s="2148"/>
      <c r="DU614" s="2148"/>
      <c r="DV614" s="2149"/>
    </row>
    <row r="615" spans="1:126" ht="12.75">
      <c r="B615" s="16" t="s">
        <v>416</v>
      </c>
      <c r="G615" s="1691"/>
      <c r="H615" s="1691"/>
      <c r="I615" s="1691"/>
      <c r="J615" s="1691"/>
      <c r="K615" s="1691"/>
      <c r="L615" s="1691"/>
      <c r="M615" s="1691"/>
      <c r="N615" s="1691"/>
      <c r="O615" s="1691"/>
      <c r="P615" s="1691"/>
      <c r="Q615" s="1691"/>
      <c r="R615" s="1691"/>
      <c r="U615" s="16" t="s">
        <v>416</v>
      </c>
      <c r="Z615" s="1691"/>
      <c r="AA615" s="1691"/>
      <c r="AB615" s="1691"/>
      <c r="AC615" s="1691"/>
      <c r="AD615" s="1691"/>
      <c r="AE615" s="1691"/>
      <c r="AF615" s="1691"/>
      <c r="AG615" s="1691"/>
      <c r="AH615" s="1691"/>
      <c r="AI615" s="1691"/>
      <c r="AJ615" s="1691"/>
      <c r="AK615" s="1691"/>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47">
        <f t="shared" si="10"/>
        <v>0</v>
      </c>
      <c r="CT615" s="2148"/>
      <c r="CU615" s="2148"/>
      <c r="CV615" s="2148"/>
      <c r="CW615" s="2149"/>
      <c r="CX615" s="2147">
        <f t="shared" si="11"/>
        <v>0</v>
      </c>
      <c r="CY615" s="2148"/>
      <c r="CZ615" s="2148"/>
      <c r="DA615" s="2148"/>
      <c r="DB615" s="2149"/>
      <c r="DC615" s="2147">
        <f t="shared" si="12"/>
        <v>0</v>
      </c>
      <c r="DD615" s="2148"/>
      <c r="DE615" s="2148"/>
      <c r="DF615" s="2148"/>
      <c r="DG615" s="2149"/>
      <c r="DH615" s="2147">
        <f t="shared" si="13"/>
        <v>0</v>
      </c>
      <c r="DI615" s="2148"/>
      <c r="DJ615" s="2148"/>
      <c r="DK615" s="2148"/>
      <c r="DL615" s="2149"/>
      <c r="DM615" s="2147">
        <f t="shared" si="14"/>
        <v>0</v>
      </c>
      <c r="DN615" s="2148"/>
      <c r="DO615" s="2148"/>
      <c r="DP615" s="2148"/>
      <c r="DQ615" s="2149"/>
      <c r="DR615" s="2147">
        <f t="shared" si="15"/>
        <v>0</v>
      </c>
      <c r="DS615" s="2148"/>
      <c r="DT615" s="2148"/>
      <c r="DU615" s="2148"/>
      <c r="DV615" s="2149"/>
    </row>
    <row r="616" spans="1:126" ht="12.75">
      <c r="B616" s="16" t="s">
        <v>479</v>
      </c>
      <c r="G616" s="1691"/>
      <c r="H616" s="1691"/>
      <c r="I616" s="1691"/>
      <c r="J616" s="1691"/>
      <c r="K616" s="1691"/>
      <c r="L616" s="1691"/>
      <c r="M616" s="1691"/>
      <c r="N616" s="1691"/>
      <c r="O616" s="1691"/>
      <c r="P616" s="1691"/>
      <c r="Q616" s="1691"/>
      <c r="R616" s="1691"/>
      <c r="U616" s="16" t="s">
        <v>479</v>
      </c>
      <c r="Z616" s="1690"/>
      <c r="AA616" s="1690"/>
      <c r="AB616" s="1690"/>
      <c r="AC616" s="1690"/>
      <c r="AD616" s="1690"/>
      <c r="AE616" s="1690"/>
      <c r="AF616" s="1690"/>
      <c r="AG616" s="1690"/>
      <c r="AH616" s="1690"/>
      <c r="AI616" s="1690"/>
      <c r="AJ616" s="1690"/>
      <c r="AK616" s="1690"/>
      <c r="AL616" s="488"/>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47">
        <f t="shared" si="10"/>
        <v>0</v>
      </c>
      <c r="CT616" s="2148"/>
      <c r="CU616" s="2148"/>
      <c r="CV616" s="2148"/>
      <c r="CW616" s="2149"/>
      <c r="CX616" s="2147">
        <f t="shared" si="11"/>
        <v>0</v>
      </c>
      <c r="CY616" s="2148"/>
      <c r="CZ616" s="2148"/>
      <c r="DA616" s="2148"/>
      <c r="DB616" s="2149"/>
      <c r="DC616" s="2147">
        <f t="shared" si="12"/>
        <v>0</v>
      </c>
      <c r="DD616" s="2148"/>
      <c r="DE616" s="2148"/>
      <c r="DF616" s="2148"/>
      <c r="DG616" s="2149"/>
      <c r="DH616" s="2147">
        <f t="shared" si="13"/>
        <v>0</v>
      </c>
      <c r="DI616" s="2148"/>
      <c r="DJ616" s="2148"/>
      <c r="DK616" s="2148"/>
      <c r="DL616" s="2149"/>
      <c r="DM616" s="2147">
        <f t="shared" si="14"/>
        <v>0</v>
      </c>
      <c r="DN616" s="2148"/>
      <c r="DO616" s="2148"/>
      <c r="DP616" s="2148"/>
      <c r="DQ616" s="2149"/>
      <c r="DR616" s="2147">
        <f t="shared" si="15"/>
        <v>0</v>
      </c>
      <c r="DS616" s="2148"/>
      <c r="DT616" s="2148"/>
      <c r="DU616" s="2148"/>
      <c r="DV616" s="2149"/>
    </row>
    <row r="617" spans="1:126" ht="12.75">
      <c r="B617" s="16" t="s">
        <v>915</v>
      </c>
      <c r="G617" s="1691"/>
      <c r="H617" s="1691"/>
      <c r="I617" s="1691"/>
      <c r="J617" s="1691"/>
      <c r="K617" s="1691"/>
      <c r="L617" s="1691"/>
      <c r="M617" s="1691"/>
      <c r="N617" s="1691"/>
      <c r="O617" s="1691"/>
      <c r="P617" s="1691"/>
      <c r="Q617" s="1691"/>
      <c r="R617" s="1691"/>
      <c r="U617" s="16" t="s">
        <v>915</v>
      </c>
      <c r="Z617" s="1690"/>
      <c r="AA617" s="1690"/>
      <c r="AB617" s="1690"/>
      <c r="AC617" s="1690"/>
      <c r="AD617" s="1690"/>
      <c r="AE617" s="1690"/>
      <c r="AF617" s="1690"/>
      <c r="AG617" s="1690"/>
      <c r="AH617" s="1690"/>
      <c r="AI617" s="1690"/>
      <c r="AJ617" s="1690"/>
      <c r="AK617" s="1690"/>
      <c r="AL617" s="488"/>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47">
        <f t="shared" si="10"/>
        <v>0</v>
      </c>
      <c r="CT617" s="2148"/>
      <c r="CU617" s="2148"/>
      <c r="CV617" s="2148"/>
      <c r="CW617" s="2149"/>
      <c r="CX617" s="2147">
        <f t="shared" si="11"/>
        <v>0</v>
      </c>
      <c r="CY617" s="2148"/>
      <c r="CZ617" s="2148"/>
      <c r="DA617" s="2148"/>
      <c r="DB617" s="2149"/>
      <c r="DC617" s="2147">
        <f t="shared" si="12"/>
        <v>0</v>
      </c>
      <c r="DD617" s="2148"/>
      <c r="DE617" s="2148"/>
      <c r="DF617" s="2148"/>
      <c r="DG617" s="2149"/>
      <c r="DH617" s="2147">
        <f t="shared" si="13"/>
        <v>0</v>
      </c>
      <c r="DI617" s="2148"/>
      <c r="DJ617" s="2148"/>
      <c r="DK617" s="2148"/>
      <c r="DL617" s="2149"/>
      <c r="DM617" s="2147">
        <f t="shared" si="14"/>
        <v>0</v>
      </c>
      <c r="DN617" s="2148"/>
      <c r="DO617" s="2148"/>
      <c r="DP617" s="2148"/>
      <c r="DQ617" s="2149"/>
      <c r="DR617" s="2147">
        <f t="shared" si="15"/>
        <v>0</v>
      </c>
      <c r="DS617" s="2148"/>
      <c r="DT617" s="2148"/>
      <c r="DU617" s="2148"/>
      <c r="DV617" s="2149"/>
    </row>
    <row r="618" spans="1:126" ht="12.75">
      <c r="B618" s="16" t="s">
        <v>716</v>
      </c>
      <c r="G618" s="1683"/>
      <c r="H618" s="1683"/>
      <c r="I618" s="1683"/>
      <c r="J618" s="1683"/>
      <c r="K618" s="1683"/>
      <c r="L618" s="1683"/>
      <c r="O618" s="149" t="s">
        <v>900</v>
      </c>
      <c r="P618" s="1696"/>
      <c r="Q618" s="1696"/>
      <c r="R618" s="1696"/>
      <c r="U618" s="16" t="s">
        <v>716</v>
      </c>
      <c r="Z618" s="1683"/>
      <c r="AA618" s="1683"/>
      <c r="AB618" s="1683"/>
      <c r="AC618" s="1683"/>
      <c r="AD618" s="1683"/>
      <c r="AE618" s="1683"/>
      <c r="AH618" s="149" t="s">
        <v>900</v>
      </c>
      <c r="AI618" s="1696"/>
      <c r="AJ618" s="1696"/>
      <c r="AK618" s="1696"/>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47">
        <f t="shared" si="10"/>
        <v>0</v>
      </c>
      <c r="CT618" s="2148"/>
      <c r="CU618" s="2148"/>
      <c r="CV618" s="2148"/>
      <c r="CW618" s="2149"/>
      <c r="CX618" s="2147">
        <f t="shared" si="11"/>
        <v>0</v>
      </c>
      <c r="CY618" s="2148"/>
      <c r="CZ618" s="2148"/>
      <c r="DA618" s="2148"/>
      <c r="DB618" s="2149"/>
      <c r="DC618" s="2147">
        <f t="shared" si="12"/>
        <v>0</v>
      </c>
      <c r="DD618" s="2148"/>
      <c r="DE618" s="2148"/>
      <c r="DF618" s="2148"/>
      <c r="DG618" s="2149"/>
      <c r="DH618" s="2147">
        <f t="shared" si="13"/>
        <v>0</v>
      </c>
      <c r="DI618" s="2148"/>
      <c r="DJ618" s="2148"/>
      <c r="DK618" s="2148"/>
      <c r="DL618" s="2149"/>
      <c r="DM618" s="2147">
        <f t="shared" si="14"/>
        <v>0</v>
      </c>
      <c r="DN618" s="2148"/>
      <c r="DO618" s="2148"/>
      <c r="DP618" s="2148"/>
      <c r="DQ618" s="2149"/>
      <c r="DR618" s="2147">
        <f t="shared" si="15"/>
        <v>0</v>
      </c>
      <c r="DS618" s="2148"/>
      <c r="DT618" s="2148"/>
      <c r="DU618" s="2148"/>
      <c r="DV618" s="2149"/>
    </row>
    <row r="619" spans="1:126" ht="12.75">
      <c r="B619" s="16" t="s">
        <v>916</v>
      </c>
      <c r="H619" s="1691"/>
      <c r="I619" s="1691"/>
      <c r="J619" s="1691"/>
      <c r="K619" s="1691"/>
      <c r="L619" s="1691"/>
      <c r="M619" s="1691"/>
      <c r="N619" s="1691"/>
      <c r="O619" s="1691"/>
      <c r="P619" s="1691"/>
      <c r="Q619" s="1691"/>
      <c r="R619" s="1691"/>
      <c r="U619" s="16" t="s">
        <v>916</v>
      </c>
      <c r="AA619" s="1691"/>
      <c r="AB619" s="1691"/>
      <c r="AC619" s="1691"/>
      <c r="AD619" s="1691"/>
      <c r="AE619" s="1691"/>
      <c r="AF619" s="1691"/>
      <c r="AG619" s="1691"/>
      <c r="AH619" s="1691"/>
      <c r="AI619" s="1691"/>
      <c r="AJ619" s="1691"/>
      <c r="AK619" s="1691"/>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47">
        <f t="shared" si="10"/>
        <v>0</v>
      </c>
      <c r="CT619" s="2148"/>
      <c r="CU619" s="2148"/>
      <c r="CV619" s="2148"/>
      <c r="CW619" s="2149"/>
      <c r="CX619" s="2147">
        <f t="shared" si="11"/>
        <v>0</v>
      </c>
      <c r="CY619" s="2148"/>
      <c r="CZ619" s="2148"/>
      <c r="DA619" s="2148"/>
      <c r="DB619" s="2149"/>
      <c r="DC619" s="2147">
        <f t="shared" si="12"/>
        <v>0</v>
      </c>
      <c r="DD619" s="2148"/>
      <c r="DE619" s="2148"/>
      <c r="DF619" s="2148"/>
      <c r="DG619" s="2149"/>
      <c r="DH619" s="2147">
        <f t="shared" si="13"/>
        <v>0</v>
      </c>
      <c r="DI619" s="2148"/>
      <c r="DJ619" s="2148"/>
      <c r="DK619" s="2148"/>
      <c r="DL619" s="2149"/>
      <c r="DM619" s="2147">
        <f t="shared" si="14"/>
        <v>0</v>
      </c>
      <c r="DN619" s="2148"/>
      <c r="DO619" s="2148"/>
      <c r="DP619" s="2148"/>
      <c r="DQ619" s="2149"/>
      <c r="DR619" s="2147">
        <f t="shared" si="15"/>
        <v>0</v>
      </c>
      <c r="DS619" s="2148"/>
      <c r="DT619" s="2148"/>
      <c r="DU619" s="2148"/>
      <c r="DV619" s="2149"/>
    </row>
    <row r="620" spans="1:126" ht="12.75" customHeight="1">
      <c r="B620" s="16" t="s">
        <v>918</v>
      </c>
      <c r="N620" s="1688" t="s">
        <v>531</v>
      </c>
      <c r="O620" s="1688"/>
      <c r="U620" s="16" t="s">
        <v>918</v>
      </c>
      <c r="AG620" s="1688" t="s">
        <v>531</v>
      </c>
      <c r="AH620" s="1688"/>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47">
        <f t="shared" si="10"/>
        <v>0</v>
      </c>
      <c r="CT620" s="2148"/>
      <c r="CU620" s="2148"/>
      <c r="CV620" s="2148"/>
      <c r="CW620" s="2149"/>
      <c r="CX620" s="2147">
        <f t="shared" si="11"/>
        <v>0</v>
      </c>
      <c r="CY620" s="2148"/>
      <c r="CZ620" s="2148"/>
      <c r="DA620" s="2148"/>
      <c r="DB620" s="2149"/>
      <c r="DC620" s="2147">
        <f t="shared" si="12"/>
        <v>0</v>
      </c>
      <c r="DD620" s="2148"/>
      <c r="DE620" s="2148"/>
      <c r="DF620" s="2148"/>
      <c r="DG620" s="2149"/>
      <c r="DH620" s="2147">
        <f t="shared" si="13"/>
        <v>0</v>
      </c>
      <c r="DI620" s="2148"/>
      <c r="DJ620" s="2148"/>
      <c r="DK620" s="2148"/>
      <c r="DL620" s="2149"/>
      <c r="DM620" s="2147">
        <f t="shared" si="14"/>
        <v>0</v>
      </c>
      <c r="DN620" s="2148"/>
      <c r="DO620" s="2148"/>
      <c r="DP620" s="2148"/>
      <c r="DQ620" s="2149"/>
      <c r="DR620" s="2147">
        <f t="shared" si="15"/>
        <v>0</v>
      </c>
      <c r="DS620" s="2148"/>
      <c r="DT620" s="2148"/>
      <c r="DU620" s="2148"/>
      <c r="DV620" s="2149"/>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47">
        <f t="shared" si="10"/>
        <v>0</v>
      </c>
      <c r="CT621" s="2148"/>
      <c r="CU621" s="2148"/>
      <c r="CV621" s="2148"/>
      <c r="CW621" s="2149"/>
      <c r="CX621" s="2147">
        <f t="shared" si="11"/>
        <v>0</v>
      </c>
      <c r="CY621" s="2148"/>
      <c r="CZ621" s="2148"/>
      <c r="DA621" s="2148"/>
      <c r="DB621" s="2149"/>
      <c r="DC621" s="2147">
        <f t="shared" si="12"/>
        <v>0</v>
      </c>
      <c r="DD621" s="2148"/>
      <c r="DE621" s="2148"/>
      <c r="DF621" s="2148"/>
      <c r="DG621" s="2149"/>
      <c r="DH621" s="2147">
        <f t="shared" si="13"/>
        <v>0</v>
      </c>
      <c r="DI621" s="2148"/>
      <c r="DJ621" s="2148"/>
      <c r="DK621" s="2148"/>
      <c r="DL621" s="2149"/>
      <c r="DM621" s="2147">
        <f t="shared" si="14"/>
        <v>0</v>
      </c>
      <c r="DN621" s="2148"/>
      <c r="DO621" s="2148"/>
      <c r="DP621" s="2148"/>
      <c r="DQ621" s="2149"/>
      <c r="DR621" s="2147">
        <f t="shared" si="15"/>
        <v>0</v>
      </c>
      <c r="DS621" s="2148"/>
      <c r="DT621" s="2148"/>
      <c r="DU621" s="2148"/>
      <c r="DV621" s="2149"/>
    </row>
    <row r="622" spans="1:126" ht="12.75" customHeight="1">
      <c r="A622" s="1547" t="s">
        <v>138</v>
      </c>
      <c r="B622" s="1547"/>
      <c r="C622" s="1547"/>
      <c r="D622" s="1547"/>
      <c r="E622" s="1547"/>
      <c r="F622" s="1547"/>
      <c r="G622" s="1547"/>
      <c r="H622" s="1547"/>
      <c r="I622" s="1547"/>
      <c r="J622" s="1547"/>
      <c r="K622" s="1547"/>
      <c r="L622" s="1547"/>
      <c r="M622" s="1547"/>
      <c r="N622" s="1547"/>
      <c r="O622" s="1547"/>
      <c r="P622" s="1547"/>
      <c r="Q622" s="1547"/>
      <c r="R622" s="1547"/>
      <c r="S622" s="1547"/>
      <c r="T622" s="1547"/>
      <c r="U622" s="1547"/>
      <c r="V622" s="1547"/>
      <c r="W622" s="1547"/>
      <c r="X622" s="1547"/>
      <c r="Y622" s="1547"/>
      <c r="Z622" s="1547"/>
      <c r="AA622" s="1547"/>
      <c r="AB622" s="1547"/>
      <c r="AC622" s="1547"/>
      <c r="AD622" s="1547"/>
      <c r="AE622" s="1547"/>
      <c r="AF622" s="1547"/>
      <c r="AG622" s="1547"/>
      <c r="AH622" s="1547"/>
      <c r="AI622" s="1547"/>
      <c r="AJ622" s="1547"/>
      <c r="AK622" s="1547"/>
      <c r="AL622" s="1547"/>
      <c r="AM622" s="1547"/>
      <c r="AN622" s="1547"/>
      <c r="AO622" s="1547"/>
      <c r="AP622" s="1547"/>
      <c r="AQ622" s="1547"/>
      <c r="AR622" s="1547"/>
      <c r="AS622" s="1547"/>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47">
        <f t="shared" si="10"/>
        <v>0</v>
      </c>
      <c r="CT622" s="2148"/>
      <c r="CU622" s="2148"/>
      <c r="CV622" s="2148"/>
      <c r="CW622" s="2149"/>
      <c r="CX622" s="2147">
        <f t="shared" si="11"/>
        <v>0</v>
      </c>
      <c r="CY622" s="2148"/>
      <c r="CZ622" s="2148"/>
      <c r="DA622" s="2148"/>
      <c r="DB622" s="2149"/>
      <c r="DC622" s="2147">
        <f t="shared" si="12"/>
        <v>0</v>
      </c>
      <c r="DD622" s="2148"/>
      <c r="DE622" s="2148"/>
      <c r="DF622" s="2148"/>
      <c r="DG622" s="2149"/>
      <c r="DH622" s="2147">
        <f t="shared" si="13"/>
        <v>0</v>
      </c>
      <c r="DI622" s="2148"/>
      <c r="DJ622" s="2148"/>
      <c r="DK622" s="2148"/>
      <c r="DL622" s="2149"/>
      <c r="DM622" s="2147">
        <f t="shared" si="14"/>
        <v>0</v>
      </c>
      <c r="DN622" s="2148"/>
      <c r="DO622" s="2148"/>
      <c r="DP622" s="2148"/>
      <c r="DQ622" s="2149"/>
      <c r="DR622" s="2147">
        <f t="shared" si="15"/>
        <v>0</v>
      </c>
      <c r="DS622" s="2148"/>
      <c r="DT622" s="2148"/>
      <c r="DU622" s="2148"/>
      <c r="DV622" s="2149"/>
    </row>
    <row r="623" spans="1:126" ht="12.75">
      <c r="A623" s="1547"/>
      <c r="B623" s="1547"/>
      <c r="C623" s="1547"/>
      <c r="D623" s="1547"/>
      <c r="E623" s="1547"/>
      <c r="F623" s="1547"/>
      <c r="G623" s="1547"/>
      <c r="H623" s="1547"/>
      <c r="I623" s="1547"/>
      <c r="J623" s="1547"/>
      <c r="K623" s="1547"/>
      <c r="L623" s="1547"/>
      <c r="M623" s="1547"/>
      <c r="N623" s="1547"/>
      <c r="O623" s="1547"/>
      <c r="P623" s="1547"/>
      <c r="Q623" s="1547"/>
      <c r="R623" s="1547"/>
      <c r="S623" s="1547"/>
      <c r="T623" s="1547"/>
      <c r="U623" s="1547"/>
      <c r="V623" s="1547"/>
      <c r="W623" s="1547"/>
      <c r="X623" s="1547"/>
      <c r="Y623" s="1547"/>
      <c r="Z623" s="1547"/>
      <c r="AA623" s="1547"/>
      <c r="AB623" s="1547"/>
      <c r="AC623" s="1547"/>
      <c r="AD623" s="1547"/>
      <c r="AE623" s="1547"/>
      <c r="AF623" s="1547"/>
      <c r="AG623" s="1547"/>
      <c r="AH623" s="1547"/>
      <c r="AI623" s="1547"/>
      <c r="AJ623" s="1547"/>
      <c r="AK623" s="1547"/>
      <c r="AL623" s="1547"/>
      <c r="AM623" s="1547"/>
      <c r="AN623" s="1547"/>
      <c r="AO623" s="1547"/>
      <c r="AP623" s="1547"/>
      <c r="AQ623" s="1547"/>
      <c r="AR623" s="1547"/>
      <c r="AS623" s="1547"/>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47">
        <f t="shared" si="10"/>
        <v>0</v>
      </c>
      <c r="CT623" s="2148"/>
      <c r="CU623" s="2148"/>
      <c r="CV623" s="2148"/>
      <c r="CW623" s="2149"/>
      <c r="CX623" s="2147">
        <f t="shared" si="11"/>
        <v>0</v>
      </c>
      <c r="CY623" s="2148"/>
      <c r="CZ623" s="2148"/>
      <c r="DA623" s="2148"/>
      <c r="DB623" s="2149"/>
      <c r="DC623" s="2147">
        <f t="shared" si="12"/>
        <v>0</v>
      </c>
      <c r="DD623" s="2148"/>
      <c r="DE623" s="2148"/>
      <c r="DF623" s="2148"/>
      <c r="DG623" s="2149"/>
      <c r="DH623" s="2147">
        <f t="shared" si="13"/>
        <v>0</v>
      </c>
      <c r="DI623" s="2148"/>
      <c r="DJ623" s="2148"/>
      <c r="DK623" s="2148"/>
      <c r="DL623" s="2149"/>
      <c r="DM623" s="2147">
        <f t="shared" si="14"/>
        <v>0</v>
      </c>
      <c r="DN623" s="2148"/>
      <c r="DO623" s="2148"/>
      <c r="DP623" s="2148"/>
      <c r="DQ623" s="2149"/>
      <c r="DR623" s="2147">
        <f t="shared" si="15"/>
        <v>0</v>
      </c>
      <c r="DS623" s="2148"/>
      <c r="DT623" s="2148"/>
      <c r="DU623" s="2148"/>
      <c r="DV623" s="214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47">
        <f t="shared" si="10"/>
        <v>0</v>
      </c>
      <c r="CT624" s="2148"/>
      <c r="CU624" s="2148"/>
      <c r="CV624" s="2148"/>
      <c r="CW624" s="2149"/>
      <c r="CX624" s="2147">
        <f t="shared" si="11"/>
        <v>0</v>
      </c>
      <c r="CY624" s="2148"/>
      <c r="CZ624" s="2148"/>
      <c r="DA624" s="2148"/>
      <c r="DB624" s="2149"/>
      <c r="DC624" s="2147">
        <f t="shared" si="12"/>
        <v>0</v>
      </c>
      <c r="DD624" s="2148"/>
      <c r="DE624" s="2148"/>
      <c r="DF624" s="2148"/>
      <c r="DG624" s="2149"/>
      <c r="DH624" s="2147">
        <f t="shared" si="13"/>
        <v>0</v>
      </c>
      <c r="DI624" s="2148"/>
      <c r="DJ624" s="2148"/>
      <c r="DK624" s="2148"/>
      <c r="DL624" s="2149"/>
      <c r="DM624" s="2147">
        <f t="shared" si="14"/>
        <v>0</v>
      </c>
      <c r="DN624" s="2148"/>
      <c r="DO624" s="2148"/>
      <c r="DP624" s="2148"/>
      <c r="DQ624" s="2149"/>
      <c r="DR624" s="2147">
        <f t="shared" si="15"/>
        <v>0</v>
      </c>
      <c r="DS624" s="2148"/>
      <c r="DT624" s="2148"/>
      <c r="DU624" s="2148"/>
      <c r="DV624" s="2149"/>
    </row>
    <row r="625" spans="1:126" ht="12.75">
      <c r="A625" s="63" t="s">
        <v>719</v>
      </c>
      <c r="B625" s="63"/>
      <c r="C625" s="63" t="s">
        <v>919</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47">
        <f t="shared" si="10"/>
        <v>0</v>
      </c>
      <c r="CT625" s="2148"/>
      <c r="CU625" s="2148"/>
      <c r="CV625" s="2148"/>
      <c r="CW625" s="2149"/>
      <c r="CX625" s="2147">
        <f t="shared" si="11"/>
        <v>0</v>
      </c>
      <c r="CY625" s="2148"/>
      <c r="CZ625" s="2148"/>
      <c r="DA625" s="2148"/>
      <c r="DB625" s="2149"/>
      <c r="DC625" s="2147">
        <f t="shared" si="12"/>
        <v>0</v>
      </c>
      <c r="DD625" s="2148"/>
      <c r="DE625" s="2148"/>
      <c r="DF625" s="2148"/>
      <c r="DG625" s="2149"/>
      <c r="DH625" s="2147">
        <f t="shared" si="13"/>
        <v>0</v>
      </c>
      <c r="DI625" s="2148"/>
      <c r="DJ625" s="2148"/>
      <c r="DK625" s="2148"/>
      <c r="DL625" s="2149"/>
      <c r="DM625" s="2147">
        <f t="shared" si="14"/>
        <v>0</v>
      </c>
      <c r="DN625" s="2148"/>
      <c r="DO625" s="2148"/>
      <c r="DP625" s="2148"/>
      <c r="DQ625" s="2149"/>
      <c r="DR625" s="2147">
        <f t="shared" si="15"/>
        <v>0</v>
      </c>
      <c r="DS625" s="2148"/>
      <c r="DT625" s="2148"/>
      <c r="DU625" s="2148"/>
      <c r="DV625" s="2149"/>
    </row>
    <row r="626" spans="1:126" ht="12.7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47">
        <f t="shared" si="10"/>
        <v>0</v>
      </c>
      <c r="CT626" s="2148"/>
      <c r="CU626" s="2148"/>
      <c r="CV626" s="2148"/>
      <c r="CW626" s="2149"/>
      <c r="CX626" s="2147">
        <f t="shared" si="11"/>
        <v>0</v>
      </c>
      <c r="CY626" s="2148"/>
      <c r="CZ626" s="2148"/>
      <c r="DA626" s="2148"/>
      <c r="DB626" s="2149"/>
      <c r="DC626" s="2147">
        <f t="shared" si="12"/>
        <v>0</v>
      </c>
      <c r="DD626" s="2148"/>
      <c r="DE626" s="2148"/>
      <c r="DF626" s="2148"/>
      <c r="DG626" s="2149"/>
      <c r="DH626" s="2147">
        <f t="shared" si="13"/>
        <v>0</v>
      </c>
      <c r="DI626" s="2148"/>
      <c r="DJ626" s="2148"/>
      <c r="DK626" s="2148"/>
      <c r="DL626" s="2149"/>
      <c r="DM626" s="2147">
        <f t="shared" si="14"/>
        <v>0</v>
      </c>
      <c r="DN626" s="2148"/>
      <c r="DO626" s="2148"/>
      <c r="DP626" s="2148"/>
      <c r="DQ626" s="2149"/>
      <c r="DR626" s="2147">
        <f t="shared" si="15"/>
        <v>0</v>
      </c>
      <c r="DS626" s="2148"/>
      <c r="DT626" s="2148"/>
      <c r="DU626" s="2148"/>
      <c r="DV626" s="2149"/>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52"/>
      <c r="BP627" s="2152"/>
      <c r="BQ627" s="2152"/>
      <c r="BR627" s="1807"/>
      <c r="BS627" s="1806">
        <f>SUM(BS602:BW626)</f>
        <v>80</v>
      </c>
      <c r="BT627" s="2152"/>
      <c r="BU627" s="2152"/>
      <c r="BV627" s="2152"/>
      <c r="BW627" s="1807"/>
      <c r="BX627" s="1806">
        <f>SUM(BX602:CB626)</f>
        <v>20</v>
      </c>
      <c r="BY627" s="2152"/>
      <c r="BZ627" s="2152"/>
      <c r="CA627" s="2152"/>
      <c r="CB627" s="1807"/>
      <c r="CC627" s="1806">
        <f>SUM(CC602:CG626)</f>
        <v>0</v>
      </c>
      <c r="CD627" s="2152"/>
      <c r="CE627" s="2152"/>
      <c r="CF627" s="2152"/>
      <c r="CG627" s="1807"/>
      <c r="CH627" s="1806">
        <f>SUM(CH602:CL626)</f>
        <v>0</v>
      </c>
      <c r="CI627" s="2152"/>
      <c r="CJ627" s="2152"/>
      <c r="CK627" s="2152"/>
      <c r="CL627" s="1807"/>
      <c r="CM627" s="1806">
        <f>SUM(CM602:CQ626)</f>
        <v>0</v>
      </c>
      <c r="CN627" s="2152"/>
      <c r="CO627" s="2152"/>
      <c r="CP627" s="2152"/>
      <c r="CQ627" s="1807"/>
      <c r="CS627" s="2147">
        <f t="shared" si="10"/>
        <v>0</v>
      </c>
      <c r="CT627" s="2148"/>
      <c r="CU627" s="2148"/>
      <c r="CV627" s="2148"/>
      <c r="CW627" s="2149"/>
      <c r="CX627" s="2147">
        <f t="shared" si="11"/>
        <v>0</v>
      </c>
      <c r="CY627" s="2148"/>
      <c r="CZ627" s="2148"/>
      <c r="DA627" s="2148"/>
      <c r="DB627" s="2149"/>
      <c r="DC627" s="2147">
        <f t="shared" si="12"/>
        <v>0</v>
      </c>
      <c r="DD627" s="2148"/>
      <c r="DE627" s="2148"/>
      <c r="DF627" s="2148"/>
      <c r="DG627" s="2149"/>
      <c r="DH627" s="2147">
        <f t="shared" si="13"/>
        <v>0</v>
      </c>
      <c r="DI627" s="2148"/>
      <c r="DJ627" s="2148"/>
      <c r="DK627" s="2148"/>
      <c r="DL627" s="2149"/>
      <c r="DM627" s="2147">
        <f t="shared" si="14"/>
        <v>0</v>
      </c>
      <c r="DN627" s="2148"/>
      <c r="DO627" s="2148"/>
      <c r="DP627" s="2148"/>
      <c r="DQ627" s="2149"/>
      <c r="DR627" s="2147">
        <f t="shared" si="15"/>
        <v>0</v>
      </c>
      <c r="DS627" s="2148"/>
      <c r="DT627" s="2148"/>
      <c r="DU627" s="2148"/>
      <c r="DV627" s="2149"/>
    </row>
    <row r="628" spans="1:126" ht="13.5" thickBot="1">
      <c r="B628" s="1428"/>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55</v>
      </c>
      <c r="BH628" s="1807"/>
      <c r="BI628" s="72"/>
      <c r="BJ628" s="72"/>
      <c r="BK628" s="1806">
        <f>SUM(BK603:BL627)</f>
        <v>45</v>
      </c>
      <c r="BL628" s="1807"/>
      <c r="BN628" s="72" t="s">
        <v>1941</v>
      </c>
      <c r="BO628" s="72"/>
      <c r="BP628" s="72"/>
      <c r="BQ628" s="72"/>
      <c r="BR628" s="737">
        <f>BN627*1</f>
        <v>0</v>
      </c>
      <c r="BS628" s="72"/>
      <c r="BT628" s="72"/>
      <c r="BU628" s="72"/>
      <c r="BV628" s="72"/>
      <c r="BW628" s="737">
        <f>BS627*1</f>
        <v>80</v>
      </c>
      <c r="BX628" s="72"/>
      <c r="BY628" s="72"/>
      <c r="BZ628" s="72"/>
      <c r="CA628" s="72"/>
      <c r="CB628" s="737">
        <f>BX627*2</f>
        <v>40</v>
      </c>
      <c r="CC628" s="72"/>
      <c r="CD628" s="72"/>
      <c r="CE628" s="72"/>
      <c r="CF628" s="72"/>
      <c r="CG628" s="737">
        <f>CC627*3</f>
        <v>0</v>
      </c>
      <c r="CH628" s="72"/>
      <c r="CI628" s="72"/>
      <c r="CJ628" s="72"/>
      <c r="CK628" s="72"/>
      <c r="CL628" s="737">
        <f>CH627*4</f>
        <v>0</v>
      </c>
      <c r="CM628" s="72"/>
      <c r="CN628" s="72"/>
      <c r="CO628" s="72"/>
      <c r="CP628" s="72"/>
      <c r="CQ628" s="736">
        <f>CM627*5</f>
        <v>0</v>
      </c>
      <c r="CS628" s="1806">
        <f>SUM(CS603:CW627)</f>
        <v>0</v>
      </c>
      <c r="CT628" s="2152"/>
      <c r="CU628" s="2152"/>
      <c r="CV628" s="2152"/>
      <c r="CW628" s="1807"/>
      <c r="CX628" s="1806">
        <f>SUM(CX603:DB627)</f>
        <v>40</v>
      </c>
      <c r="CY628" s="2152"/>
      <c r="CZ628" s="2152"/>
      <c r="DA628" s="2152"/>
      <c r="DB628" s="1807"/>
      <c r="DC628" s="1806">
        <f>SUM(DC603:DG627)</f>
        <v>5</v>
      </c>
      <c r="DD628" s="2152"/>
      <c r="DE628" s="2152"/>
      <c r="DF628" s="2152"/>
      <c r="DG628" s="1807"/>
      <c r="DH628" s="1806">
        <f>SUM(DH603:DL627)</f>
        <v>0</v>
      </c>
      <c r="DI628" s="2152"/>
      <c r="DJ628" s="2152"/>
      <c r="DK628" s="2152"/>
      <c r="DL628" s="1807"/>
      <c r="DM628" s="1806">
        <f>SUM(DM603:DQ627)</f>
        <v>0</v>
      </c>
      <c r="DN628" s="2152"/>
      <c r="DO628" s="2152"/>
      <c r="DP628" s="2152"/>
      <c r="DQ628" s="1807"/>
      <c r="DR628" s="1806">
        <f>SUM(DR603:DV627)</f>
        <v>0</v>
      </c>
      <c r="DS628" s="2152"/>
      <c r="DT628" s="2152"/>
      <c r="DU628" s="2152"/>
      <c r="DV628" s="1807"/>
    </row>
    <row r="629" spans="1:126" ht="13.5" customHeight="1" thickBot="1">
      <c r="A629" s="1380"/>
      <c r="B629" s="2078" t="s">
        <v>807</v>
      </c>
      <c r="C629" s="2079"/>
      <c r="D629" s="2079"/>
      <c r="E629" s="2079"/>
      <c r="F629" s="2079"/>
      <c r="G629" s="2079"/>
      <c r="H629" s="2079"/>
      <c r="I629" s="2079"/>
      <c r="J629" s="2079"/>
      <c r="K629" s="2079"/>
      <c r="L629" s="2079"/>
      <c r="M629" s="2079"/>
      <c r="N629" s="2080"/>
      <c r="O629" s="1809" t="s">
        <v>489</v>
      </c>
      <c r="P629" s="1810"/>
      <c r="Q629" s="1811"/>
      <c r="R629" s="1809" t="s">
        <v>2281</v>
      </c>
      <c r="S629" s="1810"/>
      <c r="T629" s="1811"/>
      <c r="U629" s="2048" t="s">
        <v>808</v>
      </c>
      <c r="V629" s="2048"/>
      <c r="W629" s="2049"/>
      <c r="X629" s="1809" t="s">
        <v>2282</v>
      </c>
      <c r="Y629" s="1810"/>
      <c r="Z629" s="1810"/>
      <c r="AA629" s="1810"/>
      <c r="AB629" s="1811"/>
      <c r="AC629" s="2054" t="s">
        <v>2283</v>
      </c>
      <c r="AD629" s="2055"/>
      <c r="AE629" s="2056"/>
      <c r="AF629" s="1809" t="s">
        <v>2284</v>
      </c>
      <c r="AG629" s="1810"/>
      <c r="AH629" s="1810"/>
      <c r="AI629" s="1810"/>
      <c r="AJ629" s="1811"/>
      <c r="AK629" s="2063" t="s">
        <v>2285</v>
      </c>
      <c r="AL629" s="2064"/>
      <c r="AM629" s="2064"/>
      <c r="AN629" s="2065"/>
      <c r="AO629" s="2047" t="s">
        <v>809</v>
      </c>
      <c r="AP629" s="2047"/>
      <c r="AQ629" s="2047"/>
      <c r="AR629" s="2047"/>
      <c r="AS629" s="2047"/>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88" t="s">
        <v>1942</v>
      </c>
      <c r="CQ629" s="738">
        <f>BR628+BW628+CB628+CG628+CL628+CQ628</f>
        <v>120</v>
      </c>
      <c r="CR629" s="72"/>
      <c r="CS629" s="72"/>
    </row>
    <row r="630" spans="1:126" ht="12.75">
      <c r="A630" s="1380"/>
      <c r="B630" s="2081"/>
      <c r="C630" s="2082"/>
      <c r="D630" s="2082"/>
      <c r="E630" s="2082"/>
      <c r="F630" s="2082"/>
      <c r="G630" s="2082"/>
      <c r="H630" s="2082"/>
      <c r="I630" s="2082"/>
      <c r="J630" s="2082"/>
      <c r="K630" s="2082"/>
      <c r="L630" s="2082"/>
      <c r="M630" s="2082"/>
      <c r="N630" s="2083"/>
      <c r="O630" s="1812"/>
      <c r="P630" s="1813"/>
      <c r="Q630" s="1814"/>
      <c r="R630" s="1812"/>
      <c r="S630" s="1813"/>
      <c r="T630" s="1814"/>
      <c r="U630" s="2050"/>
      <c r="V630" s="2050"/>
      <c r="W630" s="2051"/>
      <c r="X630" s="1812"/>
      <c r="Y630" s="1813"/>
      <c r="Z630" s="1813"/>
      <c r="AA630" s="1813"/>
      <c r="AB630" s="1814"/>
      <c r="AC630" s="2057"/>
      <c r="AD630" s="2058"/>
      <c r="AE630" s="2059"/>
      <c r="AF630" s="1812"/>
      <c r="AG630" s="1813"/>
      <c r="AH630" s="1813"/>
      <c r="AI630" s="1813"/>
      <c r="AJ630" s="1814"/>
      <c r="AK630" s="2066"/>
      <c r="AL630" s="2067"/>
      <c r="AM630" s="2067"/>
      <c r="AN630" s="2068"/>
      <c r="AO630" s="2047"/>
      <c r="AP630" s="2047"/>
      <c r="AQ630" s="2047"/>
      <c r="AR630" s="2047"/>
      <c r="AS630" s="2047"/>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50">
        <f>IF(J752="5 Bedrooms",O752,0)</f>
        <v>0</v>
      </c>
      <c r="CN630" s="2151"/>
      <c r="CO630" s="2151"/>
      <c r="CP630" s="2151"/>
      <c r="CQ630" s="1804"/>
      <c r="CR630" s="72"/>
      <c r="CS630" s="72"/>
    </row>
    <row r="631" spans="1:126" ht="12.75" customHeight="1">
      <c r="A631" s="1380"/>
      <c r="B631" s="2084"/>
      <c r="C631" s="2082"/>
      <c r="D631" s="2082"/>
      <c r="E631" s="2082"/>
      <c r="F631" s="2082"/>
      <c r="G631" s="2082"/>
      <c r="H631" s="2082"/>
      <c r="I631" s="2082"/>
      <c r="J631" s="2082"/>
      <c r="K631" s="2082"/>
      <c r="L631" s="2082"/>
      <c r="M631" s="2082"/>
      <c r="N631" s="2083"/>
      <c r="O631" s="1815"/>
      <c r="P631" s="1816"/>
      <c r="Q631" s="1817"/>
      <c r="R631" s="1815"/>
      <c r="S631" s="1816"/>
      <c r="T631" s="1817"/>
      <c r="U631" s="2052"/>
      <c r="V631" s="2052"/>
      <c r="W631" s="2053"/>
      <c r="X631" s="1815"/>
      <c r="Y631" s="1816"/>
      <c r="Z631" s="1816"/>
      <c r="AA631" s="1816"/>
      <c r="AB631" s="1817"/>
      <c r="AC631" s="2060"/>
      <c r="AD631" s="2061"/>
      <c r="AE631" s="2062"/>
      <c r="AF631" s="1815"/>
      <c r="AG631" s="1816"/>
      <c r="AH631" s="1816"/>
      <c r="AI631" s="1816"/>
      <c r="AJ631" s="1817"/>
      <c r="AK631" s="2069"/>
      <c r="AL631" s="2070"/>
      <c r="AM631" s="2070"/>
      <c r="AN631" s="2071"/>
      <c r="AO631" s="2047"/>
      <c r="AP631" s="2047"/>
      <c r="AQ631" s="2047"/>
      <c r="AR631" s="2047"/>
      <c r="AS631" s="2047"/>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50">
        <f>IF(J753="5 Bedrooms",O753,0)</f>
        <v>0</v>
      </c>
      <c r="CN631" s="2151"/>
      <c r="CO631" s="2151"/>
      <c r="CP631" s="2151"/>
      <c r="CQ631" s="1804"/>
      <c r="CR631" s="72"/>
      <c r="CS631" s="72"/>
    </row>
    <row r="632" spans="1:126" ht="12.75" customHeight="1">
      <c r="B632" s="97" t="s">
        <v>1004</v>
      </c>
      <c r="C632" s="1692" t="s">
        <v>2465</v>
      </c>
      <c r="D632" s="1692"/>
      <c r="E632" s="1692"/>
      <c r="F632" s="1692"/>
      <c r="G632" s="1692"/>
      <c r="H632" s="1692"/>
      <c r="I632" s="1692"/>
      <c r="J632" s="1692"/>
      <c r="K632" s="1692"/>
      <c r="L632" s="1692"/>
      <c r="M632" s="1692"/>
      <c r="N632" s="2027"/>
      <c r="O632" s="1963">
        <v>17</v>
      </c>
      <c r="P632" s="1689"/>
      <c r="Q632" s="1964"/>
      <c r="R632" s="1963">
        <f>12*30</f>
        <v>360</v>
      </c>
      <c r="S632" s="1689"/>
      <c r="T632" s="1964"/>
      <c r="U632" s="1965">
        <v>4.2500000000000003E-2</v>
      </c>
      <c r="V632" s="1966"/>
      <c r="W632" s="1967"/>
      <c r="X632" s="1968" t="s">
        <v>2287</v>
      </c>
      <c r="Y632" s="1969"/>
      <c r="Z632" s="1969"/>
      <c r="AA632" s="1969"/>
      <c r="AB632" s="1970"/>
      <c r="AC632" s="1963">
        <v>1</v>
      </c>
      <c r="AD632" s="1689"/>
      <c r="AE632" s="1964"/>
      <c r="AF632" s="1772">
        <f>-PMT(U632/12,R632,AO632)*12</f>
        <v>216790.29476921458</v>
      </c>
      <c r="AG632" s="1773"/>
      <c r="AH632" s="1773"/>
      <c r="AI632" s="1773"/>
      <c r="AJ632" s="1774"/>
      <c r="AK632" s="2038" t="s">
        <v>2449</v>
      </c>
      <c r="AL632" s="2041"/>
      <c r="AM632" s="2041"/>
      <c r="AN632" s="2042"/>
      <c r="AO632" s="1775">
        <v>3672371</v>
      </c>
      <c r="AP632" s="1775"/>
      <c r="AQ632" s="1775"/>
      <c r="AR632" s="1775"/>
      <c r="AS632" s="1775"/>
      <c r="AU632" s="75"/>
      <c r="AV632" s="75"/>
      <c r="AW632" s="75"/>
      <c r="AX632" s="75"/>
      <c r="AY632" s="75"/>
      <c r="BA632" s="72" t="s">
        <v>2267</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50">
        <f>IF(J754="5 Bedrooms",O754,0)</f>
        <v>0</v>
      </c>
      <c r="CN632" s="2151"/>
      <c r="CO632" s="2151"/>
      <c r="CP632" s="2151"/>
      <c r="CQ632" s="1804"/>
      <c r="CR632" s="72"/>
      <c r="CS632" s="72"/>
    </row>
    <row r="633" spans="1:126" ht="12.75">
      <c r="B633" s="98" t="s">
        <v>1005</v>
      </c>
      <c r="C633" s="1692" t="s">
        <v>2466</v>
      </c>
      <c r="D633" s="1692"/>
      <c r="E633" s="1692"/>
      <c r="F633" s="1692"/>
      <c r="G633" s="1692"/>
      <c r="H633" s="1692"/>
      <c r="I633" s="1692"/>
      <c r="J633" s="1692"/>
      <c r="K633" s="1692"/>
      <c r="L633" s="1692"/>
      <c r="M633" s="1692"/>
      <c r="N633" s="2027"/>
      <c r="O633" s="2043" t="s">
        <v>2449</v>
      </c>
      <c r="P633" s="1689"/>
      <c r="Q633" s="1964"/>
      <c r="R633" s="2043" t="s">
        <v>2449</v>
      </c>
      <c r="S633" s="1689"/>
      <c r="T633" s="1964"/>
      <c r="U633" s="1965">
        <v>0.03</v>
      </c>
      <c r="V633" s="1966"/>
      <c r="W633" s="1967"/>
      <c r="X633" s="1968" t="s">
        <v>864</v>
      </c>
      <c r="Y633" s="1969"/>
      <c r="Z633" s="1969"/>
      <c r="AA633" s="1969"/>
      <c r="AB633" s="1970"/>
      <c r="AC633" s="1963">
        <v>2</v>
      </c>
      <c r="AD633" s="1689"/>
      <c r="AE633" s="1964"/>
      <c r="AF633" s="1772"/>
      <c r="AG633" s="1773"/>
      <c r="AH633" s="1773"/>
      <c r="AI633" s="1773"/>
      <c r="AJ633" s="1774"/>
      <c r="AK633" s="2038" t="s">
        <v>2449</v>
      </c>
      <c r="AL633" s="2041"/>
      <c r="AM633" s="2041"/>
      <c r="AN633" s="2042"/>
      <c r="AO633" s="1775">
        <v>4400000</v>
      </c>
      <c r="AP633" s="1775"/>
      <c r="AQ633" s="1775"/>
      <c r="AR633" s="1775"/>
      <c r="AS633" s="1775"/>
      <c r="AU633" s="75"/>
      <c r="AV633" s="75"/>
      <c r="AW633" s="75"/>
      <c r="AX633" s="75"/>
      <c r="AY633" s="75"/>
      <c r="BA633" s="72" t="s">
        <v>865</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50">
        <f>IF(J755="5 Bedrooms",O755,0)</f>
        <v>0</v>
      </c>
      <c r="CN633" s="2151"/>
      <c r="CO633" s="2151"/>
      <c r="CP633" s="2151"/>
      <c r="CQ633" s="1804"/>
      <c r="CR633" s="72"/>
      <c r="CS633" s="72"/>
    </row>
    <row r="634" spans="1:126" ht="12.75">
      <c r="B634" s="98" t="s">
        <v>1011</v>
      </c>
      <c r="C634" s="1692" t="s">
        <v>2467</v>
      </c>
      <c r="D634" s="1692"/>
      <c r="E634" s="1692"/>
      <c r="F634" s="1692"/>
      <c r="G634" s="1692"/>
      <c r="H634" s="1692"/>
      <c r="I634" s="1692"/>
      <c r="J634" s="1692"/>
      <c r="K634" s="1692"/>
      <c r="L634" s="1692"/>
      <c r="M634" s="1692"/>
      <c r="N634" s="2027"/>
      <c r="O634" s="2043" t="s">
        <v>2449</v>
      </c>
      <c r="P634" s="1689"/>
      <c r="Q634" s="1964"/>
      <c r="R634" s="2043" t="s">
        <v>2449</v>
      </c>
      <c r="S634" s="1689"/>
      <c r="T634" s="1964"/>
      <c r="U634" s="1965">
        <v>0.03</v>
      </c>
      <c r="V634" s="1966"/>
      <c r="W634" s="1967"/>
      <c r="X634" s="1968" t="s">
        <v>864</v>
      </c>
      <c r="Y634" s="1969"/>
      <c r="Z634" s="1969"/>
      <c r="AA634" s="1969"/>
      <c r="AB634" s="1970"/>
      <c r="AC634" s="1963">
        <v>3</v>
      </c>
      <c r="AD634" s="1689"/>
      <c r="AE634" s="1964"/>
      <c r="AF634" s="1772">
        <f>0.42%*AO634</f>
        <v>84000</v>
      </c>
      <c r="AG634" s="1773"/>
      <c r="AH634" s="1773"/>
      <c r="AI634" s="1773"/>
      <c r="AJ634" s="1774"/>
      <c r="AK634" s="2038" t="s">
        <v>2449</v>
      </c>
      <c r="AL634" s="2041"/>
      <c r="AM634" s="2041"/>
      <c r="AN634" s="2042"/>
      <c r="AO634" s="1775">
        <v>20000000</v>
      </c>
      <c r="AP634" s="1775"/>
      <c r="AQ634" s="1775"/>
      <c r="AR634" s="1775"/>
      <c r="AS634" s="1775"/>
      <c r="AU634" s="75"/>
      <c r="AV634" s="75"/>
      <c r="AW634" s="75"/>
      <c r="AX634" s="75"/>
      <c r="AY634" s="75"/>
      <c r="AZ634" s="75"/>
      <c r="BA634" s="72" t="s">
        <v>864</v>
      </c>
      <c r="BB634" s="75"/>
      <c r="BC634" s="75"/>
      <c r="BD634" s="75"/>
      <c r="BN634" s="2153">
        <f>SUM(BN630:BR633)</f>
        <v>0</v>
      </c>
      <c r="BO634" s="2154"/>
      <c r="BP634" s="2154"/>
      <c r="BQ634" s="2154"/>
      <c r="BR634" s="2155"/>
      <c r="BS634" s="2153">
        <f>SUM(BS630:BW633)</f>
        <v>0</v>
      </c>
      <c r="BT634" s="2154"/>
      <c r="BU634" s="2154"/>
      <c r="BV634" s="2154"/>
      <c r="BW634" s="2155"/>
      <c r="BX634" s="2153">
        <f>SUM(BX630:CB633)</f>
        <v>1</v>
      </c>
      <c r="BY634" s="2154"/>
      <c r="BZ634" s="2154"/>
      <c r="CA634" s="2154"/>
      <c r="CB634" s="2155"/>
      <c r="CC634" s="2153">
        <f>SUM(CC630:CG633)</f>
        <v>0</v>
      </c>
      <c r="CD634" s="2154"/>
      <c r="CE634" s="2154"/>
      <c r="CF634" s="2154"/>
      <c r="CG634" s="2155"/>
      <c r="CH634" s="2153">
        <f>SUM(CH630:CL633)</f>
        <v>0</v>
      </c>
      <c r="CI634" s="2154"/>
      <c r="CJ634" s="2154"/>
      <c r="CK634" s="2154"/>
      <c r="CL634" s="2155"/>
      <c r="CM634" s="2153">
        <f>SUM(CM630:CQ633)</f>
        <v>0</v>
      </c>
      <c r="CN634" s="2154"/>
      <c r="CO634" s="2154"/>
      <c r="CP634" s="2154"/>
      <c r="CQ634" s="2155"/>
      <c r="CS634" s="737">
        <f>BN634+BS634+BX634+CC634+CH634+CM634</f>
        <v>1</v>
      </c>
      <c r="CT634" s="142" t="s">
        <v>2271</v>
      </c>
      <c r="CU634" s="72"/>
    </row>
    <row r="635" spans="1:126" ht="12.75">
      <c r="B635" s="98" t="s">
        <v>480</v>
      </c>
      <c r="C635" s="1692" t="s">
        <v>2468</v>
      </c>
      <c r="D635" s="1692"/>
      <c r="E635" s="1692"/>
      <c r="F635" s="1692"/>
      <c r="G635" s="1692"/>
      <c r="H635" s="1692"/>
      <c r="I635" s="1692"/>
      <c r="J635" s="1692"/>
      <c r="K635" s="1692"/>
      <c r="L635" s="1692"/>
      <c r="M635" s="1692"/>
      <c r="N635" s="2027"/>
      <c r="O635" s="2043" t="s">
        <v>2449</v>
      </c>
      <c r="P635" s="1689"/>
      <c r="Q635" s="1964"/>
      <c r="R635" s="2043" t="s">
        <v>2449</v>
      </c>
      <c r="S635" s="1689"/>
      <c r="T635" s="1964"/>
      <c r="U635" s="1965" t="s">
        <v>2449</v>
      </c>
      <c r="V635" s="1966"/>
      <c r="W635" s="1967"/>
      <c r="X635" s="1968" t="s">
        <v>548</v>
      </c>
      <c r="Y635" s="1969"/>
      <c r="Z635" s="1969"/>
      <c r="AA635" s="1969"/>
      <c r="AB635" s="1970"/>
      <c r="AC635" s="1963"/>
      <c r="AD635" s="1689"/>
      <c r="AE635" s="1964"/>
      <c r="AF635" s="1772"/>
      <c r="AG635" s="1773"/>
      <c r="AH635" s="1773"/>
      <c r="AI635" s="1773"/>
      <c r="AJ635" s="1774"/>
      <c r="AK635" s="2038" t="s">
        <v>2449</v>
      </c>
      <c r="AL635" s="2041"/>
      <c r="AM635" s="2041"/>
      <c r="AN635" s="2042"/>
      <c r="AO635" s="1775">
        <v>168683</v>
      </c>
      <c r="AP635" s="1775"/>
      <c r="AQ635" s="1775"/>
      <c r="AR635" s="1775"/>
      <c r="AS635" s="1775"/>
      <c r="AT635" s="75"/>
      <c r="AU635" s="75"/>
      <c r="AV635" s="75"/>
      <c r="AW635" s="75"/>
      <c r="AX635" s="75"/>
      <c r="AY635" s="75"/>
      <c r="AZ635" s="75"/>
      <c r="BA635" s="72" t="s">
        <v>2287</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2" t="s">
        <v>2469</v>
      </c>
      <c r="D636" s="1692"/>
      <c r="E636" s="1692"/>
      <c r="F636" s="1692"/>
      <c r="G636" s="1692"/>
      <c r="H636" s="1692"/>
      <c r="I636" s="1692"/>
      <c r="J636" s="1692"/>
      <c r="K636" s="1692"/>
      <c r="L636" s="1692"/>
      <c r="M636" s="1692"/>
      <c r="N636" s="2027"/>
      <c r="O636" s="2043" t="s">
        <v>2449</v>
      </c>
      <c r="P636" s="1689"/>
      <c r="Q636" s="1964"/>
      <c r="R636" s="2043" t="s">
        <v>2449</v>
      </c>
      <c r="S636" s="1689"/>
      <c r="T636" s="1964"/>
      <c r="U636" s="1965">
        <v>0.06</v>
      </c>
      <c r="V636" s="1966"/>
      <c r="W636" s="1967"/>
      <c r="X636" s="1968" t="s">
        <v>548</v>
      </c>
      <c r="Y636" s="1969"/>
      <c r="Z636" s="1969"/>
      <c r="AA636" s="1969"/>
      <c r="AB636" s="1970"/>
      <c r="AC636" s="1963"/>
      <c r="AD636" s="1689"/>
      <c r="AE636" s="1964"/>
      <c r="AF636" s="1772"/>
      <c r="AG636" s="1773"/>
      <c r="AH636" s="1773"/>
      <c r="AI636" s="1773"/>
      <c r="AJ636" s="1774"/>
      <c r="AK636" s="2038" t="s">
        <v>2449</v>
      </c>
      <c r="AL636" s="2041"/>
      <c r="AM636" s="2041"/>
      <c r="AN636" s="2042"/>
      <c r="AO636" s="1775">
        <f>'Sources and Uses Budget'!C104-SUM(Application!AO632:AS635,Application!AO645)</f>
        <v>6250</v>
      </c>
      <c r="AP636" s="1775"/>
      <c r="AQ636" s="1775"/>
      <c r="AR636" s="1775"/>
      <c r="AS636" s="1775"/>
      <c r="AT636" s="75"/>
      <c r="AU636" s="75"/>
      <c r="AV636" s="75"/>
      <c r="AW636" s="75"/>
      <c r="AX636" s="75"/>
      <c r="AY636" s="75"/>
      <c r="AZ636" s="75"/>
      <c r="BA636" s="72" t="s">
        <v>548</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75">
      <c r="B637" s="98" t="s">
        <v>483</v>
      </c>
      <c r="C637" s="1692"/>
      <c r="D637" s="1692"/>
      <c r="E637" s="1692"/>
      <c r="F637" s="1692"/>
      <c r="G637" s="1692"/>
      <c r="H637" s="1692"/>
      <c r="I637" s="1692"/>
      <c r="J637" s="1692"/>
      <c r="K637" s="1692"/>
      <c r="L637" s="1692"/>
      <c r="M637" s="1692"/>
      <c r="N637" s="2027"/>
      <c r="O637" s="2044"/>
      <c r="P637" s="2045"/>
      <c r="Q637" s="2046"/>
      <c r="R637" s="2029"/>
      <c r="S637" s="1845"/>
      <c r="T637" s="2030"/>
      <c r="U637" s="1965"/>
      <c r="V637" s="1966"/>
      <c r="W637" s="1967"/>
      <c r="X637" s="1968" t="s">
        <v>2267</v>
      </c>
      <c r="Y637" s="1969"/>
      <c r="Z637" s="1969"/>
      <c r="AA637" s="1969"/>
      <c r="AB637" s="1970"/>
      <c r="AC637" s="1963"/>
      <c r="AD637" s="1689"/>
      <c r="AE637" s="1964"/>
      <c r="AF637" s="1772"/>
      <c r="AG637" s="1773"/>
      <c r="AH637" s="1773"/>
      <c r="AI637" s="1773"/>
      <c r="AJ637" s="1774"/>
      <c r="AK637" s="2156"/>
      <c r="AL637" s="2041"/>
      <c r="AM637" s="2041"/>
      <c r="AN637" s="2042"/>
      <c r="AO637" s="1775"/>
      <c r="AP637" s="1775"/>
      <c r="AQ637" s="1775"/>
      <c r="AR637" s="1775"/>
      <c r="AS637" s="1775"/>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75">
      <c r="B638" s="98" t="s">
        <v>810</v>
      </c>
      <c r="C638" s="1692"/>
      <c r="D638" s="1692"/>
      <c r="E638" s="1692"/>
      <c r="F638" s="1692"/>
      <c r="G638" s="1692"/>
      <c r="H638" s="1692"/>
      <c r="I638" s="1692"/>
      <c r="J638" s="1692"/>
      <c r="K638" s="1692"/>
      <c r="L638" s="1692"/>
      <c r="M638" s="1692"/>
      <c r="N638" s="2027"/>
      <c r="O638" s="2044"/>
      <c r="P638" s="2045"/>
      <c r="Q638" s="2046"/>
      <c r="R638" s="2029"/>
      <c r="S638" s="1845"/>
      <c r="T638" s="2030"/>
      <c r="U638" s="1965"/>
      <c r="V638" s="1966"/>
      <c r="W638" s="1967"/>
      <c r="X638" s="1968" t="s">
        <v>2267</v>
      </c>
      <c r="Y638" s="1969"/>
      <c r="Z638" s="1969"/>
      <c r="AA638" s="1969"/>
      <c r="AB638" s="1970"/>
      <c r="AC638" s="1963"/>
      <c r="AD638" s="1689"/>
      <c r="AE638" s="1964"/>
      <c r="AF638" s="1772"/>
      <c r="AG638" s="1773"/>
      <c r="AH638" s="1773"/>
      <c r="AI638" s="1773"/>
      <c r="AJ638" s="1774"/>
      <c r="AK638" s="2156"/>
      <c r="AL638" s="2041"/>
      <c r="AM638" s="2041"/>
      <c r="AN638" s="2042"/>
      <c r="AO638" s="1775"/>
      <c r="AP638" s="1775"/>
      <c r="AQ638" s="1775"/>
      <c r="AR638" s="1775"/>
      <c r="AS638" s="1775"/>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75">
      <c r="B639" s="98" t="s">
        <v>811</v>
      </c>
      <c r="C639" s="1692"/>
      <c r="D639" s="1692"/>
      <c r="E639" s="1692"/>
      <c r="F639" s="1692"/>
      <c r="G639" s="1692"/>
      <c r="H639" s="1692"/>
      <c r="I639" s="1692"/>
      <c r="J639" s="1692"/>
      <c r="K639" s="1692"/>
      <c r="L639" s="1692"/>
      <c r="M639" s="1692"/>
      <c r="N639" s="2027"/>
      <c r="O639" s="2044"/>
      <c r="P639" s="2045"/>
      <c r="Q639" s="2046"/>
      <c r="R639" s="2029"/>
      <c r="S639" s="1845"/>
      <c r="T639" s="2030"/>
      <c r="U639" s="1965"/>
      <c r="V639" s="1966"/>
      <c r="W639" s="1967"/>
      <c r="X639" s="1968" t="s">
        <v>2267</v>
      </c>
      <c r="Y639" s="1969"/>
      <c r="Z639" s="1969"/>
      <c r="AA639" s="1969"/>
      <c r="AB639" s="1970"/>
      <c r="AC639" s="1963"/>
      <c r="AD639" s="1689"/>
      <c r="AE639" s="1964"/>
      <c r="AF639" s="1772"/>
      <c r="AG639" s="1773"/>
      <c r="AH639" s="1773"/>
      <c r="AI639" s="1773"/>
      <c r="AJ639" s="1774"/>
      <c r="AK639" s="2156"/>
      <c r="AL639" s="2041"/>
      <c r="AM639" s="2041"/>
      <c r="AN639" s="2042"/>
      <c r="AO639" s="1775"/>
      <c r="AP639" s="1775"/>
      <c r="AQ639" s="1775"/>
      <c r="AR639" s="1775"/>
      <c r="AS639" s="1775"/>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75">
      <c r="B640" s="98" t="s">
        <v>606</v>
      </c>
      <c r="C640" s="1692"/>
      <c r="D640" s="1692"/>
      <c r="E640" s="1692"/>
      <c r="F640" s="1692"/>
      <c r="G640" s="1692"/>
      <c r="H640" s="1692"/>
      <c r="I640" s="1692"/>
      <c r="J640" s="1692"/>
      <c r="K640" s="1692"/>
      <c r="L640" s="1692"/>
      <c r="M640" s="1692"/>
      <c r="N640" s="2027"/>
      <c r="O640" s="2044"/>
      <c r="P640" s="2045"/>
      <c r="Q640" s="2046"/>
      <c r="R640" s="2029"/>
      <c r="S640" s="1845"/>
      <c r="T640" s="2030"/>
      <c r="U640" s="1965"/>
      <c r="V640" s="1966"/>
      <c r="W640" s="1967"/>
      <c r="X640" s="1968" t="s">
        <v>2267</v>
      </c>
      <c r="Y640" s="1969"/>
      <c r="Z640" s="1969"/>
      <c r="AA640" s="1969"/>
      <c r="AB640" s="1970"/>
      <c r="AC640" s="1963"/>
      <c r="AD640" s="1689"/>
      <c r="AE640" s="1964"/>
      <c r="AF640" s="1772"/>
      <c r="AG640" s="1773"/>
      <c r="AH640" s="1773"/>
      <c r="AI640" s="1773"/>
      <c r="AJ640" s="1774"/>
      <c r="AK640" s="2156"/>
      <c r="AL640" s="2041"/>
      <c r="AM640" s="2041"/>
      <c r="AN640" s="2042"/>
      <c r="AO640" s="1775"/>
      <c r="AP640" s="1775"/>
      <c r="AQ640" s="1775"/>
      <c r="AR640" s="1775"/>
      <c r="AS640" s="1775"/>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75">
      <c r="B641" s="98" t="s">
        <v>191</v>
      </c>
      <c r="C641" s="1692"/>
      <c r="D641" s="1692"/>
      <c r="E641" s="1692"/>
      <c r="F641" s="1692"/>
      <c r="G641" s="1692"/>
      <c r="H641" s="1692"/>
      <c r="I641" s="1692"/>
      <c r="J641" s="1692"/>
      <c r="K641" s="1692"/>
      <c r="L641" s="1692"/>
      <c r="M641" s="1692"/>
      <c r="N641" s="2027"/>
      <c r="O641" s="2044"/>
      <c r="P641" s="2045"/>
      <c r="Q641" s="2046"/>
      <c r="R641" s="2029"/>
      <c r="S641" s="1845"/>
      <c r="T641" s="2030"/>
      <c r="U641" s="1965"/>
      <c r="V641" s="1966"/>
      <c r="W641" s="1967"/>
      <c r="X641" s="1968" t="s">
        <v>2267</v>
      </c>
      <c r="Y641" s="1969"/>
      <c r="Z641" s="1969"/>
      <c r="AA641" s="1969"/>
      <c r="AB641" s="1970"/>
      <c r="AC641" s="1963"/>
      <c r="AD641" s="1689"/>
      <c r="AE641" s="1964"/>
      <c r="AF641" s="1772"/>
      <c r="AG641" s="1773"/>
      <c r="AH641" s="1773"/>
      <c r="AI641" s="1773"/>
      <c r="AJ641" s="1774"/>
      <c r="AK641" s="2156"/>
      <c r="AL641" s="2041"/>
      <c r="AM641" s="2041"/>
      <c r="AN641" s="2042"/>
      <c r="AO641" s="1775"/>
      <c r="AP641" s="1775"/>
      <c r="AQ641" s="1775"/>
      <c r="AR641" s="1775"/>
      <c r="AS641" s="1775"/>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75">
      <c r="B642" s="98" t="s">
        <v>37</v>
      </c>
      <c r="C642" s="1692"/>
      <c r="D642" s="1692"/>
      <c r="E642" s="1692"/>
      <c r="F642" s="1692"/>
      <c r="G642" s="1692"/>
      <c r="H642" s="1692"/>
      <c r="I642" s="1692"/>
      <c r="J642" s="1692"/>
      <c r="K642" s="1692"/>
      <c r="L642" s="1692"/>
      <c r="M642" s="1692"/>
      <c r="N642" s="2027"/>
      <c r="O642" s="2044"/>
      <c r="P642" s="2045"/>
      <c r="Q642" s="2046"/>
      <c r="R642" s="2029"/>
      <c r="S642" s="1845"/>
      <c r="T642" s="2030"/>
      <c r="U642" s="1965"/>
      <c r="V642" s="1966"/>
      <c r="W642" s="1967"/>
      <c r="X642" s="1968" t="s">
        <v>2267</v>
      </c>
      <c r="Y642" s="1969"/>
      <c r="Z642" s="1969"/>
      <c r="AA642" s="1969"/>
      <c r="AB642" s="1970"/>
      <c r="AC642" s="1963"/>
      <c r="AD642" s="1689"/>
      <c r="AE642" s="1964"/>
      <c r="AF642" s="1772"/>
      <c r="AG642" s="1773"/>
      <c r="AH642" s="1773"/>
      <c r="AI642" s="1773"/>
      <c r="AJ642" s="1774"/>
      <c r="AK642" s="2156"/>
      <c r="AL642" s="2041"/>
      <c r="AM642" s="2041"/>
      <c r="AN642" s="2042"/>
      <c r="AO642" s="1775"/>
      <c r="AP642" s="1775"/>
      <c r="AQ642" s="1775"/>
      <c r="AR642" s="1775"/>
      <c r="AS642" s="1775"/>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92"/>
      <c r="D643" s="1692"/>
      <c r="E643" s="1692"/>
      <c r="F643" s="1692"/>
      <c r="G643" s="1692"/>
      <c r="H643" s="1692"/>
      <c r="I643" s="1692"/>
      <c r="J643" s="1692"/>
      <c r="K643" s="1692"/>
      <c r="L643" s="1692"/>
      <c r="M643" s="1692"/>
      <c r="N643" s="2027"/>
      <c r="O643" s="2044"/>
      <c r="P643" s="2045"/>
      <c r="Q643" s="2046"/>
      <c r="R643" s="2029"/>
      <c r="S643" s="1845"/>
      <c r="T643" s="2030"/>
      <c r="U643" s="1965"/>
      <c r="V643" s="1966"/>
      <c r="W643" s="1967"/>
      <c r="X643" s="1968" t="s">
        <v>2267</v>
      </c>
      <c r="Y643" s="1969"/>
      <c r="Z643" s="1969"/>
      <c r="AA643" s="1969"/>
      <c r="AB643" s="1970"/>
      <c r="AC643" s="1963"/>
      <c r="AD643" s="1689"/>
      <c r="AE643" s="1964"/>
      <c r="AF643" s="1772"/>
      <c r="AG643" s="1773"/>
      <c r="AH643" s="1773"/>
      <c r="AI643" s="1773"/>
      <c r="AJ643" s="1774"/>
      <c r="AK643" s="2156"/>
      <c r="AL643" s="2041"/>
      <c r="AM643" s="2041"/>
      <c r="AN643" s="2042"/>
      <c r="AO643" s="1775"/>
      <c r="AP643" s="1775"/>
      <c r="AQ643" s="1775"/>
      <c r="AR643" s="1775"/>
      <c r="AS643" s="1775"/>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87" t="s">
        <v>402</v>
      </c>
      <c r="C644" s="1788"/>
      <c r="D644" s="1788"/>
      <c r="E644" s="1788"/>
      <c r="F644" s="1788"/>
      <c r="G644" s="1788"/>
      <c r="H644" s="1788"/>
      <c r="I644" s="1788"/>
      <c r="J644" s="1788"/>
      <c r="K644" s="1788"/>
      <c r="L644" s="1788"/>
      <c r="M644" s="1788"/>
      <c r="N644" s="1788"/>
      <c r="O644" s="1788"/>
      <c r="P644" s="1788"/>
      <c r="Q644" s="1788"/>
      <c r="R644" s="1788"/>
      <c r="S644" s="1788"/>
      <c r="T644" s="1788"/>
      <c r="U644" s="1788"/>
      <c r="V644" s="1788"/>
      <c r="W644" s="1788"/>
      <c r="X644" s="1788"/>
      <c r="Y644" s="1788"/>
      <c r="Z644" s="1788"/>
      <c r="AA644" s="1788"/>
      <c r="AB644" s="1788"/>
      <c r="AC644" s="1788"/>
      <c r="AD644" s="1788"/>
      <c r="AE644" s="1788"/>
      <c r="AF644" s="1788"/>
      <c r="AG644" s="1788"/>
      <c r="AH644" s="1788"/>
      <c r="AI644" s="1788"/>
      <c r="AJ644" s="1788"/>
      <c r="AK644" s="1788"/>
      <c r="AL644" s="1788"/>
      <c r="AM644" s="1788"/>
      <c r="AN644" s="1789"/>
      <c r="AO644" s="1710">
        <f>SUM(AO632:AS643)</f>
        <v>28247304</v>
      </c>
      <c r="AP644" s="1711"/>
      <c r="AQ644" s="1711"/>
      <c r="AR644" s="1711"/>
      <c r="AS644" s="1712"/>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2.75">
      <c r="B645" s="1787" t="s">
        <v>403</v>
      </c>
      <c r="C645" s="1788"/>
      <c r="D645" s="1788"/>
      <c r="E645" s="1788"/>
      <c r="F645" s="1788"/>
      <c r="G645" s="1788"/>
      <c r="H645" s="1788"/>
      <c r="I645" s="1788"/>
      <c r="J645" s="1788"/>
      <c r="K645" s="1788"/>
      <c r="L645" s="1788"/>
      <c r="M645" s="1788"/>
      <c r="N645" s="1788"/>
      <c r="O645" s="1788"/>
      <c r="P645" s="1788"/>
      <c r="Q645" s="1788"/>
      <c r="R645" s="1788"/>
      <c r="S645" s="1788"/>
      <c r="T645" s="1788"/>
      <c r="U645" s="1788"/>
      <c r="V645" s="1788"/>
      <c r="W645" s="1788"/>
      <c r="X645" s="1788"/>
      <c r="Y645" s="1788"/>
      <c r="Z645" s="1788"/>
      <c r="AA645" s="1788"/>
      <c r="AB645" s="1788"/>
      <c r="AC645" s="1788"/>
      <c r="AD645" s="1788"/>
      <c r="AE645" s="1788"/>
      <c r="AF645" s="1788"/>
      <c r="AG645" s="1788"/>
      <c r="AH645" s="1788"/>
      <c r="AI645" s="1788"/>
      <c r="AJ645" s="1788"/>
      <c r="AK645" s="1788"/>
      <c r="AL645" s="1788"/>
      <c r="AM645" s="1788"/>
      <c r="AN645" s="1789"/>
      <c r="AO645" s="1703">
        <v>24730756</v>
      </c>
      <c r="AP645" s="1704"/>
      <c r="AQ645" s="1704"/>
      <c r="AR645" s="1704"/>
      <c r="AS645" s="1705"/>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2.75">
      <c r="B646" s="2075" t="s">
        <v>1044</v>
      </c>
      <c r="C646" s="2076"/>
      <c r="D646" s="2076"/>
      <c r="E646" s="2076"/>
      <c r="F646" s="2076"/>
      <c r="G646" s="2076"/>
      <c r="H646" s="2076"/>
      <c r="I646" s="2076"/>
      <c r="J646" s="2076"/>
      <c r="K646" s="2076"/>
      <c r="L646" s="2076"/>
      <c r="M646" s="2076"/>
      <c r="N646" s="2076"/>
      <c r="O646" s="2076"/>
      <c r="P646" s="2076"/>
      <c r="Q646" s="2076"/>
      <c r="R646" s="2076"/>
      <c r="S646" s="2076"/>
      <c r="T646" s="2076"/>
      <c r="U646" s="2076"/>
      <c r="V646" s="2076"/>
      <c r="W646" s="2076"/>
      <c r="X646" s="2076"/>
      <c r="Y646" s="2076"/>
      <c r="Z646" s="2076"/>
      <c r="AA646" s="2076"/>
      <c r="AB646" s="2076"/>
      <c r="AC646" s="2076"/>
      <c r="AD646" s="2076"/>
      <c r="AE646" s="2076"/>
      <c r="AF646" s="2076"/>
      <c r="AG646" s="2076"/>
      <c r="AH646" s="2076"/>
      <c r="AI646" s="2076"/>
      <c r="AJ646" s="2076"/>
      <c r="AK646" s="2076"/>
      <c r="AL646" s="2076"/>
      <c r="AM646" s="2076"/>
      <c r="AN646" s="2077"/>
      <c r="AO646" s="1710">
        <f>AO644+AO645</f>
        <v>52978060</v>
      </c>
      <c r="AP646" s="1711"/>
      <c r="AQ646" s="1711"/>
      <c r="AR646" s="1711"/>
      <c r="AS646" s="1712"/>
      <c r="AT646" s="75"/>
      <c r="AU646" s="75"/>
      <c r="AV646" s="75"/>
      <c r="AW646" s="75"/>
      <c r="AX646" s="75"/>
      <c r="AY646" s="75"/>
      <c r="AZ646" s="75"/>
      <c r="BN646" s="2153">
        <f>SUM(BN636:BR645)</f>
        <v>0</v>
      </c>
      <c r="BO646" s="2154"/>
      <c r="BP646" s="2154"/>
      <c r="BQ646" s="2154"/>
      <c r="BR646" s="2155"/>
      <c r="BS646" s="2153">
        <f>SUM(BS636:BW645)</f>
        <v>0</v>
      </c>
      <c r="BT646" s="2154"/>
      <c r="BU646" s="2154"/>
      <c r="BV646" s="2154"/>
      <c r="BW646" s="2155"/>
      <c r="BX646" s="2153">
        <f>SUM(BX636:CB645)</f>
        <v>0</v>
      </c>
      <c r="BY646" s="2154"/>
      <c r="BZ646" s="2154"/>
      <c r="CA646" s="2154"/>
      <c r="CB646" s="2155"/>
      <c r="CC646" s="2153">
        <f>SUM(CC636:CG645)</f>
        <v>0</v>
      </c>
      <c r="CD646" s="2154"/>
      <c r="CE646" s="2154"/>
      <c r="CF646" s="2154"/>
      <c r="CG646" s="2155"/>
      <c r="CH646" s="2153">
        <f>SUM(CH636:CL645)</f>
        <v>0</v>
      </c>
      <c r="CI646" s="2154"/>
      <c r="CJ646" s="2154"/>
      <c r="CK646" s="2154"/>
      <c r="CL646" s="2155"/>
      <c r="CM646" s="2153">
        <f>SUM(CM636:CQ645)</f>
        <v>0</v>
      </c>
      <c r="CN646" s="2154"/>
      <c r="CO646" s="2154"/>
      <c r="CP646" s="2154"/>
      <c r="CQ646" s="215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40" t="str">
        <f>C632</f>
        <v>Citi Perm Loan</v>
      </c>
      <c r="H648" s="1840"/>
      <c r="I648" s="1840"/>
      <c r="J648" s="1840"/>
      <c r="K648" s="1840"/>
      <c r="L648" s="1840"/>
      <c r="M648" s="1840"/>
      <c r="N648" s="1840"/>
      <c r="O648" s="1840"/>
      <c r="P648" s="1840"/>
      <c r="Q648" s="1840"/>
      <c r="R648" s="1840"/>
      <c r="S648" s="18"/>
      <c r="T648" s="101" t="s">
        <v>1005</v>
      </c>
      <c r="U648" s="16" t="s">
        <v>93</v>
      </c>
      <c r="Z648" s="1840" t="str">
        <f>C633</f>
        <v>SDHC Loan</v>
      </c>
      <c r="AA648" s="1840"/>
      <c r="AB648" s="1840"/>
      <c r="AC648" s="1840"/>
      <c r="AD648" s="1840"/>
      <c r="AE648" s="1840"/>
      <c r="AF648" s="1840"/>
      <c r="AG648" s="1840"/>
      <c r="AH648" s="1840"/>
      <c r="AI648" s="1840"/>
      <c r="AJ648" s="1840"/>
      <c r="AK648" s="1840"/>
      <c r="AM648" s="75"/>
      <c r="AN648" s="75"/>
      <c r="AO648" s="75"/>
      <c r="AP648" s="75"/>
      <c r="AQ648" s="75"/>
      <c r="AR648" s="75"/>
      <c r="AS648" s="75"/>
      <c r="AT648" s="75"/>
      <c r="AU648" s="75"/>
      <c r="AV648" s="75"/>
      <c r="AW648" s="75"/>
      <c r="AX648" s="75"/>
      <c r="AY648" s="75"/>
      <c r="AZ648" s="75"/>
      <c r="CP648" s="1388" t="s">
        <v>1943</v>
      </c>
      <c r="CQ648" s="738">
        <f>BN646+BS646+BX646+CC646+CH646+CM646</f>
        <v>0</v>
      </c>
      <c r="CR648" s="72"/>
      <c r="CS648" s="72"/>
    </row>
    <row r="649" spans="1:97" ht="13.5" thickBot="1">
      <c r="A649" s="46"/>
      <c r="B649" s="16" t="s">
        <v>416</v>
      </c>
      <c r="G649" s="1531" t="str">
        <f>G574</f>
        <v>Citi Construction Loan</v>
      </c>
      <c r="H649" s="1531"/>
      <c r="I649" s="1531"/>
      <c r="J649" s="1531"/>
      <c r="K649" s="1531"/>
      <c r="L649" s="1531"/>
      <c r="M649" s="1531"/>
      <c r="N649" s="1531"/>
      <c r="O649" s="1531"/>
      <c r="P649" s="1531"/>
      <c r="Q649" s="1531"/>
      <c r="R649" s="1531"/>
      <c r="S649" s="18"/>
      <c r="T649" s="46"/>
      <c r="U649" s="16" t="s">
        <v>416</v>
      </c>
      <c r="Z649" s="1694" t="s">
        <v>2374</v>
      </c>
      <c r="AA649" s="1691"/>
      <c r="AB649" s="1691"/>
      <c r="AC649" s="1691"/>
      <c r="AD649" s="1691"/>
      <c r="AE649" s="1691"/>
      <c r="AF649" s="1691"/>
      <c r="AG649" s="1691"/>
      <c r="AH649" s="1691"/>
      <c r="AI649" s="1691"/>
      <c r="AJ649" s="1691"/>
      <c r="AK649" s="1691"/>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1" t="str">
        <f>G575</f>
        <v>325 E Hillcrest Dr, Suite 160</v>
      </c>
      <c r="H650" s="1691"/>
      <c r="I650" s="1691"/>
      <c r="J650" s="1691"/>
      <c r="K650" s="1691"/>
      <c r="L650" s="1691"/>
      <c r="M650" s="1691"/>
      <c r="N650" s="1691"/>
      <c r="O650" s="1691"/>
      <c r="P650" s="1691"/>
      <c r="Q650" s="1691"/>
      <c r="R650" s="1691"/>
      <c r="S650" s="102"/>
      <c r="T650" s="46"/>
      <c r="U650" s="16" t="s">
        <v>479</v>
      </c>
      <c r="Z650" s="1692" t="s">
        <v>2471</v>
      </c>
      <c r="AA650" s="1690"/>
      <c r="AB650" s="1690"/>
      <c r="AC650" s="1690"/>
      <c r="AD650" s="1690"/>
      <c r="AE650" s="1690"/>
      <c r="AF650" s="1690"/>
      <c r="AG650" s="1690"/>
      <c r="AH650" s="1690"/>
      <c r="AI650" s="1690"/>
      <c r="AJ650" s="1690"/>
      <c r="AK650" s="1690"/>
      <c r="AM650" s="75"/>
      <c r="AN650" s="75"/>
      <c r="AO650" s="75"/>
      <c r="AP650" s="75"/>
      <c r="AQ650" s="75"/>
      <c r="AR650" s="75"/>
      <c r="AS650" s="75"/>
      <c r="AT650" s="75"/>
      <c r="AU650" s="75"/>
      <c r="AV650" s="75"/>
      <c r="AW650" s="75"/>
      <c r="AX650" s="75"/>
      <c r="AY650" s="75"/>
      <c r="AZ650" s="75"/>
      <c r="CP650" s="1388" t="s">
        <v>1945</v>
      </c>
      <c r="CQ650" s="738">
        <f>CQ648+CQ629</f>
        <v>120</v>
      </c>
      <c r="CR650" s="72"/>
      <c r="CS650" s="72"/>
    </row>
    <row r="651" spans="1:97" ht="12.75">
      <c r="A651" s="46"/>
      <c r="B651" s="16" t="s">
        <v>915</v>
      </c>
      <c r="G651" s="1691" t="s">
        <v>2461</v>
      </c>
      <c r="H651" s="1691"/>
      <c r="I651" s="1691"/>
      <c r="J651" s="1691"/>
      <c r="K651" s="1691"/>
      <c r="L651" s="1691"/>
      <c r="M651" s="1691"/>
      <c r="N651" s="1691"/>
      <c r="O651" s="1691"/>
      <c r="P651" s="1691"/>
      <c r="Q651" s="1691"/>
      <c r="R651" s="1691"/>
      <c r="S651" s="18"/>
      <c r="T651" s="46"/>
      <c r="U651" s="16" t="s">
        <v>915</v>
      </c>
      <c r="Z651" s="1692" t="s">
        <v>2472</v>
      </c>
      <c r="AA651" s="1690"/>
      <c r="AB651" s="1690"/>
      <c r="AC651" s="1690"/>
      <c r="AD651" s="1690"/>
      <c r="AE651" s="1690"/>
      <c r="AF651" s="1690"/>
      <c r="AG651" s="1690"/>
      <c r="AH651" s="1690"/>
      <c r="AI651" s="1690"/>
      <c r="AJ651" s="1690"/>
      <c r="AK651" s="1690"/>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2" t="s">
        <v>2470</v>
      </c>
      <c r="H652" s="1682"/>
      <c r="I652" s="1682"/>
      <c r="J652" s="1682"/>
      <c r="K652" s="1682"/>
      <c r="L652" s="1682"/>
      <c r="O652" s="149" t="s">
        <v>900</v>
      </c>
      <c r="P652" s="1696"/>
      <c r="Q652" s="1696"/>
      <c r="R652" s="1696"/>
      <c r="S652" s="20"/>
      <c r="T652" s="46"/>
      <c r="U652" s="16" t="s">
        <v>716</v>
      </c>
      <c r="Z652" s="1682" t="s">
        <v>2473</v>
      </c>
      <c r="AA652" s="1682"/>
      <c r="AB652" s="1682"/>
      <c r="AC652" s="1682"/>
      <c r="AD652" s="1682"/>
      <c r="AE652" s="1682"/>
      <c r="AH652" s="149" t="s">
        <v>900</v>
      </c>
      <c r="AI652" s="1696"/>
      <c r="AJ652" s="1696"/>
      <c r="AK652" s="1696"/>
      <c r="AM652" s="75"/>
      <c r="AN652" s="75"/>
      <c r="AO652" s="75"/>
      <c r="AP652" s="75"/>
      <c r="AQ652" s="75"/>
      <c r="AR652" s="75"/>
      <c r="AS652" s="75"/>
      <c r="AT652" s="75"/>
      <c r="AU652" s="75"/>
      <c r="AV652" s="75"/>
      <c r="AW652" s="75"/>
      <c r="AX652" s="75"/>
      <c r="AY652" s="75"/>
      <c r="AZ652" s="75"/>
      <c r="BN652" s="2153">
        <f>BN627+BN634+BN646</f>
        <v>0</v>
      </c>
      <c r="BO652" s="2154"/>
      <c r="BP652" s="2154"/>
      <c r="BQ652" s="2154"/>
      <c r="BR652" s="2155"/>
      <c r="BS652" s="2153">
        <f>BS627+BS634+BS646</f>
        <v>80</v>
      </c>
      <c r="BT652" s="2154"/>
      <c r="BU652" s="2154"/>
      <c r="BV652" s="2154"/>
      <c r="BW652" s="2155"/>
      <c r="BX652" s="2153">
        <f>BX627+BX634+BX646</f>
        <v>21</v>
      </c>
      <c r="BY652" s="2154"/>
      <c r="BZ652" s="2154"/>
      <c r="CA652" s="2154"/>
      <c r="CB652" s="2155"/>
      <c r="CC652" s="2153">
        <f>CC627+CC634+CC646</f>
        <v>0</v>
      </c>
      <c r="CD652" s="2154"/>
      <c r="CE652" s="2154"/>
      <c r="CF652" s="2154"/>
      <c r="CG652" s="2155"/>
      <c r="CH652" s="2153">
        <f>CH627+CH634+CH646</f>
        <v>0</v>
      </c>
      <c r="CI652" s="2154"/>
      <c r="CJ652" s="2154"/>
      <c r="CK652" s="2154"/>
      <c r="CL652" s="2155"/>
      <c r="CM652" s="1806">
        <f>CM646+CM634+CM627</f>
        <v>0</v>
      </c>
      <c r="CN652" s="2152"/>
      <c r="CO652" s="2152"/>
      <c r="CP652" s="2152"/>
      <c r="CQ652" s="1807"/>
      <c r="CR652" s="72"/>
      <c r="CS652" s="72"/>
    </row>
    <row r="653" spans="1:97" ht="12.75">
      <c r="A653" s="46"/>
      <c r="B653" s="16" t="s">
        <v>916</v>
      </c>
      <c r="H653" s="1691" t="str">
        <f>G648</f>
        <v>Citi Perm Loan</v>
      </c>
      <c r="I653" s="1691"/>
      <c r="J653" s="1691"/>
      <c r="K653" s="1691"/>
      <c r="L653" s="1691"/>
      <c r="M653" s="1691"/>
      <c r="N653" s="1691"/>
      <c r="O653" s="1691"/>
      <c r="P653" s="1691"/>
      <c r="Q653" s="1691"/>
      <c r="R653" s="1691"/>
      <c r="S653" s="18"/>
      <c r="T653" s="46"/>
      <c r="U653" s="16" t="s">
        <v>916</v>
      </c>
      <c r="AA653" s="1691" t="str">
        <f>Z648</f>
        <v>SDHC Loan</v>
      </c>
      <c r="AB653" s="1691"/>
      <c r="AC653" s="1691"/>
      <c r="AD653" s="1691"/>
      <c r="AE653" s="1691"/>
      <c r="AF653" s="1691"/>
      <c r="AG653" s="1691"/>
      <c r="AH653" s="1691"/>
      <c r="AI653" s="1691"/>
      <c r="AJ653" s="1691"/>
      <c r="AK653" s="169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88" t="s">
        <v>119</v>
      </c>
      <c r="O654" s="1688"/>
      <c r="T654" s="46"/>
      <c r="U654" s="16" t="s">
        <v>918</v>
      </c>
      <c r="AG654" s="1688" t="s">
        <v>119</v>
      </c>
      <c r="AH654" s="168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40" t="str">
        <f>C634</f>
        <v>MHP-HCD</v>
      </c>
      <c r="H656" s="1840"/>
      <c r="I656" s="1840"/>
      <c r="J656" s="1840"/>
      <c r="K656" s="1840"/>
      <c r="L656" s="1840"/>
      <c r="M656" s="1840"/>
      <c r="N656" s="1840"/>
      <c r="O656" s="1840"/>
      <c r="P656" s="1840"/>
      <c r="Q656" s="1840"/>
      <c r="R656" s="1840"/>
      <c r="T656" s="101" t="s">
        <v>480</v>
      </c>
      <c r="U656" s="16" t="s">
        <v>93</v>
      </c>
      <c r="Z656" s="1840" t="str">
        <f>C635</f>
        <v>Operating Income</v>
      </c>
      <c r="AA656" s="1840"/>
      <c r="AB656" s="1840"/>
      <c r="AC656" s="1840"/>
      <c r="AD656" s="1840"/>
      <c r="AE656" s="1840"/>
      <c r="AF656" s="1840"/>
      <c r="AG656" s="1840"/>
      <c r="AH656" s="1840"/>
      <c r="AI656" s="1840"/>
      <c r="AJ656" s="1840"/>
      <c r="AK656" s="184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2" t="s">
        <v>2474</v>
      </c>
      <c r="H657" s="1692"/>
      <c r="I657" s="1692"/>
      <c r="J657" s="1692"/>
      <c r="K657" s="1692"/>
      <c r="L657" s="1692"/>
      <c r="M657" s="1692"/>
      <c r="N657" s="1692"/>
      <c r="O657" s="1692"/>
      <c r="P657" s="1692"/>
      <c r="Q657" s="1692"/>
      <c r="R657" s="1692"/>
      <c r="T657" s="46"/>
      <c r="U657" s="16" t="s">
        <v>416</v>
      </c>
      <c r="Z657" s="1691" t="s">
        <v>2381</v>
      </c>
      <c r="AA657" s="1691"/>
      <c r="AB657" s="1691"/>
      <c r="AC657" s="1691"/>
      <c r="AD657" s="1691"/>
      <c r="AE657" s="1691"/>
      <c r="AF657" s="1691"/>
      <c r="AG657" s="1691"/>
      <c r="AH657" s="1691"/>
      <c r="AI657" s="1691"/>
      <c r="AJ657" s="1691"/>
      <c r="AK657" s="169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2" t="s">
        <v>2475</v>
      </c>
      <c r="H658" s="1692"/>
      <c r="I658" s="1692"/>
      <c r="J658" s="1692"/>
      <c r="K658" s="1692"/>
      <c r="L658" s="1692"/>
      <c r="M658" s="1692"/>
      <c r="N658" s="1692"/>
      <c r="O658" s="1692"/>
      <c r="P658" s="1692"/>
      <c r="Q658" s="1692"/>
      <c r="R658" s="1692"/>
      <c r="T658" s="46"/>
      <c r="U658" s="16" t="s">
        <v>479</v>
      </c>
      <c r="Z658" s="1691" t="s">
        <v>2397</v>
      </c>
      <c r="AA658" s="1691"/>
      <c r="AB658" s="1691"/>
      <c r="AC658" s="1691"/>
      <c r="AD658" s="1691"/>
      <c r="AE658" s="1691"/>
      <c r="AF658" s="1691"/>
      <c r="AG658" s="1691"/>
      <c r="AH658" s="1691"/>
      <c r="AI658" s="1691"/>
      <c r="AJ658" s="1691"/>
      <c r="AK658" s="169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92" t="s">
        <v>2476</v>
      </c>
      <c r="H659" s="1692"/>
      <c r="I659" s="1692"/>
      <c r="J659" s="1692"/>
      <c r="K659" s="1692"/>
      <c r="L659" s="1692"/>
      <c r="M659" s="1692"/>
      <c r="N659" s="1692"/>
      <c r="O659" s="1692"/>
      <c r="P659" s="1692"/>
      <c r="Q659" s="1692"/>
      <c r="R659" s="1692"/>
      <c r="T659" s="46"/>
      <c r="U659" s="16" t="s">
        <v>915</v>
      </c>
      <c r="Z659" s="1691" t="s">
        <v>2384</v>
      </c>
      <c r="AA659" s="1691"/>
      <c r="AB659" s="1691"/>
      <c r="AC659" s="1691"/>
      <c r="AD659" s="1691"/>
      <c r="AE659" s="1691"/>
      <c r="AF659" s="1691"/>
      <c r="AG659" s="1691"/>
      <c r="AH659" s="1691"/>
      <c r="AI659" s="1691"/>
      <c r="AJ659" s="1691"/>
      <c r="AK659" s="169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2" t="s">
        <v>2477</v>
      </c>
      <c r="H660" s="1682"/>
      <c r="I660" s="1682"/>
      <c r="J660" s="1682"/>
      <c r="K660" s="1682"/>
      <c r="L660" s="1682"/>
      <c r="O660" s="149" t="s">
        <v>900</v>
      </c>
      <c r="P660" s="1696"/>
      <c r="Q660" s="1696"/>
      <c r="R660" s="1696"/>
      <c r="T660" s="46"/>
      <c r="U660" s="16" t="s">
        <v>716</v>
      </c>
      <c r="Z660" s="1682" t="s">
        <v>2398</v>
      </c>
      <c r="AA660" s="1683"/>
      <c r="AB660" s="1683"/>
      <c r="AC660" s="1683"/>
      <c r="AD660" s="1683"/>
      <c r="AE660" s="1683"/>
      <c r="AH660" s="149" t="s">
        <v>900</v>
      </c>
      <c r="AI660" s="1696"/>
      <c r="AJ660" s="1696"/>
      <c r="AK660" s="1696"/>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1" t="str">
        <f>G656</f>
        <v>MHP-HCD</v>
      </c>
      <c r="I661" s="1691"/>
      <c r="J661" s="1691"/>
      <c r="K661" s="1691"/>
      <c r="L661" s="1691"/>
      <c r="M661" s="1691"/>
      <c r="N661" s="1691"/>
      <c r="O661" s="1691"/>
      <c r="P661" s="1691"/>
      <c r="Q661" s="1691"/>
      <c r="R661" s="1691"/>
      <c r="T661" s="46"/>
      <c r="U661" s="16" t="s">
        <v>916</v>
      </c>
      <c r="AA661" s="1691" t="s">
        <v>2468</v>
      </c>
      <c r="AB661" s="1691"/>
      <c r="AC661" s="1691"/>
      <c r="AD661" s="1691"/>
      <c r="AE661" s="1691"/>
      <c r="AF661" s="1691"/>
      <c r="AG661" s="1691"/>
      <c r="AH661" s="1691"/>
      <c r="AI661" s="1691"/>
      <c r="AJ661" s="1691"/>
      <c r="AK661" s="1691"/>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88" t="s">
        <v>119</v>
      </c>
      <c r="O662" s="1688"/>
      <c r="T662" s="46"/>
      <c r="U662" s="16" t="s">
        <v>918</v>
      </c>
      <c r="AG662" s="1688" t="s">
        <v>119</v>
      </c>
      <c r="AH662" s="168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0" t="str">
        <f>C636</f>
        <v>Deferred Developer Fee</v>
      </c>
      <c r="H664" s="1840"/>
      <c r="I664" s="1840"/>
      <c r="J664" s="1840"/>
      <c r="K664" s="1840"/>
      <c r="L664" s="1840"/>
      <c r="M664" s="1840"/>
      <c r="N664" s="1840"/>
      <c r="O664" s="1840"/>
      <c r="P664" s="1840"/>
      <c r="Q664" s="1840"/>
      <c r="R664" s="1840"/>
      <c r="T664" s="101" t="s">
        <v>483</v>
      </c>
      <c r="U664" s="16" t="s">
        <v>93</v>
      </c>
      <c r="Z664" s="1840">
        <f>C637</f>
        <v>0</v>
      </c>
      <c r="AA664" s="1840"/>
      <c r="AB664" s="1840"/>
      <c r="AC664" s="1840"/>
      <c r="AD664" s="1840"/>
      <c r="AE664" s="1840"/>
      <c r="AF664" s="1840"/>
      <c r="AG664" s="1840"/>
      <c r="AH664" s="1840"/>
      <c r="AI664" s="1840"/>
      <c r="AJ664" s="1840"/>
      <c r="AK664" s="184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1" t="s">
        <v>2381</v>
      </c>
      <c r="H665" s="1691"/>
      <c r="I665" s="1691"/>
      <c r="J665" s="1691"/>
      <c r="K665" s="1691"/>
      <c r="L665" s="1691"/>
      <c r="M665" s="1691"/>
      <c r="N665" s="1691"/>
      <c r="O665" s="1691"/>
      <c r="P665" s="1691"/>
      <c r="Q665" s="1691"/>
      <c r="R665" s="1691"/>
      <c r="T665" s="46"/>
      <c r="U665" s="16" t="s">
        <v>416</v>
      </c>
      <c r="Z665" s="1691"/>
      <c r="AA665" s="1691"/>
      <c r="AB665" s="1691"/>
      <c r="AC665" s="1691"/>
      <c r="AD665" s="1691"/>
      <c r="AE665" s="1691"/>
      <c r="AF665" s="1691"/>
      <c r="AG665" s="1691"/>
      <c r="AH665" s="1691"/>
      <c r="AI665" s="1691"/>
      <c r="AJ665" s="1691"/>
      <c r="AK665" s="169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1" t="s">
        <v>2397</v>
      </c>
      <c r="H666" s="1691"/>
      <c r="I666" s="1691"/>
      <c r="J666" s="1691"/>
      <c r="K666" s="1691"/>
      <c r="L666" s="1691"/>
      <c r="M666" s="1691"/>
      <c r="N666" s="1691"/>
      <c r="O666" s="1691"/>
      <c r="P666" s="1691"/>
      <c r="Q666" s="1691"/>
      <c r="R666" s="1691"/>
      <c r="T666" s="46"/>
      <c r="U666" s="16" t="s">
        <v>479</v>
      </c>
      <c r="Z666" s="1690"/>
      <c r="AA666" s="1690"/>
      <c r="AB666" s="1690"/>
      <c r="AC666" s="1690"/>
      <c r="AD666" s="1690"/>
      <c r="AE666" s="1690"/>
      <c r="AF666" s="1690"/>
      <c r="AG666" s="1690"/>
      <c r="AH666" s="1690"/>
      <c r="AI666" s="1690"/>
      <c r="AJ666" s="1690"/>
      <c r="AK666" s="169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1" t="s">
        <v>2384</v>
      </c>
      <c r="H667" s="1691"/>
      <c r="I667" s="1691"/>
      <c r="J667" s="1691"/>
      <c r="K667" s="1691"/>
      <c r="L667" s="1691"/>
      <c r="M667" s="1691"/>
      <c r="N667" s="1691"/>
      <c r="O667" s="1691"/>
      <c r="P667" s="1691"/>
      <c r="Q667" s="1691"/>
      <c r="R667" s="1691"/>
      <c r="T667" s="46"/>
      <c r="U667" s="16" t="s">
        <v>915</v>
      </c>
      <c r="Z667" s="1690"/>
      <c r="AA667" s="1690"/>
      <c r="AB667" s="1690"/>
      <c r="AC667" s="1690"/>
      <c r="AD667" s="1690"/>
      <c r="AE667" s="1690"/>
      <c r="AF667" s="1690"/>
      <c r="AG667" s="1690"/>
      <c r="AH667" s="1690"/>
      <c r="AI667" s="1690"/>
      <c r="AJ667" s="1690"/>
      <c r="AK667" s="169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2" t="s">
        <v>2398</v>
      </c>
      <c r="H668" s="1683"/>
      <c r="I668" s="1683"/>
      <c r="J668" s="1683"/>
      <c r="K668" s="1683"/>
      <c r="L668" s="1683"/>
      <c r="O668" s="149" t="s">
        <v>900</v>
      </c>
      <c r="P668" s="1696"/>
      <c r="Q668" s="1696"/>
      <c r="R668" s="1696"/>
      <c r="T668" s="46"/>
      <c r="U668" s="16" t="s">
        <v>716</v>
      </c>
      <c r="Z668" s="1683"/>
      <c r="AA668" s="1683"/>
      <c r="AB668" s="1683"/>
      <c r="AC668" s="1683"/>
      <c r="AD668" s="1683"/>
      <c r="AE668" s="1683"/>
      <c r="AH668" s="149" t="s">
        <v>900</v>
      </c>
      <c r="AI668" s="1696"/>
      <c r="AJ668" s="1696"/>
      <c r="AK668" s="169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1" t="s">
        <v>2469</v>
      </c>
      <c r="I669" s="1691"/>
      <c r="J669" s="1691"/>
      <c r="K669" s="1691"/>
      <c r="L669" s="1691"/>
      <c r="M669" s="1691"/>
      <c r="N669" s="1691"/>
      <c r="O669" s="1691"/>
      <c r="P669" s="1691"/>
      <c r="Q669" s="1691"/>
      <c r="R669" s="1691"/>
      <c r="T669" s="46"/>
      <c r="U669" s="16" t="s">
        <v>916</v>
      </c>
      <c r="AA669" s="1691"/>
      <c r="AB669" s="1691"/>
      <c r="AC669" s="1691"/>
      <c r="AD669" s="1691"/>
      <c r="AE669" s="1691"/>
      <c r="AF669" s="1691"/>
      <c r="AG669" s="1691"/>
      <c r="AH669" s="1691"/>
      <c r="AI669" s="1691"/>
      <c r="AJ669" s="1691"/>
      <c r="AK669" s="169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88" t="s">
        <v>119</v>
      </c>
      <c r="O670" s="1688"/>
      <c r="T670" s="46"/>
      <c r="U670" s="16" t="s">
        <v>918</v>
      </c>
      <c r="AG670" s="1688" t="s">
        <v>531</v>
      </c>
      <c r="AH670" s="168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0">
        <f>C638</f>
        <v>0</v>
      </c>
      <c r="H672" s="1840"/>
      <c r="I672" s="1840"/>
      <c r="J672" s="1840"/>
      <c r="K672" s="1840"/>
      <c r="L672" s="1840"/>
      <c r="M672" s="1840"/>
      <c r="N672" s="1840"/>
      <c r="O672" s="1840"/>
      <c r="P672" s="1840"/>
      <c r="Q672" s="1840"/>
      <c r="R672" s="1840"/>
      <c r="T672" s="101" t="s">
        <v>811</v>
      </c>
      <c r="U672" s="16" t="s">
        <v>93</v>
      </c>
      <c r="Z672" s="1840">
        <f>C639</f>
        <v>0</v>
      </c>
      <c r="AA672" s="1840"/>
      <c r="AB672" s="1840"/>
      <c r="AC672" s="1840"/>
      <c r="AD672" s="1840"/>
      <c r="AE672" s="1840"/>
      <c r="AF672" s="1840"/>
      <c r="AG672" s="1840"/>
      <c r="AH672" s="1840"/>
      <c r="AI672" s="1840"/>
      <c r="AJ672" s="1840"/>
      <c r="AK672" s="184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1"/>
      <c r="H673" s="1691"/>
      <c r="I673" s="1691"/>
      <c r="J673" s="1691"/>
      <c r="K673" s="1691"/>
      <c r="L673" s="1691"/>
      <c r="M673" s="1691"/>
      <c r="N673" s="1691"/>
      <c r="O673" s="1691"/>
      <c r="P673" s="1691"/>
      <c r="Q673" s="1691"/>
      <c r="R673" s="1691"/>
      <c r="T673" s="46"/>
      <c r="U673" s="16" t="s">
        <v>416</v>
      </c>
      <c r="Z673" s="1691"/>
      <c r="AA673" s="1691"/>
      <c r="AB673" s="1691"/>
      <c r="AC673" s="1691"/>
      <c r="AD673" s="1691"/>
      <c r="AE673" s="1691"/>
      <c r="AF673" s="1691"/>
      <c r="AG673" s="1691"/>
      <c r="AH673" s="1691"/>
      <c r="AI673" s="1691"/>
      <c r="AJ673" s="1691"/>
      <c r="AK673" s="169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1"/>
      <c r="H674" s="1691"/>
      <c r="I674" s="1691"/>
      <c r="J674" s="1691"/>
      <c r="K674" s="1691"/>
      <c r="L674" s="1691"/>
      <c r="M674" s="1691"/>
      <c r="N674" s="1691"/>
      <c r="O674" s="1691"/>
      <c r="P674" s="1691"/>
      <c r="Q674" s="1691"/>
      <c r="R674" s="1691"/>
      <c r="T674" s="46"/>
      <c r="U674" s="16" t="s">
        <v>479</v>
      </c>
      <c r="Z674" s="1690"/>
      <c r="AA674" s="1690"/>
      <c r="AB674" s="1690"/>
      <c r="AC674" s="1690"/>
      <c r="AD674" s="1690"/>
      <c r="AE674" s="1690"/>
      <c r="AF674" s="1690"/>
      <c r="AG674" s="1690"/>
      <c r="AH674" s="1690"/>
      <c r="AI674" s="1690"/>
      <c r="AJ674" s="1690"/>
      <c r="AK674" s="169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1"/>
      <c r="H675" s="1691"/>
      <c r="I675" s="1691"/>
      <c r="J675" s="1691"/>
      <c r="K675" s="1691"/>
      <c r="L675" s="1691"/>
      <c r="M675" s="1691"/>
      <c r="N675" s="1691"/>
      <c r="O675" s="1691"/>
      <c r="P675" s="1691"/>
      <c r="Q675" s="1691"/>
      <c r="R675" s="1691"/>
      <c r="T675" s="46"/>
      <c r="U675" s="16" t="s">
        <v>915</v>
      </c>
      <c r="Z675" s="1690"/>
      <c r="AA675" s="1690"/>
      <c r="AB675" s="1690"/>
      <c r="AC675" s="1690"/>
      <c r="AD675" s="1690"/>
      <c r="AE675" s="1690"/>
      <c r="AF675" s="1690"/>
      <c r="AG675" s="1690"/>
      <c r="AH675" s="1690"/>
      <c r="AI675" s="1690"/>
      <c r="AJ675" s="1690"/>
      <c r="AK675" s="169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3"/>
      <c r="H676" s="1683"/>
      <c r="I676" s="1683"/>
      <c r="J676" s="1683"/>
      <c r="K676" s="1683"/>
      <c r="L676" s="1683"/>
      <c r="O676" s="149" t="s">
        <v>900</v>
      </c>
      <c r="P676" s="1696"/>
      <c r="Q676" s="1696"/>
      <c r="R676" s="1696"/>
      <c r="T676" s="46"/>
      <c r="U676" s="16" t="s">
        <v>716</v>
      </c>
      <c r="Z676" s="1683"/>
      <c r="AA676" s="1683"/>
      <c r="AB676" s="1683"/>
      <c r="AC676" s="1683"/>
      <c r="AD676" s="1683"/>
      <c r="AE676" s="1683"/>
      <c r="AH676" s="149" t="s">
        <v>900</v>
      </c>
      <c r="AI676" s="1696"/>
      <c r="AJ676" s="1696"/>
      <c r="AK676" s="169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1"/>
      <c r="I677" s="1691"/>
      <c r="J677" s="1691"/>
      <c r="K677" s="1691"/>
      <c r="L677" s="1691"/>
      <c r="M677" s="1691"/>
      <c r="N677" s="1691"/>
      <c r="O677" s="1691"/>
      <c r="P677" s="1691"/>
      <c r="Q677" s="1691"/>
      <c r="R677" s="1691"/>
      <c r="T677" s="46"/>
      <c r="U677" s="16" t="s">
        <v>916</v>
      </c>
      <c r="AA677" s="1691"/>
      <c r="AB677" s="1691"/>
      <c r="AC677" s="1691"/>
      <c r="AD677" s="1691"/>
      <c r="AE677" s="1691"/>
      <c r="AF677" s="1691"/>
      <c r="AG677" s="1691"/>
      <c r="AH677" s="1691"/>
      <c r="AI677" s="1691"/>
      <c r="AJ677" s="1691"/>
      <c r="AK677" s="169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88" t="s">
        <v>531</v>
      </c>
      <c r="O678" s="1688"/>
      <c r="T678" s="46"/>
      <c r="U678" s="16" t="s">
        <v>918</v>
      </c>
      <c r="AG678" s="1688" t="s">
        <v>531</v>
      </c>
      <c r="AH678" s="168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0">
        <f>C640</f>
        <v>0</v>
      </c>
      <c r="H680" s="1840"/>
      <c r="I680" s="1840"/>
      <c r="J680" s="1840"/>
      <c r="K680" s="1840"/>
      <c r="L680" s="1840"/>
      <c r="M680" s="1840"/>
      <c r="N680" s="1840"/>
      <c r="O680" s="1840"/>
      <c r="P680" s="1840"/>
      <c r="Q680" s="1840"/>
      <c r="R680" s="1840"/>
      <c r="T680" s="101" t="s">
        <v>191</v>
      </c>
      <c r="U680" s="16" t="s">
        <v>93</v>
      </c>
      <c r="Z680" s="1840">
        <f>C641</f>
        <v>0</v>
      </c>
      <c r="AA680" s="1840"/>
      <c r="AB680" s="1840"/>
      <c r="AC680" s="1840"/>
      <c r="AD680" s="1840"/>
      <c r="AE680" s="1840"/>
      <c r="AF680" s="1840"/>
      <c r="AG680" s="1840"/>
      <c r="AH680" s="1840"/>
      <c r="AI680" s="1840"/>
      <c r="AJ680" s="1840"/>
      <c r="AK680" s="184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1"/>
      <c r="H681" s="1691"/>
      <c r="I681" s="1691"/>
      <c r="J681" s="1691"/>
      <c r="K681" s="1691"/>
      <c r="L681" s="1691"/>
      <c r="M681" s="1691"/>
      <c r="N681" s="1691"/>
      <c r="O681" s="1691"/>
      <c r="P681" s="1691"/>
      <c r="Q681" s="1691"/>
      <c r="R681" s="1691"/>
      <c r="T681" s="46"/>
      <c r="U681" s="16" t="s">
        <v>416</v>
      </c>
      <c r="Z681" s="1691"/>
      <c r="AA681" s="1691"/>
      <c r="AB681" s="1691"/>
      <c r="AC681" s="1691"/>
      <c r="AD681" s="1691"/>
      <c r="AE681" s="1691"/>
      <c r="AF681" s="1691"/>
      <c r="AG681" s="1691"/>
      <c r="AH681" s="1691"/>
      <c r="AI681" s="1691"/>
      <c r="AJ681" s="1691"/>
      <c r="AK681" s="169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1"/>
      <c r="H682" s="1691"/>
      <c r="I682" s="1691"/>
      <c r="J682" s="1691"/>
      <c r="K682" s="1691"/>
      <c r="L682" s="1691"/>
      <c r="M682" s="1691"/>
      <c r="N682" s="1691"/>
      <c r="O682" s="1691"/>
      <c r="P682" s="1691"/>
      <c r="Q682" s="1691"/>
      <c r="R682" s="1691"/>
      <c r="T682" s="46"/>
      <c r="U682" s="16" t="s">
        <v>479</v>
      </c>
      <c r="Z682" s="1690"/>
      <c r="AA682" s="1690"/>
      <c r="AB682" s="1690"/>
      <c r="AC682" s="1690"/>
      <c r="AD682" s="1690"/>
      <c r="AE682" s="1690"/>
      <c r="AF682" s="1690"/>
      <c r="AG682" s="1690"/>
      <c r="AH682" s="1690"/>
      <c r="AI682" s="1690"/>
      <c r="AJ682" s="1690"/>
      <c r="AK682" s="169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1"/>
      <c r="H683" s="1691"/>
      <c r="I683" s="1691"/>
      <c r="J683" s="1691"/>
      <c r="K683" s="1691"/>
      <c r="L683" s="1691"/>
      <c r="M683" s="1691"/>
      <c r="N683" s="1691"/>
      <c r="O683" s="1691"/>
      <c r="P683" s="1691"/>
      <c r="Q683" s="1691"/>
      <c r="R683" s="1691"/>
      <c r="T683" s="46"/>
      <c r="U683" s="16" t="s">
        <v>915</v>
      </c>
      <c r="Z683" s="1690"/>
      <c r="AA683" s="1690"/>
      <c r="AB683" s="1690"/>
      <c r="AC683" s="1690"/>
      <c r="AD683" s="1690"/>
      <c r="AE683" s="1690"/>
      <c r="AF683" s="1690"/>
      <c r="AG683" s="1690"/>
      <c r="AH683" s="1690"/>
      <c r="AI683" s="1690"/>
      <c r="AJ683" s="1690"/>
      <c r="AK683" s="169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3"/>
      <c r="H684" s="1683"/>
      <c r="I684" s="1683"/>
      <c r="J684" s="1683"/>
      <c r="K684" s="1683"/>
      <c r="L684" s="1683"/>
      <c r="O684" s="149" t="s">
        <v>900</v>
      </c>
      <c r="P684" s="1696"/>
      <c r="Q684" s="1696"/>
      <c r="R684" s="1696"/>
      <c r="T684" s="46"/>
      <c r="U684" s="16" t="s">
        <v>716</v>
      </c>
      <c r="Z684" s="1683"/>
      <c r="AA684" s="1683"/>
      <c r="AB684" s="1683"/>
      <c r="AC684" s="1683"/>
      <c r="AD684" s="1683"/>
      <c r="AE684" s="1683"/>
      <c r="AH684" s="149" t="s">
        <v>900</v>
      </c>
      <c r="AI684" s="1696"/>
      <c r="AJ684" s="1696"/>
      <c r="AK684" s="169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1"/>
      <c r="I685" s="1691"/>
      <c r="J685" s="1691"/>
      <c r="K685" s="1691"/>
      <c r="L685" s="1691"/>
      <c r="M685" s="1691"/>
      <c r="N685" s="1691"/>
      <c r="O685" s="1691"/>
      <c r="P685" s="1691"/>
      <c r="Q685" s="1691"/>
      <c r="R685" s="1691"/>
      <c r="T685" s="46"/>
      <c r="U685" s="16" t="s">
        <v>916</v>
      </c>
      <c r="AA685" s="1691"/>
      <c r="AB685" s="1691"/>
      <c r="AC685" s="1691"/>
      <c r="AD685" s="1691"/>
      <c r="AE685" s="1691"/>
      <c r="AF685" s="1691"/>
      <c r="AG685" s="1691"/>
      <c r="AH685" s="1691"/>
      <c r="AI685" s="1691"/>
      <c r="AJ685" s="1691"/>
      <c r="AK685" s="1691"/>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8" t="s">
        <v>531</v>
      </c>
      <c r="O686" s="1688"/>
      <c r="T686" s="46"/>
      <c r="U686" s="16" t="s">
        <v>918</v>
      </c>
      <c r="AG686" s="1688" t="s">
        <v>531</v>
      </c>
      <c r="AH686" s="1688"/>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40">
        <f>C642</f>
        <v>0</v>
      </c>
      <c r="H688" s="1840"/>
      <c r="I688" s="1840"/>
      <c r="J688" s="1840"/>
      <c r="K688" s="1840"/>
      <c r="L688" s="1840"/>
      <c r="M688" s="1840"/>
      <c r="N688" s="1840"/>
      <c r="O688" s="1840"/>
      <c r="P688" s="1840"/>
      <c r="Q688" s="1840"/>
      <c r="R688" s="1840"/>
      <c r="T688" s="101" t="s">
        <v>38</v>
      </c>
      <c r="U688" s="16" t="s">
        <v>93</v>
      </c>
      <c r="Z688" s="1840">
        <f>C643</f>
        <v>0</v>
      </c>
      <c r="AA688" s="1840"/>
      <c r="AB688" s="1840"/>
      <c r="AC688" s="1840"/>
      <c r="AD688" s="1840"/>
      <c r="AE688" s="1840"/>
      <c r="AF688" s="1840"/>
      <c r="AG688" s="1840"/>
      <c r="AH688" s="1840"/>
      <c r="AI688" s="1840"/>
      <c r="AJ688" s="1840"/>
      <c r="AK688" s="1840"/>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1"/>
      <c r="H689" s="1691"/>
      <c r="I689" s="1691"/>
      <c r="J689" s="1691"/>
      <c r="K689" s="1691"/>
      <c r="L689" s="1691"/>
      <c r="M689" s="1691"/>
      <c r="N689" s="1691"/>
      <c r="O689" s="1691"/>
      <c r="P689" s="1691"/>
      <c r="Q689" s="1691"/>
      <c r="R689" s="1691"/>
      <c r="T689" s="46"/>
      <c r="U689" s="16" t="s">
        <v>416</v>
      </c>
      <c r="Z689" s="1691"/>
      <c r="AA689" s="1691"/>
      <c r="AB689" s="1691"/>
      <c r="AC689" s="1691"/>
      <c r="AD689" s="1691"/>
      <c r="AE689" s="1691"/>
      <c r="AF689" s="1691"/>
      <c r="AG689" s="1691"/>
      <c r="AH689" s="1691"/>
      <c r="AI689" s="1691"/>
      <c r="AJ689" s="1691"/>
      <c r="AK689" s="1691"/>
      <c r="AM689" s="75"/>
      <c r="BA689" s="75">
        <f>IF($G706=0,"N/A",VLOOKUP($T$189,TC_Rent,(MATCH($B706,bedrooms,FALSE))))</f>
        <v>2272</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1"/>
      <c r="H690" s="1691"/>
      <c r="I690" s="1691"/>
      <c r="J690" s="1691"/>
      <c r="K690" s="1691"/>
      <c r="L690" s="1691"/>
      <c r="M690" s="1691"/>
      <c r="N690" s="1691"/>
      <c r="O690" s="1691"/>
      <c r="P690" s="1691"/>
      <c r="Q690" s="1691"/>
      <c r="R690" s="1691"/>
      <c r="U690" s="16" t="s">
        <v>479</v>
      </c>
      <c r="Z690" s="1690"/>
      <c r="AA690" s="1690"/>
      <c r="AB690" s="1690"/>
      <c r="AC690" s="1690"/>
      <c r="AD690" s="1690"/>
      <c r="AE690" s="1690"/>
      <c r="AF690" s="1690"/>
      <c r="AG690" s="1690"/>
      <c r="AH690" s="1690"/>
      <c r="AI690" s="1690"/>
      <c r="AJ690" s="1690"/>
      <c r="AK690" s="1690"/>
      <c r="AM690" s="75"/>
      <c r="BA690" s="75">
        <f t="shared" ref="BA690:BA713" si="22">IF($G707=0,"N/A",VLOOKUP($T$189,TC_Rent,(MATCH($B707,bedrooms,FALSE))))</f>
        <v>2272</v>
      </c>
      <c r="BB690" s="75"/>
      <c r="BC690" s="75"/>
      <c r="BD690" s="75"/>
      <c r="BE690" s="75"/>
      <c r="BF690" s="75"/>
      <c r="BG690" s="703">
        <f>G706</f>
        <v>20</v>
      </c>
      <c r="BH690" s="716">
        <f>BG690/$BG$715</f>
        <v>0.2</v>
      </c>
      <c r="BI690" s="718">
        <f>IF(BH690=0," ",BH690*AH706)</f>
        <v>4.0000000000000008E-2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1"/>
      <c r="H691" s="1691"/>
      <c r="I691" s="1691"/>
      <c r="J691" s="1691"/>
      <c r="K691" s="1691"/>
      <c r="L691" s="1691"/>
      <c r="M691" s="1691"/>
      <c r="N691" s="1691"/>
      <c r="O691" s="1691"/>
      <c r="P691" s="1691"/>
      <c r="Q691" s="1691"/>
      <c r="R691" s="1691"/>
      <c r="U691" s="16" t="s">
        <v>915</v>
      </c>
      <c r="Z691" s="1690"/>
      <c r="AA691" s="1690"/>
      <c r="AB691" s="1690"/>
      <c r="AC691" s="1690"/>
      <c r="AD691" s="1690"/>
      <c r="AE691" s="1690"/>
      <c r="AF691" s="1690"/>
      <c r="AG691" s="1690"/>
      <c r="AH691" s="1690"/>
      <c r="AI691" s="1690"/>
      <c r="AJ691" s="1690"/>
      <c r="AK691" s="1690"/>
      <c r="AM691" s="75"/>
      <c r="BA691" s="75">
        <f t="shared" si="22"/>
        <v>2272</v>
      </c>
      <c r="BB691" s="75"/>
      <c r="BC691" s="75"/>
      <c r="BD691" s="75"/>
      <c r="BE691" s="75"/>
      <c r="BF691" s="75"/>
      <c r="BG691" s="704">
        <f t="shared" ref="BG691:BG714" si="23">G707</f>
        <v>20</v>
      </c>
      <c r="BH691" s="716">
        <f t="shared" ref="BH691:BH714" si="24">BG691/$BG$715</f>
        <v>0.2</v>
      </c>
      <c r="BI691" s="718">
        <f t="shared" ref="BI691:BI714" si="25">IF(BH691=0," ",BH691*AH707)</f>
        <v>0.06</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3"/>
      <c r="H692" s="1683"/>
      <c r="I692" s="1683"/>
      <c r="J692" s="1683"/>
      <c r="K692" s="1683"/>
      <c r="L692" s="1683"/>
      <c r="O692" s="149" t="s">
        <v>900</v>
      </c>
      <c r="P692" s="1696"/>
      <c r="Q692" s="1696"/>
      <c r="R692" s="1696"/>
      <c r="U692" s="16" t="s">
        <v>716</v>
      </c>
      <c r="Z692" s="1683"/>
      <c r="AA692" s="1683"/>
      <c r="AB692" s="1683"/>
      <c r="AC692" s="1683"/>
      <c r="AD692" s="1683"/>
      <c r="AE692" s="1683"/>
      <c r="AH692" s="149" t="s">
        <v>900</v>
      </c>
      <c r="AI692" s="1696"/>
      <c r="AJ692" s="1696"/>
      <c r="AK692" s="1696"/>
      <c r="AM692" s="75"/>
      <c r="BA692" s="75">
        <f t="shared" si="22"/>
        <v>2272</v>
      </c>
      <c r="BB692" s="72"/>
      <c r="BC692" s="72"/>
      <c r="BD692" s="72"/>
      <c r="BE692" s="72"/>
      <c r="BF692" s="72"/>
      <c r="BG692" s="704">
        <f t="shared" si="23"/>
        <v>10</v>
      </c>
      <c r="BH692" s="716">
        <f t="shared" si="24"/>
        <v>0.1</v>
      </c>
      <c r="BI692" s="718">
        <f t="shared" si="25"/>
        <v>4.0000000000000008E-2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1"/>
      <c r="I693" s="1691"/>
      <c r="J693" s="1691"/>
      <c r="K693" s="1691"/>
      <c r="L693" s="1691"/>
      <c r="M693" s="1691"/>
      <c r="N693" s="1691"/>
      <c r="O693" s="1691"/>
      <c r="P693" s="1691"/>
      <c r="Q693" s="1691"/>
      <c r="R693" s="1691"/>
      <c r="U693" s="16" t="s">
        <v>916</v>
      </c>
      <c r="AA693" s="1691"/>
      <c r="AB693" s="1691"/>
      <c r="AC693" s="1691"/>
      <c r="AD693" s="1691"/>
      <c r="AE693" s="1691"/>
      <c r="AF693" s="1691"/>
      <c r="AG693" s="1691"/>
      <c r="AH693" s="1691"/>
      <c r="AI693" s="1691"/>
      <c r="AJ693" s="1691"/>
      <c r="AK693" s="1691"/>
      <c r="AM693" s="72"/>
      <c r="BA693" s="75">
        <f t="shared" si="22"/>
        <v>2726</v>
      </c>
      <c r="BB693" s="72"/>
      <c r="BC693" s="72"/>
      <c r="BD693" s="72"/>
      <c r="BE693" s="72"/>
      <c r="BF693" s="72"/>
      <c r="BG693" s="704">
        <f t="shared" si="23"/>
        <v>30</v>
      </c>
      <c r="BH693" s="716">
        <f t="shared" si="24"/>
        <v>0.3</v>
      </c>
      <c r="BI693" s="718">
        <f t="shared" si="25"/>
        <v>0.15</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88" t="s">
        <v>531</v>
      </c>
      <c r="O694" s="1688"/>
      <c r="U694" s="16" t="s">
        <v>918</v>
      </c>
      <c r="AG694" s="1688" t="s">
        <v>531</v>
      </c>
      <c r="AH694" s="1688"/>
      <c r="AM694" s="72"/>
      <c r="BA694" s="75">
        <f t="shared" si="22"/>
        <v>2726</v>
      </c>
      <c r="BB694" s="72"/>
      <c r="BC694" s="72"/>
      <c r="BD694" s="72"/>
      <c r="BE694" s="72"/>
      <c r="BF694" s="72"/>
      <c r="BG694" s="704">
        <f t="shared" si="23"/>
        <v>5</v>
      </c>
      <c r="BH694" s="716">
        <f t="shared" si="24"/>
        <v>0.05</v>
      </c>
      <c r="BI694" s="718">
        <f t="shared" si="25"/>
        <v>1.0000000000000002E-2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15</v>
      </c>
      <c r="BH695" s="716">
        <f t="shared" si="24"/>
        <v>0.15</v>
      </c>
      <c r="BI695" s="718">
        <f t="shared" si="25"/>
        <v>0.06</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6" t="s">
        <v>139</v>
      </c>
      <c r="B697" s="1706"/>
      <c r="C697" s="1706"/>
      <c r="D697" s="1706"/>
      <c r="E697" s="1706"/>
      <c r="F697" s="1706"/>
      <c r="G697" s="1706"/>
      <c r="H697" s="1706"/>
      <c r="I697" s="1706"/>
      <c r="J697" s="1706"/>
      <c r="K697" s="1706"/>
      <c r="L697" s="1706"/>
      <c r="M697" s="1706"/>
      <c r="N697" s="1706"/>
      <c r="O697" s="1706"/>
      <c r="P697" s="1706"/>
      <c r="Q697" s="1706"/>
      <c r="R697" s="1706"/>
      <c r="S697" s="1706"/>
      <c r="T697" s="1706"/>
      <c r="U697" s="1706"/>
      <c r="V697" s="1706"/>
      <c r="W697" s="1706"/>
      <c r="X697" s="1706"/>
      <c r="Y697" s="1706"/>
      <c r="Z697" s="1706"/>
      <c r="AA697" s="1706"/>
      <c r="AB697" s="1706"/>
      <c r="AC697" s="1706"/>
      <c r="AD697" s="1706"/>
      <c r="AE697" s="1706"/>
      <c r="AF697" s="1706"/>
      <c r="AG697" s="1706"/>
      <c r="AH697" s="1706"/>
      <c r="AI697" s="1706"/>
      <c r="AJ697" s="1706"/>
      <c r="AK697" s="1706"/>
      <c r="AL697" s="1706"/>
      <c r="AM697" s="1706"/>
      <c r="AN697" s="1706"/>
      <c r="AO697" s="1706"/>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6"/>
      <c r="B698" s="1706"/>
      <c r="C698" s="1706"/>
      <c r="D698" s="1706"/>
      <c r="E698" s="1706"/>
      <c r="F698" s="1706"/>
      <c r="G698" s="1706"/>
      <c r="H698" s="1706"/>
      <c r="I698" s="1706"/>
      <c r="J698" s="1706"/>
      <c r="K698" s="1706"/>
      <c r="L698" s="1706"/>
      <c r="M698" s="1706"/>
      <c r="N698" s="1706"/>
      <c r="O698" s="1706"/>
      <c r="P698" s="1706"/>
      <c r="Q698" s="1706"/>
      <c r="R698" s="1706"/>
      <c r="S698" s="1706"/>
      <c r="T698" s="1706"/>
      <c r="U698" s="1706"/>
      <c r="V698" s="1706"/>
      <c r="W698" s="1706"/>
      <c r="X698" s="1706"/>
      <c r="Y698" s="1706"/>
      <c r="Z698" s="1706"/>
      <c r="AA698" s="1706"/>
      <c r="AB698" s="1706"/>
      <c r="AC698" s="1706"/>
      <c r="AD698" s="1706"/>
      <c r="AE698" s="1706"/>
      <c r="AF698" s="1706"/>
      <c r="AG698" s="1706"/>
      <c r="AH698" s="1706"/>
      <c r="AI698" s="1706"/>
      <c r="AJ698" s="1706"/>
      <c r="AK698" s="1706"/>
      <c r="AL698" s="1706"/>
      <c r="AM698" s="1706"/>
      <c r="AN698" s="1706"/>
      <c r="AO698" s="1706"/>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6"/>
      <c r="B699" s="1706"/>
      <c r="C699" s="1706"/>
      <c r="D699" s="1706"/>
      <c r="E699" s="1706"/>
      <c r="F699" s="1706"/>
      <c r="G699" s="1706"/>
      <c r="H699" s="1706"/>
      <c r="I699" s="1706"/>
      <c r="J699" s="1706"/>
      <c r="K699" s="1706"/>
      <c r="L699" s="1706"/>
      <c r="M699" s="1706"/>
      <c r="N699" s="1706"/>
      <c r="O699" s="1706"/>
      <c r="P699" s="1706"/>
      <c r="Q699" s="1706"/>
      <c r="R699" s="1706"/>
      <c r="S699" s="1706"/>
      <c r="T699" s="1706"/>
      <c r="U699" s="1706"/>
      <c r="V699" s="1706"/>
      <c r="W699" s="1706"/>
      <c r="X699" s="1706"/>
      <c r="Y699" s="1706"/>
      <c r="Z699" s="1706"/>
      <c r="AA699" s="1706"/>
      <c r="AB699" s="1706"/>
      <c r="AC699" s="1706"/>
      <c r="AD699" s="1706"/>
      <c r="AE699" s="1706"/>
      <c r="AF699" s="1706"/>
      <c r="AG699" s="1706"/>
      <c r="AH699" s="1706"/>
      <c r="AI699" s="1706"/>
      <c r="AJ699" s="1706"/>
      <c r="AK699" s="1706"/>
      <c r="AL699" s="1706"/>
      <c r="AM699" s="1706"/>
      <c r="AN699" s="1706"/>
      <c r="AO699" s="1706"/>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80"/>
      <c r="E700" s="1380"/>
      <c r="F700" s="1380"/>
      <c r="G700" s="1380"/>
      <c r="H700" s="1380"/>
      <c r="I700" s="1380"/>
      <c r="J700" s="1380"/>
      <c r="K700" s="1380"/>
      <c r="L700" s="1380"/>
      <c r="M700" s="1380"/>
      <c r="N700" s="1380"/>
      <c r="O700" s="1380"/>
      <c r="P700" s="1380"/>
      <c r="Q700" s="1380"/>
      <c r="R700" s="1380"/>
      <c r="S700" s="1380"/>
      <c r="T700" s="1380"/>
      <c r="U700" s="1380"/>
      <c r="V700" s="1380"/>
      <c r="W700" s="1380"/>
      <c r="X700" s="1380"/>
      <c r="Y700" s="1380"/>
      <c r="Z700" s="1380"/>
      <c r="AA700" s="1380"/>
      <c r="AB700" s="1380"/>
      <c r="AC700" s="1380"/>
      <c r="AD700" s="1380"/>
      <c r="AE700" s="1380"/>
      <c r="AF700" s="1380"/>
      <c r="AG700" s="1380"/>
      <c r="AH700" s="1380"/>
      <c r="AI700" s="1380"/>
      <c r="AJ700" s="1380"/>
      <c r="AK700" s="1380"/>
      <c r="AL700" s="1380"/>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37"/>
      <c r="C701" s="116"/>
      <c r="D701" s="1380"/>
      <c r="E701" s="1380"/>
      <c r="F701" s="1380"/>
      <c r="G701" s="1380"/>
      <c r="H701" s="1380"/>
      <c r="I701" s="1380"/>
      <c r="J701" s="1380"/>
      <c r="K701" s="1380"/>
      <c r="L701" s="1380"/>
      <c r="M701" s="1380"/>
      <c r="N701" s="1380"/>
      <c r="O701" s="1380"/>
      <c r="P701" s="1380"/>
      <c r="Q701" s="1380"/>
      <c r="R701" s="1380"/>
      <c r="S701" s="1380"/>
      <c r="T701" s="1380"/>
      <c r="U701" s="1380"/>
      <c r="V701" s="1380"/>
      <c r="W701" s="1380"/>
      <c r="X701" s="1380"/>
      <c r="Y701" s="1380"/>
      <c r="Z701" s="1380"/>
      <c r="AA701" s="1380"/>
      <c r="AB701" s="1380"/>
      <c r="AC701" s="1380"/>
      <c r="AD701" s="1380"/>
      <c r="AE701" s="1380"/>
      <c r="AF701" s="1380"/>
      <c r="AG701" s="1380"/>
      <c r="AH701" s="1380"/>
      <c r="AI701" s="1380"/>
      <c r="AJ701" s="1380"/>
      <c r="AK701" s="1380"/>
      <c r="AL701" s="1380"/>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0"/>
      <c r="B702" s="1792" t="s">
        <v>59</v>
      </c>
      <c r="C702" s="1793"/>
      <c r="D702" s="1793"/>
      <c r="E702" s="1793"/>
      <c r="F702" s="1794"/>
      <c r="G702" s="1792" t="s">
        <v>284</v>
      </c>
      <c r="H702" s="1793"/>
      <c r="I702" s="1793"/>
      <c r="J702" s="1794"/>
      <c r="K702" s="1951" t="s">
        <v>2288</v>
      </c>
      <c r="L702" s="1952"/>
      <c r="M702" s="1952"/>
      <c r="N702" s="1953"/>
      <c r="O702" s="1792" t="s">
        <v>655</v>
      </c>
      <c r="P702" s="1793"/>
      <c r="Q702" s="1793"/>
      <c r="R702" s="1793"/>
      <c r="S702" s="1794"/>
      <c r="T702" s="1792" t="s">
        <v>285</v>
      </c>
      <c r="U702" s="1793"/>
      <c r="V702" s="1793"/>
      <c r="W702" s="1793"/>
      <c r="X702" s="1794"/>
      <c r="Y702" s="1792" t="s">
        <v>286</v>
      </c>
      <c r="Z702" s="1793"/>
      <c r="AA702" s="1793"/>
      <c r="AB702" s="1794"/>
      <c r="AC702" s="1792" t="s">
        <v>287</v>
      </c>
      <c r="AD702" s="1793"/>
      <c r="AE702" s="1793"/>
      <c r="AF702" s="1793"/>
      <c r="AG702" s="1794"/>
      <c r="AH702" s="1792" t="s">
        <v>2289</v>
      </c>
      <c r="AI702" s="1793"/>
      <c r="AJ702" s="1793"/>
      <c r="AK702" s="1793"/>
      <c r="AL702" s="1794"/>
      <c r="AM702" s="1792" t="s">
        <v>2290</v>
      </c>
      <c r="AN702" s="1793"/>
      <c r="AO702" s="1794"/>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80"/>
      <c r="B703" s="1795"/>
      <c r="C703" s="1796"/>
      <c r="D703" s="1796"/>
      <c r="E703" s="1796"/>
      <c r="F703" s="1797"/>
      <c r="G703" s="1795"/>
      <c r="H703" s="1796"/>
      <c r="I703" s="1796"/>
      <c r="J703" s="1797"/>
      <c r="K703" s="1954"/>
      <c r="L703" s="1955"/>
      <c r="M703" s="1955"/>
      <c r="N703" s="1956"/>
      <c r="O703" s="1795"/>
      <c r="P703" s="1796"/>
      <c r="Q703" s="1796"/>
      <c r="R703" s="1796"/>
      <c r="S703" s="1797"/>
      <c r="T703" s="1795"/>
      <c r="U703" s="1796"/>
      <c r="V703" s="1796"/>
      <c r="W703" s="1796"/>
      <c r="X703" s="1797"/>
      <c r="Y703" s="1795"/>
      <c r="Z703" s="1796"/>
      <c r="AA703" s="1796"/>
      <c r="AB703" s="1797"/>
      <c r="AC703" s="1795"/>
      <c r="AD703" s="1796"/>
      <c r="AE703" s="1796"/>
      <c r="AF703" s="1796"/>
      <c r="AG703" s="1797"/>
      <c r="AH703" s="1795"/>
      <c r="AI703" s="1796"/>
      <c r="AJ703" s="1796"/>
      <c r="AK703" s="1796"/>
      <c r="AL703" s="1797"/>
      <c r="AM703" s="1795"/>
      <c r="AN703" s="1796"/>
      <c r="AO703" s="1797"/>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5"/>
      <c r="C704" s="1796"/>
      <c r="D704" s="1796"/>
      <c r="E704" s="1796"/>
      <c r="F704" s="1797"/>
      <c r="G704" s="1795"/>
      <c r="H704" s="1796"/>
      <c r="I704" s="1796"/>
      <c r="J704" s="1797"/>
      <c r="K704" s="1954"/>
      <c r="L704" s="1955"/>
      <c r="M704" s="1955"/>
      <c r="N704" s="1956"/>
      <c r="O704" s="1795"/>
      <c r="P704" s="1796"/>
      <c r="Q704" s="1796"/>
      <c r="R704" s="1796"/>
      <c r="S704" s="1797"/>
      <c r="T704" s="1795"/>
      <c r="U704" s="1796"/>
      <c r="V704" s="1796"/>
      <c r="W704" s="1796"/>
      <c r="X704" s="1797"/>
      <c r="Y704" s="1795"/>
      <c r="Z704" s="1796"/>
      <c r="AA704" s="1796"/>
      <c r="AB704" s="1797"/>
      <c r="AC704" s="1795"/>
      <c r="AD704" s="1796"/>
      <c r="AE704" s="1796"/>
      <c r="AF704" s="1796"/>
      <c r="AG704" s="1797"/>
      <c r="AH704" s="1795"/>
      <c r="AI704" s="1796"/>
      <c r="AJ704" s="1796"/>
      <c r="AK704" s="1796"/>
      <c r="AL704" s="1797"/>
      <c r="AM704" s="1795"/>
      <c r="AN704" s="1796"/>
      <c r="AO704" s="1797"/>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8"/>
      <c r="C705" s="1799"/>
      <c r="D705" s="1799"/>
      <c r="E705" s="1799"/>
      <c r="F705" s="1800"/>
      <c r="G705" s="1798"/>
      <c r="H705" s="1799"/>
      <c r="I705" s="1799"/>
      <c r="J705" s="1800"/>
      <c r="K705" s="1954"/>
      <c r="L705" s="1955"/>
      <c r="M705" s="1955"/>
      <c r="N705" s="1956"/>
      <c r="O705" s="1798"/>
      <c r="P705" s="1799"/>
      <c r="Q705" s="1799"/>
      <c r="R705" s="1799"/>
      <c r="S705" s="1800"/>
      <c r="T705" s="1798"/>
      <c r="U705" s="1799"/>
      <c r="V705" s="1799"/>
      <c r="W705" s="1799"/>
      <c r="X705" s="1800"/>
      <c r="Y705" s="1798"/>
      <c r="Z705" s="1799"/>
      <c r="AA705" s="1799"/>
      <c r="AB705" s="1800"/>
      <c r="AC705" s="1798"/>
      <c r="AD705" s="1799"/>
      <c r="AE705" s="1799"/>
      <c r="AF705" s="1799"/>
      <c r="AG705" s="1800"/>
      <c r="AH705" s="1798"/>
      <c r="AI705" s="1799"/>
      <c r="AJ705" s="1799"/>
      <c r="AK705" s="1799"/>
      <c r="AL705" s="1800"/>
      <c r="AM705" s="1798"/>
      <c r="AN705" s="1799"/>
      <c r="AO705" s="180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68" t="s">
        <v>491</v>
      </c>
      <c r="C706" s="1769"/>
      <c r="D706" s="1769"/>
      <c r="E706" s="1769"/>
      <c r="F706" s="1770"/>
      <c r="G706" s="1765">
        <v>20</v>
      </c>
      <c r="H706" s="1766"/>
      <c r="I706" s="1766"/>
      <c r="J706" s="1767"/>
      <c r="K706" s="1777">
        <v>540</v>
      </c>
      <c r="L706" s="1778"/>
      <c r="M706" s="1778"/>
      <c r="N706" s="1779"/>
      <c r="O706" s="1780">
        <f>454.4-75</f>
        <v>379.4</v>
      </c>
      <c r="P706" s="1781"/>
      <c r="Q706" s="1781"/>
      <c r="R706" s="1781"/>
      <c r="S706" s="1782"/>
      <c r="T706" s="1783">
        <f t="shared" ref="T706:T730" si="26">G706*O706</f>
        <v>7588</v>
      </c>
      <c r="U706" s="1784"/>
      <c r="V706" s="1784"/>
      <c r="W706" s="1784"/>
      <c r="X706" s="1785"/>
      <c r="Y706" s="1780">
        <v>75</v>
      </c>
      <c r="Z706" s="1781"/>
      <c r="AA706" s="1781"/>
      <c r="AB706" s="1782"/>
      <c r="AC706" s="1783">
        <f t="shared" ref="AC706:AC730" si="27">O706+Y706</f>
        <v>454.4</v>
      </c>
      <c r="AD706" s="1784"/>
      <c r="AE706" s="1784"/>
      <c r="AF706" s="1784"/>
      <c r="AG706" s="1785"/>
      <c r="AH706" s="1960">
        <v>0.2</v>
      </c>
      <c r="AI706" s="1961"/>
      <c r="AJ706" s="1961"/>
      <c r="AK706" s="1961"/>
      <c r="AL706" s="1962"/>
      <c r="AM706" s="1945">
        <f>IF($AH706&gt;0,($AC706/$BA689)," ")</f>
        <v>0.19999999999999998</v>
      </c>
      <c r="AN706" s="1946"/>
      <c r="AO706" s="1947"/>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68" t="s">
        <v>491</v>
      </c>
      <c r="C707" s="1769"/>
      <c r="D707" s="1769"/>
      <c r="E707" s="1769"/>
      <c r="F707" s="1770"/>
      <c r="G707" s="1765">
        <v>20</v>
      </c>
      <c r="H707" s="1766"/>
      <c r="I707" s="1766"/>
      <c r="J707" s="1767"/>
      <c r="K707" s="1777">
        <f>K706</f>
        <v>540</v>
      </c>
      <c r="L707" s="1778"/>
      <c r="M707" s="1778"/>
      <c r="N707" s="1779"/>
      <c r="O707" s="1780">
        <f>681.6-75</f>
        <v>606.6</v>
      </c>
      <c r="P707" s="1781"/>
      <c r="Q707" s="1781"/>
      <c r="R707" s="1781"/>
      <c r="S707" s="1782"/>
      <c r="T707" s="1783">
        <f t="shared" si="26"/>
        <v>12132</v>
      </c>
      <c r="U707" s="1784"/>
      <c r="V707" s="1784"/>
      <c r="W707" s="1784"/>
      <c r="X707" s="1785"/>
      <c r="Y707" s="1780">
        <v>75</v>
      </c>
      <c r="Z707" s="1781"/>
      <c r="AA707" s="1781"/>
      <c r="AB707" s="1782"/>
      <c r="AC707" s="1783">
        <f t="shared" si="27"/>
        <v>681.6</v>
      </c>
      <c r="AD707" s="1784"/>
      <c r="AE707" s="1784"/>
      <c r="AF707" s="1784"/>
      <c r="AG707" s="1785"/>
      <c r="AH707" s="1942">
        <v>0.3</v>
      </c>
      <c r="AI707" s="1943"/>
      <c r="AJ707" s="1943"/>
      <c r="AK707" s="1943"/>
      <c r="AL707" s="1944"/>
      <c r="AM707" s="1945">
        <f t="shared" ref="AM707:AM730" si="28">IF($AH707&gt;0,($AC707/$BA690), " ")</f>
        <v>0.3</v>
      </c>
      <c r="AN707" s="1946"/>
      <c r="AO707" s="1947"/>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68" t="s">
        <v>491</v>
      </c>
      <c r="C708" s="1769"/>
      <c r="D708" s="1769"/>
      <c r="E708" s="1769"/>
      <c r="F708" s="1770"/>
      <c r="G708" s="1765">
        <v>10</v>
      </c>
      <c r="H708" s="1766"/>
      <c r="I708" s="1766"/>
      <c r="J708" s="1767"/>
      <c r="K708" s="1777">
        <f>K707</f>
        <v>540</v>
      </c>
      <c r="L708" s="1778"/>
      <c r="M708" s="1778"/>
      <c r="N708" s="1779"/>
      <c r="O708" s="1780">
        <f>908.8-75</f>
        <v>833.8</v>
      </c>
      <c r="P708" s="1781"/>
      <c r="Q708" s="1781"/>
      <c r="R708" s="1781"/>
      <c r="S708" s="1782"/>
      <c r="T708" s="1783">
        <f t="shared" si="26"/>
        <v>8338</v>
      </c>
      <c r="U708" s="1784"/>
      <c r="V708" s="1784"/>
      <c r="W708" s="1784"/>
      <c r="X708" s="1785"/>
      <c r="Y708" s="1780">
        <v>75</v>
      </c>
      <c r="Z708" s="1781"/>
      <c r="AA708" s="1781"/>
      <c r="AB708" s="1782"/>
      <c r="AC708" s="1783">
        <f t="shared" si="27"/>
        <v>908.8</v>
      </c>
      <c r="AD708" s="1784"/>
      <c r="AE708" s="1784"/>
      <c r="AF708" s="1784"/>
      <c r="AG708" s="1785"/>
      <c r="AH708" s="1942">
        <v>0.4</v>
      </c>
      <c r="AI708" s="1943"/>
      <c r="AJ708" s="1943"/>
      <c r="AK708" s="1943"/>
      <c r="AL708" s="1944"/>
      <c r="AM708" s="1945">
        <f t="shared" si="28"/>
        <v>0.39999999999999997</v>
      </c>
      <c r="AN708" s="1946"/>
      <c r="AO708" s="1947"/>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80"/>
      <c r="B709" s="1768" t="s">
        <v>491</v>
      </c>
      <c r="C709" s="1769"/>
      <c r="D709" s="1769"/>
      <c r="E709" s="1769"/>
      <c r="F709" s="1770"/>
      <c r="G709" s="1765">
        <v>30</v>
      </c>
      <c r="H709" s="1766"/>
      <c r="I709" s="1766"/>
      <c r="J709" s="1767"/>
      <c r="K709" s="1777">
        <f>K708</f>
        <v>540</v>
      </c>
      <c r="L709" s="1778"/>
      <c r="M709" s="1778"/>
      <c r="N709" s="1779"/>
      <c r="O709" s="1780">
        <f>1136-75</f>
        <v>1061</v>
      </c>
      <c r="P709" s="1781"/>
      <c r="Q709" s="1781"/>
      <c r="R709" s="1781"/>
      <c r="S709" s="1782"/>
      <c r="T709" s="1783">
        <f t="shared" si="26"/>
        <v>31830</v>
      </c>
      <c r="U709" s="1784"/>
      <c r="V709" s="1784"/>
      <c r="W709" s="1784"/>
      <c r="X709" s="1785"/>
      <c r="Y709" s="1780">
        <v>75</v>
      </c>
      <c r="Z709" s="1781"/>
      <c r="AA709" s="1781"/>
      <c r="AB709" s="1782"/>
      <c r="AC709" s="1783">
        <f t="shared" si="27"/>
        <v>1136</v>
      </c>
      <c r="AD709" s="1784"/>
      <c r="AE709" s="1784"/>
      <c r="AF709" s="1784"/>
      <c r="AG709" s="1785"/>
      <c r="AH709" s="1942">
        <v>0.5</v>
      </c>
      <c r="AI709" s="1943"/>
      <c r="AJ709" s="1943"/>
      <c r="AK709" s="1943"/>
      <c r="AL709" s="1944"/>
      <c r="AM709" s="1945">
        <f t="shared" si="28"/>
        <v>0.5</v>
      </c>
      <c r="AN709" s="1946"/>
      <c r="AO709" s="1947"/>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80"/>
      <c r="B710" s="1768" t="s">
        <v>853</v>
      </c>
      <c r="C710" s="1769"/>
      <c r="D710" s="1769"/>
      <c r="E710" s="1769"/>
      <c r="F710" s="1770"/>
      <c r="G710" s="1765">
        <v>5</v>
      </c>
      <c r="H710" s="1766"/>
      <c r="I710" s="1766"/>
      <c r="J710" s="1767"/>
      <c r="K710" s="1777">
        <v>800</v>
      </c>
      <c r="L710" s="1778"/>
      <c r="M710" s="1778"/>
      <c r="N710" s="1779"/>
      <c r="O710" s="1780">
        <f>545.2-97</f>
        <v>448.20000000000005</v>
      </c>
      <c r="P710" s="1781"/>
      <c r="Q710" s="1781"/>
      <c r="R710" s="1781"/>
      <c r="S710" s="1782"/>
      <c r="T710" s="1783">
        <f t="shared" si="26"/>
        <v>2241</v>
      </c>
      <c r="U710" s="1784"/>
      <c r="V710" s="1784"/>
      <c r="W710" s="1784"/>
      <c r="X710" s="1785"/>
      <c r="Y710" s="1780">
        <v>97</v>
      </c>
      <c r="Z710" s="1781"/>
      <c r="AA710" s="1781"/>
      <c r="AB710" s="1782"/>
      <c r="AC710" s="1783">
        <f t="shared" si="27"/>
        <v>545.20000000000005</v>
      </c>
      <c r="AD710" s="1784"/>
      <c r="AE710" s="1784"/>
      <c r="AF710" s="1784"/>
      <c r="AG710" s="1785"/>
      <c r="AH710" s="1942">
        <v>0.2</v>
      </c>
      <c r="AI710" s="1943"/>
      <c r="AJ710" s="1943"/>
      <c r="AK710" s="1943"/>
      <c r="AL710" s="1944"/>
      <c r="AM710" s="1945">
        <f t="shared" si="28"/>
        <v>0.2</v>
      </c>
      <c r="AN710" s="1946"/>
      <c r="AO710" s="1947"/>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80"/>
      <c r="B711" s="1768" t="s">
        <v>853</v>
      </c>
      <c r="C711" s="1769"/>
      <c r="D711" s="1769"/>
      <c r="E711" s="1769"/>
      <c r="F711" s="1770"/>
      <c r="G711" s="1765">
        <v>15</v>
      </c>
      <c r="H711" s="1766"/>
      <c r="I711" s="1766"/>
      <c r="J711" s="1767"/>
      <c r="K711" s="1777">
        <f>K710</f>
        <v>800</v>
      </c>
      <c r="L711" s="1778"/>
      <c r="M711" s="1778"/>
      <c r="N711" s="1779"/>
      <c r="O711" s="1780">
        <f>1090.4-97</f>
        <v>993.40000000000009</v>
      </c>
      <c r="P711" s="1781"/>
      <c r="Q711" s="1781"/>
      <c r="R711" s="1781"/>
      <c r="S711" s="1782"/>
      <c r="T711" s="1783">
        <f t="shared" si="26"/>
        <v>14901.000000000002</v>
      </c>
      <c r="U711" s="1784"/>
      <c r="V711" s="1784"/>
      <c r="W711" s="1784"/>
      <c r="X711" s="1785"/>
      <c r="Y711" s="1780">
        <v>97</v>
      </c>
      <c r="Z711" s="1781"/>
      <c r="AA711" s="1781"/>
      <c r="AB711" s="1782"/>
      <c r="AC711" s="1783">
        <f t="shared" si="27"/>
        <v>1090.4000000000001</v>
      </c>
      <c r="AD711" s="1784"/>
      <c r="AE711" s="1784"/>
      <c r="AF711" s="1784"/>
      <c r="AG711" s="1785"/>
      <c r="AH711" s="1942">
        <v>0.4</v>
      </c>
      <c r="AI711" s="1943"/>
      <c r="AJ711" s="1943"/>
      <c r="AK711" s="1943"/>
      <c r="AL711" s="1944"/>
      <c r="AM711" s="1945">
        <f t="shared" si="28"/>
        <v>0.4</v>
      </c>
      <c r="AN711" s="1946"/>
      <c r="AO711" s="1947"/>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80"/>
      <c r="B712" s="1768"/>
      <c r="C712" s="1769"/>
      <c r="D712" s="1769"/>
      <c r="E712" s="1769"/>
      <c r="F712" s="1770"/>
      <c r="G712" s="1765"/>
      <c r="H712" s="1766"/>
      <c r="I712" s="1766"/>
      <c r="J712" s="1767"/>
      <c r="K712" s="1777"/>
      <c r="L712" s="1778"/>
      <c r="M712" s="1778"/>
      <c r="N712" s="1779"/>
      <c r="O712" s="1780"/>
      <c r="P712" s="1781"/>
      <c r="Q712" s="1781"/>
      <c r="R712" s="1781"/>
      <c r="S712" s="1782"/>
      <c r="T712" s="1783">
        <f t="shared" si="26"/>
        <v>0</v>
      </c>
      <c r="U712" s="1784"/>
      <c r="V712" s="1784"/>
      <c r="W712" s="1784"/>
      <c r="X712" s="1785"/>
      <c r="Y712" s="1780"/>
      <c r="Z712" s="1781"/>
      <c r="AA712" s="1781"/>
      <c r="AB712" s="1782"/>
      <c r="AC712" s="1783">
        <f t="shared" si="27"/>
        <v>0</v>
      </c>
      <c r="AD712" s="1784"/>
      <c r="AE712" s="1784"/>
      <c r="AF712" s="1784"/>
      <c r="AG712" s="1785"/>
      <c r="AH712" s="1942"/>
      <c r="AI712" s="1943"/>
      <c r="AJ712" s="1943"/>
      <c r="AK712" s="1943"/>
      <c r="AL712" s="1944"/>
      <c r="AM712" s="1945" t="str">
        <f t="shared" si="28"/>
        <v xml:space="preserve"> </v>
      </c>
      <c r="AN712" s="1946"/>
      <c r="AO712" s="1947"/>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80"/>
      <c r="B713" s="1768"/>
      <c r="C713" s="1769"/>
      <c r="D713" s="1769"/>
      <c r="E713" s="1769"/>
      <c r="F713" s="1770"/>
      <c r="G713" s="1765"/>
      <c r="H713" s="1766"/>
      <c r="I713" s="1766"/>
      <c r="J713" s="1767"/>
      <c r="K713" s="1777"/>
      <c r="L713" s="1778"/>
      <c r="M713" s="1778"/>
      <c r="N713" s="1779"/>
      <c r="O713" s="1780"/>
      <c r="P713" s="1781"/>
      <c r="Q713" s="1781"/>
      <c r="R713" s="1781"/>
      <c r="S713" s="1782"/>
      <c r="T713" s="1783">
        <f t="shared" si="26"/>
        <v>0</v>
      </c>
      <c r="U713" s="1784"/>
      <c r="V713" s="1784"/>
      <c r="W713" s="1784"/>
      <c r="X713" s="1785"/>
      <c r="Y713" s="1780"/>
      <c r="Z713" s="1781"/>
      <c r="AA713" s="1781"/>
      <c r="AB713" s="1782"/>
      <c r="AC713" s="1783">
        <f t="shared" si="27"/>
        <v>0</v>
      </c>
      <c r="AD713" s="1784"/>
      <c r="AE713" s="1784"/>
      <c r="AF713" s="1784"/>
      <c r="AG713" s="1785"/>
      <c r="AH713" s="1942"/>
      <c r="AI713" s="1943"/>
      <c r="AJ713" s="1943"/>
      <c r="AK713" s="1943"/>
      <c r="AL713" s="1944"/>
      <c r="AM713" s="1945" t="str">
        <f t="shared" si="28"/>
        <v xml:space="preserve"> </v>
      </c>
      <c r="AN713" s="1946"/>
      <c r="AO713" s="1947"/>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80"/>
      <c r="B714" s="1768"/>
      <c r="C714" s="1769"/>
      <c r="D714" s="1769"/>
      <c r="E714" s="1769"/>
      <c r="F714" s="1770"/>
      <c r="G714" s="1765"/>
      <c r="H714" s="1766"/>
      <c r="I714" s="1766"/>
      <c r="J714" s="1767"/>
      <c r="K714" s="1777"/>
      <c r="L714" s="1778"/>
      <c r="M714" s="1778"/>
      <c r="N714" s="1779"/>
      <c r="O714" s="1780"/>
      <c r="P714" s="1781"/>
      <c r="Q714" s="1781"/>
      <c r="R714" s="1781"/>
      <c r="S714" s="1782"/>
      <c r="T714" s="1783">
        <f t="shared" si="26"/>
        <v>0</v>
      </c>
      <c r="U714" s="1784"/>
      <c r="V714" s="1784"/>
      <c r="W714" s="1784"/>
      <c r="X714" s="1785"/>
      <c r="Y714" s="1780"/>
      <c r="Z714" s="1781"/>
      <c r="AA714" s="1781"/>
      <c r="AB714" s="1782"/>
      <c r="AC714" s="1783">
        <f t="shared" si="27"/>
        <v>0</v>
      </c>
      <c r="AD714" s="1784"/>
      <c r="AE714" s="1784"/>
      <c r="AF714" s="1784"/>
      <c r="AG714" s="1785"/>
      <c r="AH714" s="1942"/>
      <c r="AI714" s="1943"/>
      <c r="AJ714" s="1943"/>
      <c r="AK714" s="1943"/>
      <c r="AL714" s="1944"/>
      <c r="AM714" s="1945" t="str">
        <f t="shared" si="28"/>
        <v xml:space="preserve"> </v>
      </c>
      <c r="AN714" s="1946"/>
      <c r="AO714" s="1947"/>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68"/>
      <c r="C715" s="1769"/>
      <c r="D715" s="1769"/>
      <c r="E715" s="1769"/>
      <c r="F715" s="1770"/>
      <c r="G715" s="1765"/>
      <c r="H715" s="1766"/>
      <c r="I715" s="1766"/>
      <c r="J715" s="1767"/>
      <c r="K715" s="1777"/>
      <c r="L715" s="1778"/>
      <c r="M715" s="1778"/>
      <c r="N715" s="1779"/>
      <c r="O715" s="1780"/>
      <c r="P715" s="1781"/>
      <c r="Q715" s="1781"/>
      <c r="R715" s="1781"/>
      <c r="S715" s="1782"/>
      <c r="T715" s="1783">
        <f t="shared" si="26"/>
        <v>0</v>
      </c>
      <c r="U715" s="1784"/>
      <c r="V715" s="1784"/>
      <c r="W715" s="1784"/>
      <c r="X715" s="1785"/>
      <c r="Y715" s="1780"/>
      <c r="Z715" s="1781"/>
      <c r="AA715" s="1781"/>
      <c r="AB715" s="1782"/>
      <c r="AC715" s="1783">
        <f t="shared" si="27"/>
        <v>0</v>
      </c>
      <c r="AD715" s="1784"/>
      <c r="AE715" s="1784"/>
      <c r="AF715" s="1784"/>
      <c r="AG715" s="1785"/>
      <c r="AH715" s="1942"/>
      <c r="AI715" s="1943"/>
      <c r="AJ715" s="1943"/>
      <c r="AK715" s="1943"/>
      <c r="AL715" s="1944"/>
      <c r="AM715" s="1945" t="str">
        <f t="shared" si="28"/>
        <v xml:space="preserve"> </v>
      </c>
      <c r="AN715" s="1946"/>
      <c r="AO715" s="1947"/>
      <c r="BA715" s="72"/>
      <c r="BB715" s="72"/>
      <c r="BC715" s="72"/>
      <c r="BD715" s="72"/>
      <c r="BE715" s="149"/>
      <c r="BF715" s="147" t="s">
        <v>974</v>
      </c>
      <c r="BG715" s="719">
        <f>SUM(BG690:BG714)</f>
        <v>100</v>
      </c>
      <c r="BH715" s="720">
        <f>SUM(BH690:BH714)</f>
        <v>1</v>
      </c>
      <c r="BI715" s="720">
        <f>SUM(BI690:BI714)</f>
        <v>0.36000000000000004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68"/>
      <c r="C716" s="1769"/>
      <c r="D716" s="1769"/>
      <c r="E716" s="1769"/>
      <c r="F716" s="1770"/>
      <c r="G716" s="1765"/>
      <c r="H716" s="1766"/>
      <c r="I716" s="1766"/>
      <c r="J716" s="1767"/>
      <c r="K716" s="1777"/>
      <c r="L716" s="1778"/>
      <c r="M716" s="1778"/>
      <c r="N716" s="1779"/>
      <c r="O716" s="1780"/>
      <c r="P716" s="1781"/>
      <c r="Q716" s="1781"/>
      <c r="R716" s="1781"/>
      <c r="S716" s="1782"/>
      <c r="T716" s="1783">
        <f t="shared" si="26"/>
        <v>0</v>
      </c>
      <c r="U716" s="1784"/>
      <c r="V716" s="1784"/>
      <c r="W716" s="1784"/>
      <c r="X716" s="1785"/>
      <c r="Y716" s="1780"/>
      <c r="Z716" s="1781"/>
      <c r="AA716" s="1781"/>
      <c r="AB716" s="1782"/>
      <c r="AC716" s="1783">
        <f t="shared" si="27"/>
        <v>0</v>
      </c>
      <c r="AD716" s="1784"/>
      <c r="AE716" s="1784"/>
      <c r="AF716" s="1784"/>
      <c r="AG716" s="1785"/>
      <c r="AH716" s="1942"/>
      <c r="AI716" s="1943"/>
      <c r="AJ716" s="1943"/>
      <c r="AK716" s="1943"/>
      <c r="AL716" s="1944"/>
      <c r="AM716" s="1945" t="str">
        <f t="shared" si="28"/>
        <v xml:space="preserve"> </v>
      </c>
      <c r="AN716" s="1946"/>
      <c r="AO716" s="1947"/>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68"/>
      <c r="C717" s="1769"/>
      <c r="D717" s="1769"/>
      <c r="E717" s="1769"/>
      <c r="F717" s="1770"/>
      <c r="G717" s="1765"/>
      <c r="H717" s="1766"/>
      <c r="I717" s="1766"/>
      <c r="J717" s="1767"/>
      <c r="K717" s="1777"/>
      <c r="L717" s="1778"/>
      <c r="M717" s="1778"/>
      <c r="N717" s="1779"/>
      <c r="O717" s="1780"/>
      <c r="P717" s="1781"/>
      <c r="Q717" s="1781"/>
      <c r="R717" s="1781"/>
      <c r="S717" s="1782"/>
      <c r="T717" s="1783">
        <f t="shared" si="26"/>
        <v>0</v>
      </c>
      <c r="U717" s="1784"/>
      <c r="V717" s="1784"/>
      <c r="W717" s="1784"/>
      <c r="X717" s="1785"/>
      <c r="Y717" s="1780"/>
      <c r="Z717" s="1781"/>
      <c r="AA717" s="1781"/>
      <c r="AB717" s="1782"/>
      <c r="AC717" s="1783">
        <f t="shared" si="27"/>
        <v>0</v>
      </c>
      <c r="AD717" s="1784"/>
      <c r="AE717" s="1784"/>
      <c r="AF717" s="1784"/>
      <c r="AG717" s="1785"/>
      <c r="AH717" s="1942"/>
      <c r="AI717" s="1943"/>
      <c r="AJ717" s="1943"/>
      <c r="AK717" s="1943"/>
      <c r="AL717" s="1944"/>
      <c r="AM717" s="1945" t="str">
        <f t="shared" si="28"/>
        <v xml:space="preserve"> </v>
      </c>
      <c r="AN717" s="1946"/>
      <c r="AO717" s="1947"/>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80"/>
      <c r="B718" s="1768"/>
      <c r="C718" s="1769"/>
      <c r="D718" s="1769"/>
      <c r="E718" s="1769"/>
      <c r="F718" s="1770"/>
      <c r="G718" s="1765"/>
      <c r="H718" s="1766"/>
      <c r="I718" s="1766"/>
      <c r="J718" s="1767"/>
      <c r="K718" s="1777"/>
      <c r="L718" s="1778"/>
      <c r="M718" s="1778"/>
      <c r="N718" s="1779"/>
      <c r="O718" s="1780"/>
      <c r="P718" s="1781"/>
      <c r="Q718" s="1781"/>
      <c r="R718" s="1781"/>
      <c r="S718" s="1782"/>
      <c r="T718" s="1783">
        <f t="shared" si="26"/>
        <v>0</v>
      </c>
      <c r="U718" s="1784"/>
      <c r="V718" s="1784"/>
      <c r="W718" s="1784"/>
      <c r="X718" s="1785"/>
      <c r="Y718" s="1780"/>
      <c r="Z718" s="1781"/>
      <c r="AA718" s="1781"/>
      <c r="AB718" s="1782"/>
      <c r="AC718" s="1783">
        <f t="shared" si="27"/>
        <v>0</v>
      </c>
      <c r="AD718" s="1784"/>
      <c r="AE718" s="1784"/>
      <c r="AF718" s="1784"/>
      <c r="AG718" s="1785"/>
      <c r="AH718" s="1942"/>
      <c r="AI718" s="1943"/>
      <c r="AJ718" s="1943"/>
      <c r="AK718" s="1943"/>
      <c r="AL718" s="1944"/>
      <c r="AM718" s="1945" t="str">
        <f t="shared" si="28"/>
        <v xml:space="preserve"> </v>
      </c>
      <c r="AN718" s="1946"/>
      <c r="AO718" s="1947"/>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80"/>
      <c r="B719" s="1768"/>
      <c r="C719" s="1769"/>
      <c r="D719" s="1769"/>
      <c r="E719" s="1769"/>
      <c r="F719" s="1770"/>
      <c r="G719" s="1765"/>
      <c r="H719" s="1766"/>
      <c r="I719" s="1766"/>
      <c r="J719" s="1767"/>
      <c r="K719" s="1777"/>
      <c r="L719" s="1778"/>
      <c r="M719" s="1778"/>
      <c r="N719" s="1779"/>
      <c r="O719" s="1780"/>
      <c r="P719" s="1781"/>
      <c r="Q719" s="1781"/>
      <c r="R719" s="1781"/>
      <c r="S719" s="1782"/>
      <c r="T719" s="1783">
        <f t="shared" si="26"/>
        <v>0</v>
      </c>
      <c r="U719" s="1784"/>
      <c r="V719" s="1784"/>
      <c r="W719" s="1784"/>
      <c r="X719" s="1785"/>
      <c r="Y719" s="1780">
        <v>0</v>
      </c>
      <c r="Z719" s="1781"/>
      <c r="AA719" s="1781"/>
      <c r="AB719" s="1782"/>
      <c r="AC719" s="1783">
        <f t="shared" si="27"/>
        <v>0</v>
      </c>
      <c r="AD719" s="1784"/>
      <c r="AE719" s="1784"/>
      <c r="AF719" s="1784"/>
      <c r="AG719" s="1785"/>
      <c r="AH719" s="1942">
        <v>0</v>
      </c>
      <c r="AI719" s="1943"/>
      <c r="AJ719" s="1943"/>
      <c r="AK719" s="1943"/>
      <c r="AL719" s="1944"/>
      <c r="AM719" s="1945" t="str">
        <f t="shared" si="28"/>
        <v xml:space="preserve"> </v>
      </c>
      <c r="AN719" s="1946"/>
      <c r="AO719" s="1947"/>
      <c r="BA719" s="72"/>
      <c r="BB719" s="72"/>
      <c r="BC719" s="72"/>
      <c r="BD719" s="72"/>
      <c r="BE719" s="72"/>
      <c r="BF719" s="72"/>
      <c r="BG719" s="1438" t="s">
        <v>2291</v>
      </c>
      <c r="BH719" s="1439"/>
      <c r="BI719" s="1439"/>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80"/>
      <c r="B720" s="1768"/>
      <c r="C720" s="1769"/>
      <c r="D720" s="1769"/>
      <c r="E720" s="1769"/>
      <c r="F720" s="1770"/>
      <c r="G720" s="1765"/>
      <c r="H720" s="1766"/>
      <c r="I720" s="1766"/>
      <c r="J720" s="1767"/>
      <c r="K720" s="1777"/>
      <c r="L720" s="1778"/>
      <c r="M720" s="1778"/>
      <c r="N720" s="1779"/>
      <c r="O720" s="1780"/>
      <c r="P720" s="1781"/>
      <c r="Q720" s="1781"/>
      <c r="R720" s="1781"/>
      <c r="S720" s="1782"/>
      <c r="T720" s="1783">
        <f t="shared" si="26"/>
        <v>0</v>
      </c>
      <c r="U720" s="1784"/>
      <c r="V720" s="1784"/>
      <c r="W720" s="1784"/>
      <c r="X720" s="1785"/>
      <c r="Y720" s="1780">
        <v>0</v>
      </c>
      <c r="Z720" s="1781"/>
      <c r="AA720" s="1781"/>
      <c r="AB720" s="1782"/>
      <c r="AC720" s="1783">
        <f t="shared" si="27"/>
        <v>0</v>
      </c>
      <c r="AD720" s="1784"/>
      <c r="AE720" s="1784"/>
      <c r="AF720" s="1784"/>
      <c r="AG720" s="1785"/>
      <c r="AH720" s="1942">
        <v>0</v>
      </c>
      <c r="AI720" s="1943"/>
      <c r="AJ720" s="1943"/>
      <c r="AK720" s="1943"/>
      <c r="AL720" s="1944"/>
      <c r="AM720" s="1945" t="str">
        <f t="shared" si="28"/>
        <v xml:space="preserve"> </v>
      </c>
      <c r="AN720" s="1946"/>
      <c r="AO720" s="1947"/>
      <c r="BA720" s="72"/>
      <c r="BB720" s="72"/>
      <c r="BC720" s="72"/>
      <c r="BD720" s="72"/>
      <c r="BE720" s="72"/>
      <c r="BF720" s="72"/>
      <c r="BG720" s="1440" t="s">
        <v>1259</v>
      </c>
      <c r="BH720" s="1441" t="s">
        <v>1260</v>
      </c>
      <c r="BI720" s="1442"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80"/>
      <c r="B721" s="1768"/>
      <c r="C721" s="1769"/>
      <c r="D721" s="1769"/>
      <c r="E721" s="1769"/>
      <c r="F721" s="1770"/>
      <c r="G721" s="1765"/>
      <c r="H721" s="1766"/>
      <c r="I721" s="1766"/>
      <c r="J721" s="1767"/>
      <c r="K721" s="1777"/>
      <c r="L721" s="1778"/>
      <c r="M721" s="1778"/>
      <c r="N721" s="1779"/>
      <c r="O721" s="1780"/>
      <c r="P721" s="1781"/>
      <c r="Q721" s="1781"/>
      <c r="R721" s="1781"/>
      <c r="S721" s="1782"/>
      <c r="T721" s="1783">
        <f t="shared" si="26"/>
        <v>0</v>
      </c>
      <c r="U721" s="1784"/>
      <c r="V721" s="1784"/>
      <c r="W721" s="1784"/>
      <c r="X721" s="1785"/>
      <c r="Y721" s="1780">
        <v>0</v>
      </c>
      <c r="Z721" s="1781"/>
      <c r="AA721" s="1781"/>
      <c r="AB721" s="1782"/>
      <c r="AC721" s="1783">
        <f t="shared" si="27"/>
        <v>0</v>
      </c>
      <c r="AD721" s="1784"/>
      <c r="AE721" s="1784"/>
      <c r="AF721" s="1784"/>
      <c r="AG721" s="1785"/>
      <c r="AH721" s="1942">
        <v>0</v>
      </c>
      <c r="AI721" s="1943"/>
      <c r="AJ721" s="1943"/>
      <c r="AK721" s="1943"/>
      <c r="AL721" s="1944"/>
      <c r="AM721" s="1945" t="str">
        <f t="shared" si="28"/>
        <v xml:space="preserve"> </v>
      </c>
      <c r="AN721" s="1946"/>
      <c r="AO721" s="1947"/>
      <c r="BA721" s="72"/>
      <c r="BB721" s="72"/>
      <c r="BC721" s="72"/>
      <c r="BD721" s="72"/>
      <c r="BE721" s="72"/>
      <c r="BF721" s="72"/>
      <c r="BG721" s="1443">
        <f>G706</f>
        <v>20</v>
      </c>
      <c r="BH721" s="1447">
        <f>BG721/$BG$746</f>
        <v>0.2</v>
      </c>
      <c r="BI721" s="1448">
        <f>IF(BH721=0," ",BH721*AM706)</f>
        <v>0.04</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0"/>
      <c r="B722" s="1768"/>
      <c r="C722" s="1769"/>
      <c r="D722" s="1769"/>
      <c r="E722" s="1769"/>
      <c r="F722" s="1770"/>
      <c r="G722" s="1765"/>
      <c r="H722" s="1766"/>
      <c r="I722" s="1766"/>
      <c r="J722" s="1767"/>
      <c r="K722" s="1777"/>
      <c r="L722" s="1778"/>
      <c r="M722" s="1778"/>
      <c r="N722" s="1779"/>
      <c r="O722" s="1780"/>
      <c r="P722" s="1781"/>
      <c r="Q722" s="1781"/>
      <c r="R722" s="1781"/>
      <c r="S722" s="1782"/>
      <c r="T722" s="1783">
        <f t="shared" si="26"/>
        <v>0</v>
      </c>
      <c r="U722" s="1784"/>
      <c r="V722" s="1784"/>
      <c r="W722" s="1784"/>
      <c r="X722" s="1785"/>
      <c r="Y722" s="1780">
        <v>0</v>
      </c>
      <c r="Z722" s="1781"/>
      <c r="AA722" s="1781"/>
      <c r="AB722" s="1782"/>
      <c r="AC722" s="1783">
        <f t="shared" si="27"/>
        <v>0</v>
      </c>
      <c r="AD722" s="1784"/>
      <c r="AE722" s="1784"/>
      <c r="AF722" s="1784"/>
      <c r="AG722" s="1785"/>
      <c r="AH722" s="1942">
        <v>0</v>
      </c>
      <c r="AI722" s="1943"/>
      <c r="AJ722" s="1943"/>
      <c r="AK722" s="1943"/>
      <c r="AL722" s="1944"/>
      <c r="AM722" s="1945" t="str">
        <f t="shared" si="28"/>
        <v xml:space="preserve"> </v>
      </c>
      <c r="AN722" s="1946"/>
      <c r="AO722" s="1947"/>
      <c r="BA722" s="72"/>
      <c r="BB722" s="72"/>
      <c r="BC722" s="72"/>
      <c r="BD722" s="72"/>
      <c r="BE722" s="72"/>
      <c r="BF722" s="72"/>
      <c r="BG722" s="1443">
        <f t="shared" ref="BG722:BG745" si="29">G707</f>
        <v>20</v>
      </c>
      <c r="BH722" s="1447">
        <f t="shared" ref="BH722:BH745" si="30">BG722/$BG$746</f>
        <v>0.2</v>
      </c>
      <c r="BI722" s="1448">
        <f t="shared" ref="BI722:BI745" si="31">IF(BH722=0," ",BH722*AM707)</f>
        <v>0.06</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0"/>
      <c r="B723" s="1768"/>
      <c r="C723" s="1769"/>
      <c r="D723" s="1769"/>
      <c r="E723" s="1769"/>
      <c r="F723" s="1770"/>
      <c r="G723" s="1765"/>
      <c r="H723" s="1766"/>
      <c r="I723" s="1766"/>
      <c r="J723" s="1767"/>
      <c r="K723" s="1777"/>
      <c r="L723" s="1778"/>
      <c r="M723" s="1778"/>
      <c r="N723" s="1779"/>
      <c r="O723" s="1780"/>
      <c r="P723" s="1781"/>
      <c r="Q723" s="1781"/>
      <c r="R723" s="1781"/>
      <c r="S723" s="1782"/>
      <c r="T723" s="1783">
        <f t="shared" si="26"/>
        <v>0</v>
      </c>
      <c r="U723" s="1784"/>
      <c r="V723" s="1784"/>
      <c r="W723" s="1784"/>
      <c r="X723" s="1785"/>
      <c r="Y723" s="1780">
        <v>0</v>
      </c>
      <c r="Z723" s="1781"/>
      <c r="AA723" s="1781"/>
      <c r="AB723" s="1782"/>
      <c r="AC723" s="1783">
        <f t="shared" si="27"/>
        <v>0</v>
      </c>
      <c r="AD723" s="1784"/>
      <c r="AE723" s="1784"/>
      <c r="AF723" s="1784"/>
      <c r="AG723" s="1785"/>
      <c r="AH723" s="1942">
        <v>0</v>
      </c>
      <c r="AI723" s="1943"/>
      <c r="AJ723" s="1943"/>
      <c r="AK723" s="1943"/>
      <c r="AL723" s="1944"/>
      <c r="AM723" s="1945" t="str">
        <f t="shared" si="28"/>
        <v xml:space="preserve"> </v>
      </c>
      <c r="AN723" s="1946"/>
      <c r="AO723" s="1947"/>
      <c r="BA723" s="75"/>
      <c r="BB723" s="75"/>
      <c r="BC723" s="75"/>
      <c r="BD723" s="75"/>
      <c r="BE723" s="75"/>
      <c r="BF723" s="75"/>
      <c r="BG723" s="1443">
        <f t="shared" si="29"/>
        <v>10</v>
      </c>
      <c r="BH723" s="1447">
        <f t="shared" si="30"/>
        <v>0.1</v>
      </c>
      <c r="BI723" s="1448">
        <f t="shared" si="31"/>
        <v>0.04</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0"/>
      <c r="B724" s="1768"/>
      <c r="C724" s="1769"/>
      <c r="D724" s="1769"/>
      <c r="E724" s="1769"/>
      <c r="F724" s="1770"/>
      <c r="G724" s="1765"/>
      <c r="H724" s="1766"/>
      <c r="I724" s="1766"/>
      <c r="J724" s="1767"/>
      <c r="K724" s="1777"/>
      <c r="L724" s="1778"/>
      <c r="M724" s="1778"/>
      <c r="N724" s="1779"/>
      <c r="O724" s="1780"/>
      <c r="P724" s="1781"/>
      <c r="Q724" s="1781"/>
      <c r="R724" s="1781"/>
      <c r="S724" s="1782"/>
      <c r="T724" s="1783">
        <f t="shared" si="26"/>
        <v>0</v>
      </c>
      <c r="U724" s="1784"/>
      <c r="V724" s="1784"/>
      <c r="W724" s="1784"/>
      <c r="X724" s="1785"/>
      <c r="Y724" s="1780">
        <v>0</v>
      </c>
      <c r="Z724" s="1781"/>
      <c r="AA724" s="1781"/>
      <c r="AB724" s="1782"/>
      <c r="AC724" s="1783">
        <f t="shared" si="27"/>
        <v>0</v>
      </c>
      <c r="AD724" s="1784"/>
      <c r="AE724" s="1784"/>
      <c r="AF724" s="1784"/>
      <c r="AG724" s="1785"/>
      <c r="AH724" s="1942">
        <v>0</v>
      </c>
      <c r="AI724" s="1943"/>
      <c r="AJ724" s="1943"/>
      <c r="AK724" s="1943"/>
      <c r="AL724" s="1944"/>
      <c r="AM724" s="1945" t="str">
        <f t="shared" si="28"/>
        <v xml:space="preserve"> </v>
      </c>
      <c r="AN724" s="1946"/>
      <c r="AO724" s="1947"/>
      <c r="BA724" s="75"/>
      <c r="BB724" s="75"/>
      <c r="BC724" s="75"/>
      <c r="BD724" s="75"/>
      <c r="BE724" s="75"/>
      <c r="BF724" s="75"/>
      <c r="BG724" s="1443">
        <f t="shared" si="29"/>
        <v>30</v>
      </c>
      <c r="BH724" s="1447">
        <f t="shared" si="30"/>
        <v>0.3</v>
      </c>
      <c r="BI724" s="1448">
        <f t="shared" si="31"/>
        <v>0.15</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0"/>
      <c r="B725" s="1768"/>
      <c r="C725" s="1769"/>
      <c r="D725" s="1769"/>
      <c r="E725" s="1769"/>
      <c r="F725" s="1770"/>
      <c r="G725" s="1765"/>
      <c r="H725" s="1766"/>
      <c r="I725" s="1766"/>
      <c r="J725" s="1767"/>
      <c r="K725" s="1777"/>
      <c r="L725" s="1778"/>
      <c r="M725" s="1778"/>
      <c r="N725" s="1779"/>
      <c r="O725" s="1780"/>
      <c r="P725" s="1781"/>
      <c r="Q725" s="1781"/>
      <c r="R725" s="1781"/>
      <c r="S725" s="1782"/>
      <c r="T725" s="1783">
        <f t="shared" si="26"/>
        <v>0</v>
      </c>
      <c r="U725" s="1784"/>
      <c r="V725" s="1784"/>
      <c r="W725" s="1784"/>
      <c r="X725" s="1785"/>
      <c r="Y725" s="1780">
        <v>0</v>
      </c>
      <c r="Z725" s="1781"/>
      <c r="AA725" s="1781"/>
      <c r="AB725" s="1782"/>
      <c r="AC725" s="1783">
        <f t="shared" si="27"/>
        <v>0</v>
      </c>
      <c r="AD725" s="1784"/>
      <c r="AE725" s="1784"/>
      <c r="AF725" s="1784"/>
      <c r="AG725" s="1785"/>
      <c r="AH725" s="1942">
        <v>0</v>
      </c>
      <c r="AI725" s="1943"/>
      <c r="AJ725" s="1943"/>
      <c r="AK725" s="1943"/>
      <c r="AL725" s="1944"/>
      <c r="AM725" s="1945" t="str">
        <f t="shared" si="28"/>
        <v xml:space="preserve"> </v>
      </c>
      <c r="AN725" s="1946"/>
      <c r="AO725" s="1947"/>
      <c r="BA725" s="75"/>
      <c r="BB725" s="75"/>
      <c r="BC725" s="75"/>
      <c r="BD725" s="75"/>
      <c r="BE725" s="75"/>
      <c r="BF725" s="75"/>
      <c r="BG725" s="1443">
        <f t="shared" si="29"/>
        <v>5</v>
      </c>
      <c r="BH725" s="1447">
        <f t="shared" si="30"/>
        <v>0.05</v>
      </c>
      <c r="BI725" s="1448">
        <f t="shared" si="31"/>
        <v>1.0000000000000002E-2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0"/>
      <c r="B726" s="1768"/>
      <c r="C726" s="1769"/>
      <c r="D726" s="1769"/>
      <c r="E726" s="1769"/>
      <c r="F726" s="1770"/>
      <c r="G726" s="1765"/>
      <c r="H726" s="1766"/>
      <c r="I726" s="1766"/>
      <c r="J726" s="1767"/>
      <c r="K726" s="1777"/>
      <c r="L726" s="1778"/>
      <c r="M726" s="1778"/>
      <c r="N726" s="1779"/>
      <c r="O726" s="1780"/>
      <c r="P726" s="1781"/>
      <c r="Q726" s="1781"/>
      <c r="R726" s="1781"/>
      <c r="S726" s="1782"/>
      <c r="T726" s="1783">
        <f t="shared" si="26"/>
        <v>0</v>
      </c>
      <c r="U726" s="1784"/>
      <c r="V726" s="1784"/>
      <c r="W726" s="1784"/>
      <c r="X726" s="1785"/>
      <c r="Y726" s="1780">
        <v>0</v>
      </c>
      <c r="Z726" s="1781"/>
      <c r="AA726" s="1781"/>
      <c r="AB726" s="1782"/>
      <c r="AC726" s="1783">
        <f t="shared" si="27"/>
        <v>0</v>
      </c>
      <c r="AD726" s="1784"/>
      <c r="AE726" s="1784"/>
      <c r="AF726" s="1784"/>
      <c r="AG726" s="1785"/>
      <c r="AH726" s="1942">
        <v>0</v>
      </c>
      <c r="AI726" s="1943"/>
      <c r="AJ726" s="1943"/>
      <c r="AK726" s="1943"/>
      <c r="AL726" s="1944"/>
      <c r="AM726" s="1945" t="str">
        <f t="shared" si="28"/>
        <v xml:space="preserve"> </v>
      </c>
      <c r="AN726" s="1946"/>
      <c r="AO726" s="1947"/>
      <c r="BA726" s="75"/>
      <c r="BB726" s="75"/>
      <c r="BC726" s="75"/>
      <c r="BD726" s="75"/>
      <c r="BE726" s="75"/>
      <c r="BF726" s="75"/>
      <c r="BG726" s="1443">
        <f t="shared" si="29"/>
        <v>15</v>
      </c>
      <c r="BH726" s="1447">
        <f t="shared" si="30"/>
        <v>0.15</v>
      </c>
      <c r="BI726" s="1448">
        <f t="shared" si="31"/>
        <v>0.06</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0"/>
      <c r="B727" s="1768"/>
      <c r="C727" s="1769"/>
      <c r="D727" s="1769"/>
      <c r="E727" s="1769"/>
      <c r="F727" s="1770"/>
      <c r="G727" s="1765"/>
      <c r="H727" s="1766"/>
      <c r="I727" s="1766"/>
      <c r="J727" s="1767"/>
      <c r="K727" s="1777"/>
      <c r="L727" s="1778"/>
      <c r="M727" s="1778"/>
      <c r="N727" s="1779"/>
      <c r="O727" s="1780"/>
      <c r="P727" s="1781"/>
      <c r="Q727" s="1781"/>
      <c r="R727" s="1781"/>
      <c r="S727" s="1782"/>
      <c r="T727" s="1783">
        <f t="shared" si="26"/>
        <v>0</v>
      </c>
      <c r="U727" s="1784"/>
      <c r="V727" s="1784"/>
      <c r="W727" s="1784"/>
      <c r="X727" s="1785"/>
      <c r="Y727" s="1780">
        <v>0</v>
      </c>
      <c r="Z727" s="1781"/>
      <c r="AA727" s="1781"/>
      <c r="AB727" s="1782"/>
      <c r="AC727" s="1783">
        <f t="shared" si="27"/>
        <v>0</v>
      </c>
      <c r="AD727" s="1784"/>
      <c r="AE727" s="1784"/>
      <c r="AF727" s="1784"/>
      <c r="AG727" s="1785"/>
      <c r="AH727" s="1942">
        <v>0</v>
      </c>
      <c r="AI727" s="1943"/>
      <c r="AJ727" s="1943"/>
      <c r="AK727" s="1943"/>
      <c r="AL727" s="1944"/>
      <c r="AM727" s="1945" t="str">
        <f t="shared" si="28"/>
        <v xml:space="preserve"> </v>
      </c>
      <c r="AN727" s="1946"/>
      <c r="AO727" s="1947"/>
      <c r="BA727" s="75"/>
      <c r="BB727" s="75"/>
      <c r="BC727" s="75"/>
      <c r="BD727" s="75"/>
      <c r="BE727" s="75"/>
      <c r="BF727" s="75"/>
      <c r="BG727" s="1443">
        <f t="shared" si="29"/>
        <v>0</v>
      </c>
      <c r="BH727" s="1447">
        <f t="shared" si="30"/>
        <v>0</v>
      </c>
      <c r="BI727" s="1448"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0"/>
      <c r="B728" s="1768"/>
      <c r="C728" s="1769"/>
      <c r="D728" s="1769"/>
      <c r="E728" s="1769"/>
      <c r="F728" s="1770"/>
      <c r="G728" s="1765"/>
      <c r="H728" s="1766"/>
      <c r="I728" s="1766"/>
      <c r="J728" s="1767"/>
      <c r="K728" s="1777"/>
      <c r="L728" s="1778"/>
      <c r="M728" s="1778"/>
      <c r="N728" s="1779"/>
      <c r="O728" s="1780"/>
      <c r="P728" s="1781"/>
      <c r="Q728" s="1781"/>
      <c r="R728" s="1781"/>
      <c r="S728" s="1782"/>
      <c r="T728" s="1783">
        <f t="shared" si="26"/>
        <v>0</v>
      </c>
      <c r="U728" s="1784"/>
      <c r="V728" s="1784"/>
      <c r="W728" s="1784"/>
      <c r="X728" s="1785"/>
      <c r="Y728" s="1780">
        <v>0</v>
      </c>
      <c r="Z728" s="1781"/>
      <c r="AA728" s="1781"/>
      <c r="AB728" s="1782"/>
      <c r="AC728" s="1783">
        <f t="shared" si="27"/>
        <v>0</v>
      </c>
      <c r="AD728" s="1784"/>
      <c r="AE728" s="1784"/>
      <c r="AF728" s="1784"/>
      <c r="AG728" s="1785"/>
      <c r="AH728" s="1942">
        <v>0</v>
      </c>
      <c r="AI728" s="1943"/>
      <c r="AJ728" s="1943"/>
      <c r="AK728" s="1943"/>
      <c r="AL728" s="1944"/>
      <c r="AM728" s="1945" t="str">
        <f t="shared" si="28"/>
        <v xml:space="preserve"> </v>
      </c>
      <c r="AN728" s="1946"/>
      <c r="AO728" s="1947"/>
      <c r="BA728" s="62"/>
      <c r="BB728" s="326"/>
      <c r="BC728" s="326"/>
      <c r="BD728" s="326"/>
      <c r="BE728" s="807"/>
      <c r="BF728" s="807"/>
      <c r="BG728" s="1443">
        <f t="shared" si="29"/>
        <v>0</v>
      </c>
      <c r="BH728" s="1447">
        <f t="shared" si="30"/>
        <v>0</v>
      </c>
      <c r="BI728" s="1448"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0"/>
      <c r="B729" s="1768"/>
      <c r="C729" s="1769"/>
      <c r="D729" s="1769"/>
      <c r="E729" s="1769"/>
      <c r="F729" s="1770"/>
      <c r="G729" s="1765"/>
      <c r="H729" s="1766"/>
      <c r="I729" s="1766"/>
      <c r="J729" s="1767"/>
      <c r="K729" s="1777"/>
      <c r="L729" s="1778"/>
      <c r="M729" s="1778"/>
      <c r="N729" s="1779"/>
      <c r="O729" s="1780"/>
      <c r="P729" s="1781"/>
      <c r="Q729" s="1781"/>
      <c r="R729" s="1781"/>
      <c r="S729" s="1782"/>
      <c r="T729" s="1783">
        <f t="shared" si="26"/>
        <v>0</v>
      </c>
      <c r="U729" s="1784"/>
      <c r="V729" s="1784"/>
      <c r="W729" s="1784"/>
      <c r="X729" s="1785"/>
      <c r="Y729" s="1780">
        <v>0</v>
      </c>
      <c r="Z729" s="1781"/>
      <c r="AA729" s="1781"/>
      <c r="AB729" s="1782"/>
      <c r="AC729" s="1783">
        <f t="shared" si="27"/>
        <v>0</v>
      </c>
      <c r="AD729" s="1784"/>
      <c r="AE729" s="1784"/>
      <c r="AF729" s="1784"/>
      <c r="AG729" s="1785"/>
      <c r="AH729" s="1942">
        <v>0</v>
      </c>
      <c r="AI729" s="1943"/>
      <c r="AJ729" s="1943"/>
      <c r="AK729" s="1943"/>
      <c r="AL729" s="1944"/>
      <c r="AM729" s="1945" t="str">
        <f t="shared" si="28"/>
        <v xml:space="preserve"> </v>
      </c>
      <c r="AN729" s="1946"/>
      <c r="AO729" s="1947"/>
      <c r="BA729" s="326"/>
      <c r="BB729" s="326"/>
      <c r="BC729" s="326"/>
      <c r="BD729" s="326"/>
      <c r="BE729" s="807"/>
      <c r="BF729" s="807"/>
      <c r="BG729" s="1443">
        <f t="shared" si="29"/>
        <v>0</v>
      </c>
      <c r="BH729" s="1447">
        <f t="shared" si="30"/>
        <v>0</v>
      </c>
      <c r="BI729" s="1448"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80"/>
      <c r="B730" s="1768"/>
      <c r="C730" s="1769"/>
      <c r="D730" s="1769"/>
      <c r="E730" s="1769"/>
      <c r="F730" s="1770"/>
      <c r="G730" s="1765"/>
      <c r="H730" s="1766"/>
      <c r="I730" s="1766"/>
      <c r="J730" s="1767"/>
      <c r="K730" s="1777"/>
      <c r="L730" s="1778"/>
      <c r="M730" s="1778"/>
      <c r="N730" s="1779"/>
      <c r="O730" s="1780"/>
      <c r="P730" s="1781"/>
      <c r="Q730" s="1781"/>
      <c r="R730" s="1781"/>
      <c r="S730" s="1782"/>
      <c r="T730" s="1783">
        <f t="shared" si="26"/>
        <v>0</v>
      </c>
      <c r="U730" s="1784"/>
      <c r="V730" s="1784"/>
      <c r="W730" s="1784"/>
      <c r="X730" s="1785"/>
      <c r="Y730" s="1780">
        <v>0</v>
      </c>
      <c r="Z730" s="1781"/>
      <c r="AA730" s="1781"/>
      <c r="AB730" s="1782"/>
      <c r="AC730" s="1783">
        <f t="shared" si="27"/>
        <v>0</v>
      </c>
      <c r="AD730" s="1784"/>
      <c r="AE730" s="1784"/>
      <c r="AF730" s="1784"/>
      <c r="AG730" s="1785"/>
      <c r="AH730" s="1942">
        <v>0</v>
      </c>
      <c r="AI730" s="1943"/>
      <c r="AJ730" s="1943"/>
      <c r="AK730" s="1943"/>
      <c r="AL730" s="1944"/>
      <c r="AM730" s="1945" t="str">
        <f t="shared" si="28"/>
        <v xml:space="preserve"> </v>
      </c>
      <c r="AN730" s="1946"/>
      <c r="AO730" s="1947"/>
      <c r="BA730" s="326"/>
      <c r="BB730" s="326"/>
      <c r="BC730" s="326"/>
      <c r="BD730" s="326"/>
      <c r="BE730" s="807"/>
      <c r="BF730" s="807"/>
      <c r="BG730" s="1443">
        <f t="shared" si="29"/>
        <v>0</v>
      </c>
      <c r="BH730" s="1447">
        <f t="shared" si="30"/>
        <v>0</v>
      </c>
      <c r="BI730" s="1448"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80"/>
      <c r="B731" s="1787" t="s">
        <v>976</v>
      </c>
      <c r="C731" s="1788"/>
      <c r="D731" s="1788"/>
      <c r="E731" s="1788"/>
      <c r="F731" s="1789"/>
      <c r="G731" s="1820">
        <f>SUM(G706:J730)</f>
        <v>100</v>
      </c>
      <c r="H731" s="1821"/>
      <c r="I731" s="1821"/>
      <c r="J731" s="1822"/>
      <c r="K731" s="1380"/>
      <c r="L731" s="1380"/>
      <c r="M731" s="1380"/>
      <c r="N731" s="1380"/>
      <c r="O731" s="683" t="s">
        <v>975</v>
      </c>
      <c r="P731" s="684"/>
      <c r="Q731" s="684"/>
      <c r="R731" s="684"/>
      <c r="S731" s="1433"/>
      <c r="T731" s="1783">
        <f>SUM(T706:X730)</f>
        <v>77030</v>
      </c>
      <c r="U731" s="1784"/>
      <c r="V731" s="1784"/>
      <c r="W731" s="1784"/>
      <c r="X731" s="1785"/>
      <c r="Y731" s="1380"/>
      <c r="Z731" s="1380"/>
      <c r="AA731" s="1380"/>
      <c r="AB731" s="1380"/>
      <c r="AC731" s="1434" t="s">
        <v>1262</v>
      </c>
      <c r="AD731" s="1435"/>
      <c r="AE731" s="1435"/>
      <c r="AF731" s="1435"/>
      <c r="AG731" s="1436"/>
      <c r="AH731" s="1948">
        <f>BI715</f>
        <v>0.36000000000000004</v>
      </c>
      <c r="AI731" s="1949"/>
      <c r="AJ731" s="1949"/>
      <c r="AK731" s="1949"/>
      <c r="AL731" s="1950"/>
      <c r="AM731" s="1948">
        <f>BI746</f>
        <v>0.36000000000000004</v>
      </c>
      <c r="AN731" s="1949"/>
      <c r="AO731" s="1950"/>
      <c r="BA731" s="326"/>
      <c r="BB731" s="326"/>
      <c r="BC731" s="326"/>
      <c r="BD731" s="326"/>
      <c r="BE731" s="807"/>
      <c r="BF731" s="807"/>
      <c r="BG731" s="1443">
        <f t="shared" si="29"/>
        <v>0</v>
      </c>
      <c r="BH731" s="1447">
        <f t="shared" si="30"/>
        <v>0</v>
      </c>
      <c r="BI731" s="1448"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43">
        <f t="shared" si="29"/>
        <v>0</v>
      </c>
      <c r="BH732" s="1447">
        <f t="shared" si="30"/>
        <v>0</v>
      </c>
      <c r="BI732" s="1448"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7" t="s">
        <v>136</v>
      </c>
      <c r="AG733" s="2157"/>
      <c r="AH733" s="2157"/>
      <c r="AL733" s="72"/>
      <c r="AM733" s="72"/>
      <c r="BA733" s="72"/>
      <c r="BB733" s="72"/>
      <c r="BC733" s="72"/>
      <c r="BD733" s="72"/>
      <c r="BE733" s="72"/>
      <c r="BF733" s="72"/>
      <c r="BG733" s="1443">
        <f t="shared" si="29"/>
        <v>0</v>
      </c>
      <c r="BH733" s="1447">
        <f t="shared" si="30"/>
        <v>0</v>
      </c>
      <c r="BI733" s="1448"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43">
        <f t="shared" si="29"/>
        <v>0</v>
      </c>
      <c r="BH734" s="1447">
        <f t="shared" si="30"/>
        <v>0</v>
      </c>
      <c r="BI734" s="1448"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43">
        <f t="shared" si="29"/>
        <v>0</v>
      </c>
      <c r="BH735" s="1447">
        <f t="shared" si="30"/>
        <v>0</v>
      </c>
      <c r="BI735" s="1448"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43">
        <f t="shared" si="29"/>
        <v>0</v>
      </c>
      <c r="BH736" s="1447">
        <f t="shared" si="30"/>
        <v>0</v>
      </c>
      <c r="BI736" s="1448"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43">
        <f t="shared" si="29"/>
        <v>0</v>
      </c>
      <c r="BH737" s="1447">
        <f t="shared" si="30"/>
        <v>0</v>
      </c>
      <c r="BI737" s="1448"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85" t="s">
        <v>1701</v>
      </c>
      <c r="D738" s="2085"/>
      <c r="E738" s="2085"/>
      <c r="F738" s="2085"/>
      <c r="G738" s="2085"/>
      <c r="H738" s="2085"/>
      <c r="I738" s="2085"/>
      <c r="J738" s="2085"/>
      <c r="K738" s="2085"/>
      <c r="L738" s="2085"/>
      <c r="M738" s="2085"/>
      <c r="N738" s="2085"/>
      <c r="O738" s="2085"/>
      <c r="P738" s="2085"/>
      <c r="Q738" s="2085"/>
      <c r="R738" s="2085"/>
      <c r="S738" s="2085"/>
      <c r="T738" s="2085"/>
      <c r="U738" s="2085"/>
      <c r="V738" s="2085"/>
      <c r="W738" s="2085"/>
      <c r="X738" s="2085"/>
      <c r="Y738" s="2085"/>
      <c r="Z738" s="2085"/>
      <c r="AA738" s="2085"/>
      <c r="AB738" s="2085"/>
      <c r="AC738" s="2085"/>
      <c r="AD738" s="2085"/>
      <c r="AE738" s="2085"/>
      <c r="AF738" s="2085"/>
      <c r="AG738" s="2085"/>
      <c r="AH738" s="2085"/>
      <c r="AI738" s="2085"/>
      <c r="AJ738" s="2085"/>
      <c r="AK738" s="2085"/>
      <c r="AM738" s="72"/>
      <c r="BA738" s="72"/>
      <c r="BB738" s="72"/>
      <c r="BC738" s="72"/>
      <c r="BD738" s="72"/>
      <c r="BE738" s="72"/>
      <c r="BF738" s="72"/>
      <c r="BG738" s="1443">
        <f t="shared" si="29"/>
        <v>0</v>
      </c>
      <c r="BH738" s="1447">
        <f t="shared" si="30"/>
        <v>0</v>
      </c>
      <c r="BI738" s="1448"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85"/>
      <c r="D739" s="2085"/>
      <c r="E739" s="2085"/>
      <c r="F739" s="2085"/>
      <c r="G739" s="2085"/>
      <c r="H739" s="2085"/>
      <c r="I739" s="2085"/>
      <c r="J739" s="2085"/>
      <c r="K739" s="2085"/>
      <c r="L739" s="2085"/>
      <c r="M739" s="2085"/>
      <c r="N739" s="2085"/>
      <c r="O739" s="2085"/>
      <c r="P739" s="2085"/>
      <c r="Q739" s="2085"/>
      <c r="R739" s="2085"/>
      <c r="S739" s="2085"/>
      <c r="T739" s="2085"/>
      <c r="U739" s="2085"/>
      <c r="V739" s="2085"/>
      <c r="W739" s="2085"/>
      <c r="X739" s="2085"/>
      <c r="Y739" s="2085"/>
      <c r="Z739" s="2085"/>
      <c r="AA739" s="2085"/>
      <c r="AB739" s="2085"/>
      <c r="AC739" s="2085"/>
      <c r="AD739" s="2085"/>
      <c r="AE739" s="2085"/>
      <c r="AF739" s="2085"/>
      <c r="AG739" s="2085"/>
      <c r="AH739" s="2085"/>
      <c r="AI739" s="2085"/>
      <c r="AJ739" s="2085"/>
      <c r="AK739" s="2085"/>
      <c r="AM739" s="72"/>
      <c r="BA739" s="72"/>
      <c r="BB739" s="72"/>
      <c r="BC739" s="72"/>
      <c r="BD739" s="72"/>
      <c r="BE739" s="72"/>
      <c r="BF739" s="72"/>
      <c r="BG739" s="1443">
        <f t="shared" si="29"/>
        <v>0</v>
      </c>
      <c r="BH739" s="1447">
        <f t="shared" si="30"/>
        <v>0</v>
      </c>
      <c r="BI739" s="1448"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5"/>
      <c r="D740" s="2085"/>
      <c r="E740" s="2085"/>
      <c r="F740" s="2085"/>
      <c r="G740" s="2085"/>
      <c r="H740" s="2085"/>
      <c r="I740" s="2085"/>
      <c r="J740" s="2085"/>
      <c r="K740" s="2085"/>
      <c r="L740" s="2085"/>
      <c r="M740" s="2085"/>
      <c r="N740" s="2085"/>
      <c r="O740" s="2085"/>
      <c r="P740" s="2085"/>
      <c r="Q740" s="2085"/>
      <c r="R740" s="2085"/>
      <c r="S740" s="2085"/>
      <c r="T740" s="2085"/>
      <c r="U740" s="2085"/>
      <c r="V740" s="2085"/>
      <c r="W740" s="2085"/>
      <c r="X740" s="2085"/>
      <c r="Y740" s="2085"/>
      <c r="Z740" s="2085"/>
      <c r="AA740" s="2085"/>
      <c r="AB740" s="2085"/>
      <c r="AC740" s="2085"/>
      <c r="AD740" s="2085"/>
      <c r="AE740" s="2085"/>
      <c r="AF740" s="2085"/>
      <c r="AG740" s="2085"/>
      <c r="AH740" s="2085"/>
      <c r="AI740" s="2085"/>
      <c r="AJ740" s="2085"/>
      <c r="AK740" s="2085"/>
      <c r="AM740" s="72"/>
      <c r="BA740" s="72"/>
      <c r="BB740" s="72"/>
      <c r="BC740" s="72"/>
      <c r="BD740" s="72"/>
      <c r="BE740" s="72"/>
      <c r="BF740" s="72"/>
      <c r="BG740" s="1443">
        <f t="shared" si="29"/>
        <v>0</v>
      </c>
      <c r="BH740" s="1447">
        <f t="shared" si="30"/>
        <v>0</v>
      </c>
      <c r="BI740" s="1448"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85"/>
      <c r="D741" s="2085"/>
      <c r="E741" s="2085"/>
      <c r="F741" s="2085"/>
      <c r="G741" s="2085"/>
      <c r="H741" s="2085"/>
      <c r="I741" s="2085"/>
      <c r="J741" s="2085"/>
      <c r="K741" s="2085"/>
      <c r="L741" s="2085"/>
      <c r="M741" s="2085"/>
      <c r="N741" s="2085"/>
      <c r="O741" s="2085"/>
      <c r="P741" s="2085"/>
      <c r="Q741" s="2085"/>
      <c r="R741" s="2085"/>
      <c r="S741" s="2085"/>
      <c r="T741" s="2085"/>
      <c r="U741" s="2085"/>
      <c r="V741" s="2085"/>
      <c r="W741" s="2085"/>
      <c r="X741" s="2085"/>
      <c r="Y741" s="2085"/>
      <c r="Z741" s="2085"/>
      <c r="AA741" s="2085"/>
      <c r="AB741" s="2085"/>
      <c r="AC741" s="2085"/>
      <c r="AD741" s="2085"/>
      <c r="AE741" s="2085"/>
      <c r="AF741" s="2085"/>
      <c r="AG741" s="2085"/>
      <c r="AH741" s="2085"/>
      <c r="AI741" s="2085"/>
      <c r="AJ741" s="2085"/>
      <c r="AK741" s="2085"/>
      <c r="AM741" s="72"/>
      <c r="BA741" s="72"/>
      <c r="BB741" s="72"/>
      <c r="BC741" s="72"/>
      <c r="BD741" s="72"/>
      <c r="BE741" s="72"/>
      <c r="BF741" s="72"/>
      <c r="BG741" s="1443">
        <f t="shared" si="29"/>
        <v>0</v>
      </c>
      <c r="BH741" s="1447">
        <f t="shared" si="30"/>
        <v>0</v>
      </c>
      <c r="BI741" s="1448"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85"/>
      <c r="D742" s="2085"/>
      <c r="E742" s="2085"/>
      <c r="F742" s="2085"/>
      <c r="G742" s="2085"/>
      <c r="H742" s="2085"/>
      <c r="I742" s="2085"/>
      <c r="J742" s="2085"/>
      <c r="K742" s="2085"/>
      <c r="L742" s="2085"/>
      <c r="M742" s="2085"/>
      <c r="N742" s="2085"/>
      <c r="O742" s="2085"/>
      <c r="P742" s="2085"/>
      <c r="Q742" s="2085"/>
      <c r="R742" s="2085"/>
      <c r="S742" s="2085"/>
      <c r="T742" s="2085"/>
      <c r="U742" s="2085"/>
      <c r="V742" s="2085"/>
      <c r="W742" s="2085"/>
      <c r="X742" s="2085"/>
      <c r="Y742" s="2085"/>
      <c r="Z742" s="2085"/>
      <c r="AA742" s="2085"/>
      <c r="AB742" s="2085"/>
      <c r="AC742" s="2085"/>
      <c r="AD742" s="2085"/>
      <c r="AE742" s="2085"/>
      <c r="AF742" s="2085"/>
      <c r="AG742" s="2085"/>
      <c r="AH742" s="2085"/>
      <c r="AI742" s="2085"/>
      <c r="AJ742" s="2085"/>
      <c r="AK742" s="2085"/>
      <c r="AM742" s="72"/>
      <c r="BA742" s="72"/>
      <c r="BB742" s="72"/>
      <c r="BC742" s="72"/>
      <c r="BD742" s="72"/>
      <c r="BE742" s="72"/>
      <c r="BF742" s="72"/>
      <c r="BG742" s="1443">
        <f t="shared" si="29"/>
        <v>0</v>
      </c>
      <c r="BH742" s="1447">
        <f t="shared" si="30"/>
        <v>0</v>
      </c>
      <c r="BI742" s="1448"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85"/>
      <c r="D743" s="2085"/>
      <c r="E743" s="2085"/>
      <c r="F743" s="2085"/>
      <c r="G743" s="2085"/>
      <c r="H743" s="2085"/>
      <c r="I743" s="2085"/>
      <c r="J743" s="2085"/>
      <c r="K743" s="2085"/>
      <c r="L743" s="2085"/>
      <c r="M743" s="2085"/>
      <c r="N743" s="2085"/>
      <c r="O743" s="2085"/>
      <c r="P743" s="2085"/>
      <c r="Q743" s="2085"/>
      <c r="R743" s="2085"/>
      <c r="S743" s="2085"/>
      <c r="T743" s="2085"/>
      <c r="U743" s="2085"/>
      <c r="V743" s="2085"/>
      <c r="W743" s="2085"/>
      <c r="X743" s="2085"/>
      <c r="Y743" s="2085"/>
      <c r="Z743" s="2085"/>
      <c r="AA743" s="2085"/>
      <c r="AB743" s="2085"/>
      <c r="AC743" s="2085"/>
      <c r="AD743" s="2085"/>
      <c r="AE743" s="2085"/>
      <c r="AF743" s="2085"/>
      <c r="AG743" s="2085"/>
      <c r="AH743" s="2085"/>
      <c r="AI743" s="2085"/>
      <c r="AJ743" s="2085"/>
      <c r="AK743" s="2085"/>
      <c r="AM743" s="72"/>
      <c r="BA743" s="72"/>
      <c r="BB743" s="72"/>
      <c r="BC743" s="72"/>
      <c r="BD743" s="72"/>
      <c r="BE743" s="72"/>
      <c r="BF743" s="72"/>
      <c r="BG743" s="1443">
        <f t="shared" si="29"/>
        <v>0</v>
      </c>
      <c r="BH743" s="1447">
        <f t="shared" si="30"/>
        <v>0</v>
      </c>
      <c r="BI743" s="1448"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85"/>
      <c r="D744" s="2085"/>
      <c r="E744" s="2085"/>
      <c r="F744" s="2085"/>
      <c r="G744" s="2085"/>
      <c r="H744" s="2085"/>
      <c r="I744" s="2085"/>
      <c r="J744" s="2085"/>
      <c r="K744" s="2085"/>
      <c r="L744" s="2085"/>
      <c r="M744" s="2085"/>
      <c r="N744" s="2085"/>
      <c r="O744" s="2085"/>
      <c r="P744" s="2085"/>
      <c r="Q744" s="2085"/>
      <c r="R744" s="2085"/>
      <c r="S744" s="2085"/>
      <c r="T744" s="2085"/>
      <c r="U744" s="2085"/>
      <c r="V744" s="2085"/>
      <c r="W744" s="2085"/>
      <c r="X744" s="2085"/>
      <c r="Y744" s="2085"/>
      <c r="Z744" s="2085"/>
      <c r="AA744" s="2085"/>
      <c r="AB744" s="2085"/>
      <c r="AC744" s="2085"/>
      <c r="AD744" s="2085"/>
      <c r="AE744" s="2085"/>
      <c r="AF744" s="2085"/>
      <c r="AG744" s="2085"/>
      <c r="AH744" s="2085"/>
      <c r="AI744" s="2085"/>
      <c r="AJ744" s="2085"/>
      <c r="AK744" s="2085"/>
      <c r="AM744" s="72"/>
      <c r="BA744" s="72"/>
      <c r="BB744" s="72"/>
      <c r="BC744" s="72"/>
      <c r="BD744" s="72"/>
      <c r="BE744" s="72"/>
      <c r="BF744" s="72"/>
      <c r="BG744" s="1443">
        <f t="shared" si="29"/>
        <v>0</v>
      </c>
      <c r="BH744" s="1447">
        <f t="shared" si="30"/>
        <v>0</v>
      </c>
      <c r="BI744" s="1448"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85"/>
      <c r="D745" s="2085"/>
      <c r="E745" s="2085"/>
      <c r="F745" s="2085"/>
      <c r="G745" s="2085"/>
      <c r="H745" s="2085"/>
      <c r="I745" s="2085"/>
      <c r="J745" s="2085"/>
      <c r="K745" s="2085"/>
      <c r="L745" s="2085"/>
      <c r="M745" s="2085"/>
      <c r="N745" s="2085"/>
      <c r="O745" s="2085"/>
      <c r="P745" s="2085"/>
      <c r="Q745" s="2085"/>
      <c r="R745" s="2085"/>
      <c r="S745" s="2085"/>
      <c r="T745" s="2085"/>
      <c r="U745" s="2085"/>
      <c r="V745" s="2085"/>
      <c r="W745" s="2085"/>
      <c r="X745" s="2085"/>
      <c r="Y745" s="2085"/>
      <c r="Z745" s="2085"/>
      <c r="AA745" s="2085"/>
      <c r="AB745" s="2085"/>
      <c r="AC745" s="2085"/>
      <c r="AD745" s="2085"/>
      <c r="AE745" s="2085"/>
      <c r="AF745" s="2085"/>
      <c r="AG745" s="2085"/>
      <c r="AH745" s="2085"/>
      <c r="AI745" s="2085"/>
      <c r="AJ745" s="2085"/>
      <c r="AK745" s="2085"/>
      <c r="AM745" s="72"/>
      <c r="BA745" s="72"/>
      <c r="BB745" s="72"/>
      <c r="BC745" s="72"/>
      <c r="BD745" s="72"/>
      <c r="BE745" s="72"/>
      <c r="BF745" s="72"/>
      <c r="BG745" s="1446">
        <f t="shared" si="29"/>
        <v>0</v>
      </c>
      <c r="BH745" s="1447">
        <f t="shared" si="30"/>
        <v>0</v>
      </c>
      <c r="BI745" s="1448"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85"/>
      <c r="D746" s="2085"/>
      <c r="E746" s="2085"/>
      <c r="F746" s="2085"/>
      <c r="G746" s="2085"/>
      <c r="H746" s="2085"/>
      <c r="I746" s="2085"/>
      <c r="J746" s="2085"/>
      <c r="K746" s="2085"/>
      <c r="L746" s="2085"/>
      <c r="M746" s="2085"/>
      <c r="N746" s="2085"/>
      <c r="O746" s="2085"/>
      <c r="P746" s="2085"/>
      <c r="Q746" s="2085"/>
      <c r="R746" s="2085"/>
      <c r="S746" s="2085"/>
      <c r="T746" s="2085"/>
      <c r="U746" s="2085"/>
      <c r="V746" s="2085"/>
      <c r="W746" s="2085"/>
      <c r="X746" s="2085"/>
      <c r="Y746" s="2085"/>
      <c r="Z746" s="2085"/>
      <c r="AA746" s="2085"/>
      <c r="AB746" s="2085"/>
      <c r="AC746" s="2085"/>
      <c r="AD746" s="2085"/>
      <c r="AE746" s="2085"/>
      <c r="AF746" s="2085"/>
      <c r="AG746" s="2085"/>
      <c r="AH746" s="2085"/>
      <c r="AI746" s="2085"/>
      <c r="AJ746" s="2085"/>
      <c r="AK746" s="2085"/>
      <c r="AM746" s="72"/>
      <c r="BA746" s="72"/>
      <c r="BB746" s="72"/>
      <c r="BC746" s="72"/>
      <c r="BD746" s="72"/>
      <c r="BE746" s="72"/>
      <c r="BF746" s="72"/>
      <c r="BG746" s="1444">
        <f>SUM(BG721:BG745)</f>
        <v>100</v>
      </c>
      <c r="BH746" s="1445">
        <f>SUM(BH721:BH745)</f>
        <v>1</v>
      </c>
      <c r="BI746" s="1445">
        <f>SUM(BI721:BI745)</f>
        <v>0.36000000000000004</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2" t="s">
        <v>59</v>
      </c>
      <c r="K748" s="1793"/>
      <c r="L748" s="1793"/>
      <c r="M748" s="1793"/>
      <c r="N748" s="1794"/>
      <c r="O748" s="1941" t="s">
        <v>284</v>
      </c>
      <c r="P748" s="1941"/>
      <c r="Q748" s="1941"/>
      <c r="R748" s="1941"/>
      <c r="S748" s="1941"/>
      <c r="T748" s="1951" t="s">
        <v>2288</v>
      </c>
      <c r="U748" s="1952"/>
      <c r="V748" s="1952"/>
      <c r="W748" s="1953"/>
      <c r="X748" s="1792" t="s">
        <v>655</v>
      </c>
      <c r="Y748" s="1793"/>
      <c r="Z748" s="1793"/>
      <c r="AA748" s="1793"/>
      <c r="AB748" s="1794"/>
      <c r="AC748" s="1792" t="s">
        <v>285</v>
      </c>
      <c r="AD748" s="1793"/>
      <c r="AE748" s="1793"/>
      <c r="AF748" s="1793"/>
      <c r="AG748" s="179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5"/>
      <c r="K749" s="1796"/>
      <c r="L749" s="1796"/>
      <c r="M749" s="1796"/>
      <c r="N749" s="1797"/>
      <c r="O749" s="1941"/>
      <c r="P749" s="1941"/>
      <c r="Q749" s="1941"/>
      <c r="R749" s="1941"/>
      <c r="S749" s="1941"/>
      <c r="T749" s="1954"/>
      <c r="U749" s="1955"/>
      <c r="V749" s="1955"/>
      <c r="W749" s="1956"/>
      <c r="X749" s="1795"/>
      <c r="Y749" s="1796"/>
      <c r="Z749" s="1796"/>
      <c r="AA749" s="1796"/>
      <c r="AB749" s="1797"/>
      <c r="AC749" s="1795"/>
      <c r="AD749" s="1796"/>
      <c r="AE749" s="1796"/>
      <c r="AF749" s="1796"/>
      <c r="AG749" s="179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5"/>
      <c r="K750" s="1796"/>
      <c r="L750" s="1796"/>
      <c r="M750" s="1796"/>
      <c r="N750" s="1797"/>
      <c r="O750" s="1941"/>
      <c r="P750" s="1941"/>
      <c r="Q750" s="1941"/>
      <c r="R750" s="1941"/>
      <c r="S750" s="1941"/>
      <c r="T750" s="1954"/>
      <c r="U750" s="1955"/>
      <c r="V750" s="1955"/>
      <c r="W750" s="1956"/>
      <c r="X750" s="1795"/>
      <c r="Y750" s="1796"/>
      <c r="Z750" s="1796"/>
      <c r="AA750" s="1796"/>
      <c r="AB750" s="1797"/>
      <c r="AC750" s="1795"/>
      <c r="AD750" s="1796"/>
      <c r="AE750" s="1796"/>
      <c r="AF750" s="1796"/>
      <c r="AG750" s="179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8"/>
      <c r="K751" s="1799"/>
      <c r="L751" s="1799"/>
      <c r="M751" s="1799"/>
      <c r="N751" s="1800"/>
      <c r="O751" s="1941"/>
      <c r="P751" s="1941"/>
      <c r="Q751" s="1941"/>
      <c r="R751" s="1941"/>
      <c r="S751" s="1941"/>
      <c r="T751" s="1957"/>
      <c r="U751" s="1958"/>
      <c r="V751" s="1958"/>
      <c r="W751" s="1959"/>
      <c r="X751" s="1798"/>
      <c r="Y751" s="1799"/>
      <c r="Z751" s="1799"/>
      <c r="AA751" s="1799"/>
      <c r="AB751" s="1800"/>
      <c r="AC751" s="1798"/>
      <c r="AD751" s="1799"/>
      <c r="AE751" s="1799"/>
      <c r="AF751" s="1799"/>
      <c r="AG751" s="180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8" t="s">
        <v>853</v>
      </c>
      <c r="K752" s="1769"/>
      <c r="L752" s="1769"/>
      <c r="M752" s="1769"/>
      <c r="N752" s="1770"/>
      <c r="O752" s="1776">
        <v>1</v>
      </c>
      <c r="P752" s="1776"/>
      <c r="Q752" s="1776"/>
      <c r="R752" s="1776"/>
      <c r="S752" s="1776"/>
      <c r="T752" s="1777">
        <v>800</v>
      </c>
      <c r="U752" s="1778"/>
      <c r="V752" s="1778"/>
      <c r="W752" s="1779"/>
      <c r="X752" s="1780"/>
      <c r="Y752" s="1781"/>
      <c r="Z752" s="1781"/>
      <c r="AA752" s="1781"/>
      <c r="AB752" s="1782"/>
      <c r="AC752" s="1783">
        <f>X752*O752</f>
        <v>0</v>
      </c>
      <c r="AD752" s="1784"/>
      <c r="AE752" s="1784"/>
      <c r="AF752" s="1784"/>
      <c r="AG752" s="178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8"/>
      <c r="K753" s="1769"/>
      <c r="L753" s="1769"/>
      <c r="M753" s="1769"/>
      <c r="N753" s="1770"/>
      <c r="O753" s="1776"/>
      <c r="P753" s="1776"/>
      <c r="Q753" s="1776"/>
      <c r="R753" s="1776"/>
      <c r="S753" s="1776"/>
      <c r="T753" s="1777"/>
      <c r="U753" s="1778"/>
      <c r="V753" s="1778"/>
      <c r="W753" s="1779"/>
      <c r="X753" s="1780"/>
      <c r="Y753" s="1781"/>
      <c r="Z753" s="1781"/>
      <c r="AA753" s="1781"/>
      <c r="AB753" s="1782"/>
      <c r="AC753" s="1783">
        <f>X753*O753</f>
        <v>0</v>
      </c>
      <c r="AD753" s="1784"/>
      <c r="AE753" s="1784"/>
      <c r="AF753" s="1784"/>
      <c r="AG753" s="178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68"/>
      <c r="K754" s="1769"/>
      <c r="L754" s="1769"/>
      <c r="M754" s="1769"/>
      <c r="N754" s="1770"/>
      <c r="O754" s="1776"/>
      <c r="P754" s="1776"/>
      <c r="Q754" s="1776"/>
      <c r="R754" s="1776"/>
      <c r="S754" s="1776"/>
      <c r="T754" s="1777"/>
      <c r="U754" s="1778"/>
      <c r="V754" s="1778"/>
      <c r="W754" s="1779"/>
      <c r="X754" s="1780"/>
      <c r="Y754" s="1781"/>
      <c r="Z754" s="1781"/>
      <c r="AA754" s="1781"/>
      <c r="AB754" s="1782"/>
      <c r="AC754" s="1783">
        <f>X754*O754</f>
        <v>0</v>
      </c>
      <c r="AD754" s="1784"/>
      <c r="AE754" s="1784"/>
      <c r="AF754" s="1784"/>
      <c r="AG754" s="178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68"/>
      <c r="K755" s="1769"/>
      <c r="L755" s="1769"/>
      <c r="M755" s="1769"/>
      <c r="N755" s="1770"/>
      <c r="O755" s="1776"/>
      <c r="P755" s="1776"/>
      <c r="Q755" s="1776"/>
      <c r="R755" s="1776"/>
      <c r="S755" s="1776"/>
      <c r="T755" s="1777"/>
      <c r="U755" s="1778"/>
      <c r="V755" s="1778"/>
      <c r="W755" s="1779"/>
      <c r="X755" s="1780"/>
      <c r="Y755" s="1781"/>
      <c r="Z755" s="1781"/>
      <c r="AA755" s="1781"/>
      <c r="AB755" s="1782"/>
      <c r="AC755" s="1783">
        <f>X755*O755</f>
        <v>0</v>
      </c>
      <c r="AD755" s="1784"/>
      <c r="AE755" s="1784"/>
      <c r="AF755" s="1784"/>
      <c r="AG755" s="178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7" t="s">
        <v>976</v>
      </c>
      <c r="K756" s="1788"/>
      <c r="L756" s="1788"/>
      <c r="M756" s="1788"/>
      <c r="N756" s="1789"/>
      <c r="O756" s="2072">
        <f>SUM(O752:S755)</f>
        <v>1</v>
      </c>
      <c r="P756" s="2073"/>
      <c r="Q756" s="2073"/>
      <c r="R756" s="2073"/>
      <c r="S756" s="2074"/>
      <c r="X756" s="2158" t="s">
        <v>975</v>
      </c>
      <c r="Y756" s="2159"/>
      <c r="Z756" s="2159"/>
      <c r="AA756" s="2159"/>
      <c r="AB756" s="2160"/>
      <c r="AC756" s="1783">
        <f>SUM(AC752:AG755)</f>
        <v>0</v>
      </c>
      <c r="AD756" s="1784"/>
      <c r="AE756" s="1784"/>
      <c r="AF756" s="1784"/>
      <c r="AG756" s="178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1" t="s">
        <v>531</v>
      </c>
      <c r="K758" s="1801"/>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2" t="s">
        <v>59</v>
      </c>
      <c r="K762" s="1793"/>
      <c r="L762" s="1793"/>
      <c r="M762" s="1793"/>
      <c r="N762" s="1794"/>
      <c r="O762" s="1941" t="s">
        <v>284</v>
      </c>
      <c r="P762" s="1941"/>
      <c r="Q762" s="1941"/>
      <c r="R762" s="1941"/>
      <c r="S762" s="1941"/>
      <c r="T762" s="1951" t="s">
        <v>2288</v>
      </c>
      <c r="U762" s="1952"/>
      <c r="V762" s="1952"/>
      <c r="W762" s="1953"/>
      <c r="X762" s="1792" t="s">
        <v>655</v>
      </c>
      <c r="Y762" s="1793"/>
      <c r="Z762" s="1793"/>
      <c r="AA762" s="1793"/>
      <c r="AB762" s="1794"/>
      <c r="AC762" s="1792" t="s">
        <v>285</v>
      </c>
      <c r="AD762" s="1793"/>
      <c r="AE762" s="1793"/>
      <c r="AF762" s="1793"/>
      <c r="AG762" s="179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5"/>
      <c r="K763" s="1796"/>
      <c r="L763" s="1796"/>
      <c r="M763" s="1796"/>
      <c r="N763" s="1797"/>
      <c r="O763" s="1941"/>
      <c r="P763" s="1941"/>
      <c r="Q763" s="1941"/>
      <c r="R763" s="1941"/>
      <c r="S763" s="1941"/>
      <c r="T763" s="1954"/>
      <c r="U763" s="1955"/>
      <c r="V763" s="1955"/>
      <c r="W763" s="1956"/>
      <c r="X763" s="1795"/>
      <c r="Y763" s="1796"/>
      <c r="Z763" s="1796"/>
      <c r="AA763" s="1796"/>
      <c r="AB763" s="1797"/>
      <c r="AC763" s="1795"/>
      <c r="AD763" s="1796"/>
      <c r="AE763" s="1796"/>
      <c r="AF763" s="1796"/>
      <c r="AG763" s="179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5"/>
      <c r="K764" s="1796"/>
      <c r="L764" s="1796"/>
      <c r="M764" s="1796"/>
      <c r="N764" s="1797"/>
      <c r="O764" s="1941"/>
      <c r="P764" s="1941"/>
      <c r="Q764" s="1941"/>
      <c r="R764" s="1941"/>
      <c r="S764" s="1941"/>
      <c r="T764" s="1954"/>
      <c r="U764" s="1955"/>
      <c r="V764" s="1955"/>
      <c r="W764" s="1956"/>
      <c r="X764" s="1795"/>
      <c r="Y764" s="1796"/>
      <c r="Z764" s="1796"/>
      <c r="AA764" s="1796"/>
      <c r="AB764" s="1797"/>
      <c r="AC764" s="1795"/>
      <c r="AD764" s="1796"/>
      <c r="AE764" s="1796"/>
      <c r="AF764" s="1796"/>
      <c r="AG764" s="179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8"/>
      <c r="K765" s="1799"/>
      <c r="L765" s="1799"/>
      <c r="M765" s="1799"/>
      <c r="N765" s="1800"/>
      <c r="O765" s="1941"/>
      <c r="P765" s="1941"/>
      <c r="Q765" s="1941"/>
      <c r="R765" s="1941"/>
      <c r="S765" s="1941"/>
      <c r="T765" s="1957"/>
      <c r="U765" s="1958"/>
      <c r="V765" s="1958"/>
      <c r="W765" s="1959"/>
      <c r="X765" s="1798"/>
      <c r="Y765" s="1799"/>
      <c r="Z765" s="1799"/>
      <c r="AA765" s="1799"/>
      <c r="AB765" s="1800"/>
      <c r="AC765" s="1798"/>
      <c r="AD765" s="1799"/>
      <c r="AE765" s="1799"/>
      <c r="AF765" s="1799"/>
      <c r="AG765" s="180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8"/>
      <c r="K766" s="1769"/>
      <c r="L766" s="1769"/>
      <c r="M766" s="1769"/>
      <c r="N766" s="1770"/>
      <c r="O766" s="1776"/>
      <c r="P766" s="1776"/>
      <c r="Q766" s="1776"/>
      <c r="R766" s="1776"/>
      <c r="S766" s="1776"/>
      <c r="T766" s="1777"/>
      <c r="U766" s="1778"/>
      <c r="V766" s="1778"/>
      <c r="W766" s="1779"/>
      <c r="X766" s="1780"/>
      <c r="Y766" s="1781"/>
      <c r="Z766" s="1781"/>
      <c r="AA766" s="1781"/>
      <c r="AB766" s="1782"/>
      <c r="AC766" s="1783">
        <f t="shared" ref="AC766:AC775" si="32">X766*O766</f>
        <v>0</v>
      </c>
      <c r="AD766" s="1784"/>
      <c r="AE766" s="1784"/>
      <c r="AF766" s="1784"/>
      <c r="AG766" s="178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8"/>
      <c r="K767" s="1769"/>
      <c r="L767" s="1769"/>
      <c r="M767" s="1769"/>
      <c r="N767" s="1770"/>
      <c r="O767" s="1776"/>
      <c r="P767" s="1776"/>
      <c r="Q767" s="1776"/>
      <c r="R767" s="1776"/>
      <c r="S767" s="1776"/>
      <c r="T767" s="1777"/>
      <c r="U767" s="1778"/>
      <c r="V767" s="1778"/>
      <c r="W767" s="1779"/>
      <c r="X767" s="1780"/>
      <c r="Y767" s="1781"/>
      <c r="Z767" s="1781"/>
      <c r="AA767" s="1781"/>
      <c r="AB767" s="1782"/>
      <c r="AC767" s="1783">
        <f t="shared" si="32"/>
        <v>0</v>
      </c>
      <c r="AD767" s="1784"/>
      <c r="AE767" s="1784"/>
      <c r="AF767" s="1784"/>
      <c r="AG767" s="178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8"/>
      <c r="K768" s="1769"/>
      <c r="L768" s="1769"/>
      <c r="M768" s="1769"/>
      <c r="N768" s="1770"/>
      <c r="O768" s="1776"/>
      <c r="P768" s="1776"/>
      <c r="Q768" s="1776"/>
      <c r="R768" s="1776"/>
      <c r="S768" s="1776"/>
      <c r="T768" s="1777"/>
      <c r="U768" s="1778"/>
      <c r="V768" s="1778"/>
      <c r="W768" s="1779"/>
      <c r="X768" s="1780"/>
      <c r="Y768" s="1781"/>
      <c r="Z768" s="1781"/>
      <c r="AA768" s="1781"/>
      <c r="AB768" s="1782"/>
      <c r="AC768" s="1783">
        <f t="shared" si="32"/>
        <v>0</v>
      </c>
      <c r="AD768" s="1784"/>
      <c r="AE768" s="1784"/>
      <c r="AF768" s="1784"/>
      <c r="AG768" s="178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8"/>
      <c r="K769" s="1769"/>
      <c r="L769" s="1769"/>
      <c r="M769" s="1769"/>
      <c r="N769" s="1770"/>
      <c r="O769" s="1776"/>
      <c r="P769" s="1776"/>
      <c r="Q769" s="1776"/>
      <c r="R769" s="1776"/>
      <c r="S769" s="1776"/>
      <c r="T769" s="1777"/>
      <c r="U769" s="1778"/>
      <c r="V769" s="1778"/>
      <c r="W769" s="1779"/>
      <c r="X769" s="1780"/>
      <c r="Y769" s="1781"/>
      <c r="Z769" s="1781"/>
      <c r="AA769" s="1781"/>
      <c r="AB769" s="1782"/>
      <c r="AC769" s="1783">
        <f t="shared" si="32"/>
        <v>0</v>
      </c>
      <c r="AD769" s="1784"/>
      <c r="AE769" s="1784"/>
      <c r="AF769" s="1784"/>
      <c r="AG769" s="178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8"/>
      <c r="K770" s="1769"/>
      <c r="L770" s="1769"/>
      <c r="M770" s="1769"/>
      <c r="N770" s="1770"/>
      <c r="O770" s="1776"/>
      <c r="P770" s="1776"/>
      <c r="Q770" s="1776"/>
      <c r="R770" s="1776"/>
      <c r="S770" s="1776"/>
      <c r="T770" s="1777"/>
      <c r="U770" s="1778"/>
      <c r="V770" s="1778"/>
      <c r="W770" s="1779"/>
      <c r="X770" s="1780"/>
      <c r="Y770" s="1781"/>
      <c r="Z770" s="1781"/>
      <c r="AA770" s="1781"/>
      <c r="AB770" s="1782"/>
      <c r="AC770" s="1783">
        <f t="shared" si="32"/>
        <v>0</v>
      </c>
      <c r="AD770" s="1784"/>
      <c r="AE770" s="1784"/>
      <c r="AF770" s="1784"/>
      <c r="AG770" s="178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8"/>
      <c r="K771" s="1769"/>
      <c r="L771" s="1769"/>
      <c r="M771" s="1769"/>
      <c r="N771" s="1770"/>
      <c r="O771" s="1776"/>
      <c r="P771" s="1776"/>
      <c r="Q771" s="1776"/>
      <c r="R771" s="1776"/>
      <c r="S771" s="1776"/>
      <c r="T771" s="1777"/>
      <c r="U771" s="1778"/>
      <c r="V771" s="1778"/>
      <c r="W771" s="1779"/>
      <c r="X771" s="1780"/>
      <c r="Y771" s="1781"/>
      <c r="Z771" s="1781"/>
      <c r="AA771" s="1781"/>
      <c r="AB771" s="1782"/>
      <c r="AC771" s="1783">
        <f t="shared" si="32"/>
        <v>0</v>
      </c>
      <c r="AD771" s="1784"/>
      <c r="AE771" s="1784"/>
      <c r="AF771" s="1784"/>
      <c r="AG771" s="178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8"/>
      <c r="K772" s="1769"/>
      <c r="L772" s="1769"/>
      <c r="M772" s="1769"/>
      <c r="N772" s="1770"/>
      <c r="O772" s="1776"/>
      <c r="P772" s="1776"/>
      <c r="Q772" s="1776"/>
      <c r="R772" s="1776"/>
      <c r="S772" s="1776"/>
      <c r="T772" s="1777"/>
      <c r="U772" s="1778"/>
      <c r="V772" s="1778"/>
      <c r="W772" s="1779"/>
      <c r="X772" s="1780"/>
      <c r="Y772" s="1781"/>
      <c r="Z772" s="1781"/>
      <c r="AA772" s="1781"/>
      <c r="AB772" s="1782"/>
      <c r="AC772" s="1783">
        <f t="shared" si="32"/>
        <v>0</v>
      </c>
      <c r="AD772" s="1784"/>
      <c r="AE772" s="1784"/>
      <c r="AF772" s="1784"/>
      <c r="AG772" s="178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68"/>
      <c r="K773" s="1769"/>
      <c r="L773" s="1769"/>
      <c r="M773" s="1769"/>
      <c r="N773" s="1770"/>
      <c r="O773" s="1776"/>
      <c r="P773" s="1776"/>
      <c r="Q773" s="1776"/>
      <c r="R773" s="1776"/>
      <c r="S773" s="1776"/>
      <c r="T773" s="1777"/>
      <c r="U773" s="1778"/>
      <c r="V773" s="1778"/>
      <c r="W773" s="1779"/>
      <c r="X773" s="1780"/>
      <c r="Y773" s="1781"/>
      <c r="Z773" s="1781"/>
      <c r="AA773" s="1781"/>
      <c r="AB773" s="1782"/>
      <c r="AC773" s="1783">
        <f t="shared" si="32"/>
        <v>0</v>
      </c>
      <c r="AD773" s="1784"/>
      <c r="AE773" s="1784"/>
      <c r="AF773" s="1784"/>
      <c r="AG773" s="178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68"/>
      <c r="K774" s="1769"/>
      <c r="L774" s="1769"/>
      <c r="M774" s="1769"/>
      <c r="N774" s="1770"/>
      <c r="O774" s="1776"/>
      <c r="P774" s="1776"/>
      <c r="Q774" s="1776"/>
      <c r="R774" s="1776"/>
      <c r="S774" s="1776"/>
      <c r="T774" s="1777"/>
      <c r="U774" s="1778"/>
      <c r="V774" s="1778"/>
      <c r="W774" s="1779"/>
      <c r="X774" s="1780"/>
      <c r="Y774" s="1781"/>
      <c r="Z774" s="1781"/>
      <c r="AA774" s="1781"/>
      <c r="AB774" s="1782"/>
      <c r="AC774" s="1783">
        <f t="shared" si="32"/>
        <v>0</v>
      </c>
      <c r="AD774" s="1784"/>
      <c r="AE774" s="1784"/>
      <c r="AF774" s="1784"/>
      <c r="AG774" s="178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8"/>
      <c r="K775" s="1769"/>
      <c r="L775" s="1769"/>
      <c r="M775" s="1769"/>
      <c r="N775" s="1770"/>
      <c r="O775" s="1776"/>
      <c r="P775" s="1776"/>
      <c r="Q775" s="1776"/>
      <c r="R775" s="1776"/>
      <c r="S775" s="1776"/>
      <c r="T775" s="1777"/>
      <c r="U775" s="1778"/>
      <c r="V775" s="1778"/>
      <c r="W775" s="1779"/>
      <c r="X775" s="1780"/>
      <c r="Y775" s="1781"/>
      <c r="Z775" s="1781"/>
      <c r="AA775" s="1781"/>
      <c r="AB775" s="1782"/>
      <c r="AC775" s="1783">
        <f t="shared" si="32"/>
        <v>0</v>
      </c>
      <c r="AD775" s="1784"/>
      <c r="AE775" s="1784"/>
      <c r="AF775" s="1784"/>
      <c r="AG775" s="178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7" t="s">
        <v>976</v>
      </c>
      <c r="K776" s="1788"/>
      <c r="L776" s="1788"/>
      <c r="M776" s="1788"/>
      <c r="N776" s="1789"/>
      <c r="O776" s="1859">
        <f>SUM(O766:S775)</f>
        <v>0</v>
      </c>
      <c r="P776" s="1859"/>
      <c r="Q776" s="1859"/>
      <c r="R776" s="1859"/>
      <c r="S776" s="1859"/>
      <c r="X776" s="1449" t="s">
        <v>975</v>
      </c>
      <c r="Y776" s="255"/>
      <c r="Z776" s="255"/>
      <c r="AA776" s="255"/>
      <c r="AB776" s="1450"/>
      <c r="AC776" s="1783">
        <f>SUM(AC766:AG775)</f>
        <v>0</v>
      </c>
      <c r="AD776" s="1784"/>
      <c r="AE776" s="1784"/>
      <c r="AF776" s="1784"/>
      <c r="AG776" s="17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6">
        <f>T731+AC756+AC776</f>
        <v>77030</v>
      </c>
      <c r="Z778" s="1716"/>
      <c r="AA778" s="1716"/>
      <c r="AB778" s="1716"/>
      <c r="AC778" s="171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6">
        <f>(T731+AC756+AC776)*12</f>
        <v>924360</v>
      </c>
      <c r="Z779" s="1716"/>
      <c r="AA779" s="1716"/>
      <c r="AB779" s="1716"/>
      <c r="AC779" s="171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96">
        <v>25</v>
      </c>
      <c r="AA784" s="2090"/>
      <c r="AB784" s="2090"/>
      <c r="AC784" s="2090"/>
      <c r="AD784" s="2090"/>
      <c r="AE784" s="209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89">
        <v>15</v>
      </c>
      <c r="AA785" s="2090"/>
      <c r="AB785" s="2090"/>
      <c r="AC785" s="2090"/>
      <c r="AD785" s="2090"/>
      <c r="AE785" s="209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3">
        <v>49053</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3">
        <f>'Subsidy Contract Calculation'!I30</f>
        <v>194232</v>
      </c>
      <c r="AA787" s="1714"/>
      <c r="AB787" s="1714"/>
      <c r="AC787" s="1714"/>
      <c r="AD787" s="1714"/>
      <c r="AE787" s="171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3">
        <f>15000-48</f>
        <v>14952</v>
      </c>
      <c r="AA791" s="1704"/>
      <c r="AB791" s="1704"/>
      <c r="AC791" s="1704"/>
      <c r="AD791" s="1704"/>
      <c r="AE791" s="170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3"/>
      <c r="AA792" s="1704"/>
      <c r="AB792" s="1704"/>
      <c r="AC792" s="1704"/>
      <c r="AD792" s="1704"/>
      <c r="AE792" s="170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3"/>
      <c r="AA793" s="1704"/>
      <c r="AB793" s="1704"/>
      <c r="AC793" s="1704"/>
      <c r="AD793" s="1704"/>
      <c r="AE793" s="170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7" t="s">
        <v>622</v>
      </c>
      <c r="Q794" s="1718"/>
      <c r="R794" s="1718"/>
      <c r="S794" s="1718"/>
      <c r="T794" s="1718"/>
      <c r="U794" s="1718"/>
      <c r="V794" s="1718"/>
      <c r="W794" s="1718"/>
      <c r="X794" s="1718"/>
      <c r="Y794" s="1719"/>
      <c r="Z794" s="1703"/>
      <c r="AA794" s="1704"/>
      <c r="AB794" s="1704"/>
      <c r="AC794" s="1704"/>
      <c r="AD794" s="1704"/>
      <c r="AE794" s="170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0">
        <f>SUM(Z791:AE794)</f>
        <v>14952</v>
      </c>
      <c r="AA795" s="1711"/>
      <c r="AB795" s="1711"/>
      <c r="AC795" s="1711"/>
      <c r="AD795" s="1711"/>
      <c r="AE795" s="171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0">
        <f>Z795+Y779+Z787</f>
        <v>1133544</v>
      </c>
      <c r="AA796" s="1711"/>
      <c r="AB796" s="1711"/>
      <c r="AC796" s="1711"/>
      <c r="AD796" s="1711"/>
      <c r="AE796" s="171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2" t="s">
        <v>977</v>
      </c>
      <c r="N801" s="2092"/>
      <c r="O801" s="2092"/>
      <c r="P801" s="2093"/>
      <c r="Q801" s="1771" t="s">
        <v>291</v>
      </c>
      <c r="R801" s="1771"/>
      <c r="S801" s="1771"/>
      <c r="T801" s="1771"/>
      <c r="U801" s="1771" t="s">
        <v>292</v>
      </c>
      <c r="V801" s="1771"/>
      <c r="W801" s="1771"/>
      <c r="X801" s="1771"/>
      <c r="Y801" s="1771" t="s">
        <v>293</v>
      </c>
      <c r="Z801" s="1771"/>
      <c r="AA801" s="1771"/>
      <c r="AB801" s="1771"/>
      <c r="AC801" s="1771" t="s">
        <v>36</v>
      </c>
      <c r="AD801" s="1771"/>
      <c r="AE801" s="1771"/>
      <c r="AF801" s="1771"/>
      <c r="AG801" s="2162" t="s">
        <v>623</v>
      </c>
      <c r="AH801" s="2162"/>
      <c r="AI801" s="2162"/>
      <c r="AJ801" s="216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4"/>
      <c r="N802" s="2094"/>
      <c r="O802" s="2094"/>
      <c r="P802" s="2095"/>
      <c r="Q802" s="1771"/>
      <c r="R802" s="1771"/>
      <c r="S802" s="1771"/>
      <c r="T802" s="1771"/>
      <c r="U802" s="1771"/>
      <c r="V802" s="1771"/>
      <c r="W802" s="1771"/>
      <c r="X802" s="1771"/>
      <c r="Y802" s="1771"/>
      <c r="Z802" s="1771"/>
      <c r="AA802" s="1771"/>
      <c r="AB802" s="1771"/>
      <c r="AC802" s="1771"/>
      <c r="AD802" s="1771"/>
      <c r="AE802" s="1771"/>
      <c r="AF802" s="1771"/>
      <c r="AG802" s="2162"/>
      <c r="AH802" s="2162"/>
      <c r="AI802" s="2162"/>
      <c r="AJ802" s="216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6" t="s">
        <v>760</v>
      </c>
      <c r="D803" s="1897"/>
      <c r="E803" s="1897"/>
      <c r="F803" s="1897"/>
      <c r="G803" s="1897"/>
      <c r="H803" s="1897"/>
      <c r="I803" s="94"/>
      <c r="J803" s="94"/>
      <c r="K803" s="94"/>
      <c r="L803" s="95"/>
      <c r="M803" s="1791"/>
      <c r="N803" s="1791"/>
      <c r="O803" s="1791"/>
      <c r="P803" s="1791"/>
      <c r="Q803" s="1791">
        <v>19</v>
      </c>
      <c r="R803" s="1791"/>
      <c r="S803" s="1791"/>
      <c r="T803" s="1791"/>
      <c r="U803" s="1791">
        <v>20</v>
      </c>
      <c r="V803" s="1791"/>
      <c r="W803" s="1791"/>
      <c r="X803" s="1791"/>
      <c r="Y803" s="1791"/>
      <c r="Z803" s="1791"/>
      <c r="AA803" s="1791"/>
      <c r="AB803" s="1791"/>
      <c r="AC803" s="1772"/>
      <c r="AD803" s="1773"/>
      <c r="AE803" s="1773"/>
      <c r="AF803" s="1774"/>
      <c r="AG803" s="1772"/>
      <c r="AH803" s="1773"/>
      <c r="AI803" s="1773"/>
      <c r="AJ803" s="177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8" t="s">
        <v>761</v>
      </c>
      <c r="D804" s="1819"/>
      <c r="E804" s="1819"/>
      <c r="F804" s="1819"/>
      <c r="G804" s="1819"/>
      <c r="H804" s="1819"/>
      <c r="I804" s="91"/>
      <c r="J804" s="91"/>
      <c r="K804" s="91"/>
      <c r="L804" s="92"/>
      <c r="M804" s="1791"/>
      <c r="N804" s="1791"/>
      <c r="O804" s="1791"/>
      <c r="P804" s="1791"/>
      <c r="Q804" s="1791">
        <v>10</v>
      </c>
      <c r="R804" s="1791"/>
      <c r="S804" s="1791"/>
      <c r="T804" s="1791"/>
      <c r="U804" s="1791">
        <v>14</v>
      </c>
      <c r="V804" s="1791"/>
      <c r="W804" s="1791"/>
      <c r="X804" s="1791"/>
      <c r="Y804" s="1791"/>
      <c r="Z804" s="1791"/>
      <c r="AA804" s="1791"/>
      <c r="AB804" s="1791"/>
      <c r="AC804" s="1772"/>
      <c r="AD804" s="1773"/>
      <c r="AE804" s="1773"/>
      <c r="AF804" s="1774"/>
      <c r="AG804" s="1772"/>
      <c r="AH804" s="1773"/>
      <c r="AI804" s="1773"/>
      <c r="AJ804" s="177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8" t="s">
        <v>78</v>
      </c>
      <c r="D805" s="1819"/>
      <c r="E805" s="1819"/>
      <c r="F805" s="1819"/>
      <c r="G805" s="1819"/>
      <c r="H805" s="1819"/>
      <c r="I805" s="110"/>
      <c r="J805" s="110"/>
      <c r="K805" s="110"/>
      <c r="L805" s="111"/>
      <c r="M805" s="1791"/>
      <c r="N805" s="1791"/>
      <c r="O805" s="1791"/>
      <c r="P805" s="1791"/>
      <c r="Q805" s="1791">
        <v>8</v>
      </c>
      <c r="R805" s="1791"/>
      <c r="S805" s="1791"/>
      <c r="T805" s="1791"/>
      <c r="U805" s="1791">
        <v>10</v>
      </c>
      <c r="V805" s="1791"/>
      <c r="W805" s="1791"/>
      <c r="X805" s="1791"/>
      <c r="Y805" s="1791"/>
      <c r="Z805" s="1791"/>
      <c r="AA805" s="1791"/>
      <c r="AB805" s="1791"/>
      <c r="AC805" s="1772"/>
      <c r="AD805" s="1773"/>
      <c r="AE805" s="1773"/>
      <c r="AF805" s="1774"/>
      <c r="AG805" s="1772"/>
      <c r="AH805" s="1773"/>
      <c r="AI805" s="1773"/>
      <c r="AJ805" s="177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8" t="s">
        <v>195</v>
      </c>
      <c r="D806" s="1819"/>
      <c r="E806" s="1819"/>
      <c r="F806" s="1819"/>
      <c r="G806" s="1819"/>
      <c r="H806" s="1819"/>
      <c r="I806" s="110"/>
      <c r="J806" s="110"/>
      <c r="K806" s="110"/>
      <c r="L806" s="111"/>
      <c r="M806" s="1791"/>
      <c r="N806" s="1791"/>
      <c r="O806" s="1791"/>
      <c r="P806" s="1791"/>
      <c r="Q806" s="1791"/>
      <c r="R806" s="1791"/>
      <c r="S806" s="1791"/>
      <c r="T806" s="1791"/>
      <c r="U806" s="1791"/>
      <c r="V806" s="1791"/>
      <c r="W806" s="1791"/>
      <c r="X806" s="1791"/>
      <c r="Y806" s="1791"/>
      <c r="Z806" s="1791"/>
      <c r="AA806" s="1791"/>
      <c r="AB806" s="1791"/>
      <c r="AC806" s="1772"/>
      <c r="AD806" s="1773"/>
      <c r="AE806" s="1773"/>
      <c r="AF806" s="1774"/>
      <c r="AG806" s="1772"/>
      <c r="AH806" s="1773"/>
      <c r="AI806" s="1773"/>
      <c r="AJ806" s="177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8" t="s">
        <v>866</v>
      </c>
      <c r="D807" s="1819"/>
      <c r="E807" s="1819"/>
      <c r="F807" s="1819"/>
      <c r="G807" s="1819"/>
      <c r="H807" s="1819"/>
      <c r="I807" s="110"/>
      <c r="J807" s="110"/>
      <c r="K807" s="110"/>
      <c r="L807" s="111"/>
      <c r="M807" s="1791"/>
      <c r="N807" s="1791"/>
      <c r="O807" s="1791"/>
      <c r="P807" s="1791"/>
      <c r="Q807" s="1791">
        <v>38</v>
      </c>
      <c r="R807" s="1791"/>
      <c r="S807" s="1791"/>
      <c r="T807" s="1791"/>
      <c r="U807" s="1791">
        <v>53</v>
      </c>
      <c r="V807" s="1791"/>
      <c r="W807" s="1791"/>
      <c r="X807" s="1791"/>
      <c r="Y807" s="1791"/>
      <c r="Z807" s="1791"/>
      <c r="AA807" s="1791"/>
      <c r="AB807" s="1791"/>
      <c r="AC807" s="1772"/>
      <c r="AD807" s="1773"/>
      <c r="AE807" s="1773"/>
      <c r="AF807" s="1774"/>
      <c r="AG807" s="1772"/>
      <c r="AH807" s="1773"/>
      <c r="AI807" s="1773"/>
      <c r="AJ807" s="177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8" t="s">
        <v>1047</v>
      </c>
      <c r="D808" s="1819"/>
      <c r="E808" s="1819"/>
      <c r="F808" s="1819"/>
      <c r="G808" s="1819"/>
      <c r="H808" s="1819"/>
      <c r="I808" s="110"/>
      <c r="J808" s="110"/>
      <c r="K808" s="110"/>
      <c r="L808" s="111"/>
      <c r="M808" s="1791"/>
      <c r="N808" s="1791"/>
      <c r="O808" s="1791"/>
      <c r="P808" s="1791"/>
      <c r="Q808" s="1791"/>
      <c r="R808" s="1791"/>
      <c r="S808" s="1791"/>
      <c r="T808" s="1791"/>
      <c r="U808" s="1791"/>
      <c r="V808" s="1791"/>
      <c r="W808" s="1791"/>
      <c r="X808" s="1791"/>
      <c r="Y808" s="1791"/>
      <c r="Z808" s="1791"/>
      <c r="AA808" s="1791"/>
      <c r="AB808" s="1791"/>
      <c r="AC808" s="1772"/>
      <c r="AD808" s="1773"/>
      <c r="AE808" s="1773"/>
      <c r="AF808" s="1774"/>
      <c r="AG808" s="1772"/>
      <c r="AH808" s="1773"/>
      <c r="AI808" s="1773"/>
      <c r="AJ808" s="177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00" t="s">
        <v>622</v>
      </c>
      <c r="G809" s="1701"/>
      <c r="H809" s="1701"/>
      <c r="I809" s="1701"/>
      <c r="J809" s="1701"/>
      <c r="K809" s="1701"/>
      <c r="L809" s="1702"/>
      <c r="M809" s="1791"/>
      <c r="N809" s="1791"/>
      <c r="O809" s="1791"/>
      <c r="P809" s="1791"/>
      <c r="Q809" s="1791"/>
      <c r="R809" s="1791"/>
      <c r="S809" s="1791"/>
      <c r="T809" s="1791"/>
      <c r="U809" s="1791"/>
      <c r="V809" s="1791"/>
      <c r="W809" s="1791"/>
      <c r="X809" s="1791"/>
      <c r="Y809" s="1791"/>
      <c r="Z809" s="1791"/>
      <c r="AA809" s="1791"/>
      <c r="AB809" s="1791"/>
      <c r="AC809" s="1772"/>
      <c r="AD809" s="1773"/>
      <c r="AE809" s="1773"/>
      <c r="AF809" s="1774"/>
      <c r="AG809" s="1772"/>
      <c r="AH809" s="1773"/>
      <c r="AI809" s="1773"/>
      <c r="AJ809" s="177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7" t="s">
        <v>975</v>
      </c>
      <c r="D810" s="1788"/>
      <c r="E810" s="1788"/>
      <c r="F810" s="1788"/>
      <c r="G810" s="1788"/>
      <c r="H810" s="1788"/>
      <c r="I810" s="1788"/>
      <c r="J810" s="1788"/>
      <c r="K810" s="1788"/>
      <c r="L810" s="1789"/>
      <c r="M810" s="1790">
        <f>SUM(M803:P809)</f>
        <v>0</v>
      </c>
      <c r="N810" s="1790"/>
      <c r="O810" s="1790"/>
      <c r="P810" s="1790"/>
      <c r="Q810" s="1790">
        <f>SUM(Q803:T809)</f>
        <v>75</v>
      </c>
      <c r="R810" s="1790"/>
      <c r="S810" s="1790"/>
      <c r="T810" s="1790"/>
      <c r="U810" s="1790">
        <f>SUM(U803:X809)</f>
        <v>97</v>
      </c>
      <c r="V810" s="1790"/>
      <c r="W810" s="1790"/>
      <c r="X810" s="1790"/>
      <c r="Y810" s="1790">
        <f>SUM(Y803:AB809)</f>
        <v>0</v>
      </c>
      <c r="Z810" s="1790"/>
      <c r="AA810" s="1790"/>
      <c r="AB810" s="1790"/>
      <c r="AC810" s="1790">
        <f>SUM(AC803:AF809)</f>
        <v>0</v>
      </c>
      <c r="AD810" s="1790"/>
      <c r="AE810" s="1790"/>
      <c r="AF810" s="1790"/>
      <c r="AG810" s="1790">
        <f>SUM(AG803:AJ809)</f>
        <v>0</v>
      </c>
      <c r="AH810" s="1790"/>
      <c r="AI810" s="1790"/>
      <c r="AJ810" s="179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2" t="s">
        <v>2478</v>
      </c>
      <c r="D815" s="2173"/>
      <c r="E815" s="2173"/>
      <c r="F815" s="2173"/>
      <c r="G815" s="2173"/>
      <c r="H815" s="2173"/>
      <c r="I815" s="2173"/>
      <c r="J815" s="2173"/>
      <c r="K815" s="2173"/>
      <c r="L815" s="2173"/>
      <c r="M815" s="2173"/>
      <c r="N815" s="2173"/>
      <c r="O815" s="2173"/>
      <c r="P815" s="2173"/>
      <c r="Q815" s="2173"/>
      <c r="R815" s="2173"/>
      <c r="S815" s="2173"/>
      <c r="T815" s="2173"/>
      <c r="U815" s="2173"/>
      <c r="V815" s="2173"/>
      <c r="W815" s="2173"/>
      <c r="X815" s="2173"/>
      <c r="Y815" s="2173"/>
      <c r="Z815" s="2173"/>
      <c r="AA815" s="2173"/>
      <c r="AB815" s="2173"/>
      <c r="AC815" s="2173"/>
      <c r="AD815" s="2173"/>
      <c r="AE815" s="2173"/>
      <c r="AF815" s="2173"/>
      <c r="AG815" s="2173"/>
      <c r="AH815" s="2173"/>
      <c r="AI815" s="2173"/>
      <c r="AJ815" s="217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7" t="s">
        <v>412</v>
      </c>
      <c r="BB819" s="1738"/>
      <c r="BC819" s="72"/>
      <c r="BD819" s="72"/>
      <c r="BE819" s="72"/>
      <c r="BF819" s="65" t="s">
        <v>469</v>
      </c>
      <c r="BG819" s="65"/>
      <c r="BH819" s="65"/>
      <c r="BI819" s="65"/>
      <c r="BJ819" s="65"/>
      <c r="BK819" s="65"/>
      <c r="BL819" s="65"/>
      <c r="BM819" s="65"/>
      <c r="BN819" s="65"/>
      <c r="BO819" s="1734" t="str">
        <f>T189</f>
        <v>San Diego</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5">
        <v>4989</v>
      </c>
      <c r="X820" s="1775"/>
      <c r="Y820" s="1775"/>
      <c r="Z820" s="1775"/>
      <c r="AA820" s="1775"/>
      <c r="AB820" s="1775"/>
      <c r="AC820" s="177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5">
        <v>6321</v>
      </c>
      <c r="X821" s="1775"/>
      <c r="Y821" s="1775"/>
      <c r="Z821" s="1775"/>
      <c r="AA821" s="1775"/>
      <c r="AB821" s="1775"/>
      <c r="AC821" s="1775"/>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5">
        <v>12112</v>
      </c>
      <c r="X822" s="1775"/>
      <c r="Y822" s="1775"/>
      <c r="Z822" s="1775"/>
      <c r="AA822" s="1775"/>
      <c r="AB822" s="1775"/>
      <c r="AC822" s="177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5"/>
      <c r="X823" s="1775"/>
      <c r="Y823" s="1775"/>
      <c r="Z823" s="1775"/>
      <c r="AA823" s="1775"/>
      <c r="AB823" s="1775"/>
      <c r="AC823" s="1775"/>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968" t="s">
        <v>2479</v>
      </c>
      <c r="N824" s="1969"/>
      <c r="O824" s="1969"/>
      <c r="P824" s="1969"/>
      <c r="Q824" s="1969"/>
      <c r="R824" s="1969"/>
      <c r="S824" s="1969"/>
      <c r="T824" s="1969"/>
      <c r="U824" s="1969"/>
      <c r="V824" s="1970"/>
      <c r="W824" s="1775">
        <f>9890+2450</f>
        <v>12340</v>
      </c>
      <c r="X824" s="1775"/>
      <c r="Y824" s="1775"/>
      <c r="Z824" s="1775"/>
      <c r="AA824" s="1775"/>
      <c r="AB824" s="1775"/>
      <c r="AC824" s="177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0">
        <f>SUM(W820:AC824)</f>
        <v>35762</v>
      </c>
      <c r="X825" s="1711"/>
      <c r="Y825" s="1711"/>
      <c r="Z825" s="1711"/>
      <c r="AA825" s="1711"/>
      <c r="AB825" s="1711"/>
      <c r="AC825" s="171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7" t="s">
        <v>518</v>
      </c>
      <c r="K827" s="1788"/>
      <c r="L827" s="1788"/>
      <c r="M827" s="1788"/>
      <c r="N827" s="1788"/>
      <c r="O827" s="1788"/>
      <c r="P827" s="1788"/>
      <c r="Q827" s="1788"/>
      <c r="R827" s="1788"/>
      <c r="S827" s="1788"/>
      <c r="T827" s="1788"/>
      <c r="U827" s="1788"/>
      <c r="V827" s="1789"/>
      <c r="W827" s="1703">
        <v>65666</v>
      </c>
      <c r="X827" s="1704"/>
      <c r="Y827" s="1704"/>
      <c r="Z827" s="1704"/>
      <c r="AA827" s="1704"/>
      <c r="AB827" s="1704"/>
      <c r="AC827" s="170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6"/>
      <c r="X829" s="1786"/>
      <c r="Y829" s="1786"/>
      <c r="Z829" s="1786"/>
      <c r="AA829" s="1786"/>
      <c r="AB829" s="1786"/>
      <c r="AC829" s="178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6">
        <v>20391</v>
      </c>
      <c r="X830" s="1786"/>
      <c r="Y830" s="1786"/>
      <c r="Z830" s="1786"/>
      <c r="AA830" s="1786"/>
      <c r="AB830" s="1786"/>
      <c r="AC830" s="178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6">
        <v>25672</v>
      </c>
      <c r="X831" s="1786"/>
      <c r="Y831" s="1786"/>
      <c r="Z831" s="1786"/>
      <c r="AA831" s="1786"/>
      <c r="AB831" s="1786"/>
      <c r="AC831" s="178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6">
        <v>26199</v>
      </c>
      <c r="X832" s="1786"/>
      <c r="Y832" s="1786"/>
      <c r="Z832" s="1786"/>
      <c r="AA832" s="1786"/>
      <c r="AB832" s="1786"/>
      <c r="AC832" s="178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1">
        <f>SUM(W829:AC832)</f>
        <v>72262</v>
      </c>
      <c r="X833" s="2161"/>
      <c r="Y833" s="2161"/>
      <c r="Z833" s="2161"/>
      <c r="AA833" s="2161"/>
      <c r="AB833" s="2161"/>
      <c r="AC833" s="2161"/>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3">
        <v>80000</v>
      </c>
      <c r="X835" s="1864"/>
      <c r="Y835" s="1864"/>
      <c r="Z835" s="1864"/>
      <c r="AA835" s="1864"/>
      <c r="AB835" s="1864"/>
      <c r="AC835" s="186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6">
        <v>4</v>
      </c>
      <c r="U836" s="2167"/>
      <c r="V836" s="2168"/>
      <c r="W836" s="1368"/>
      <c r="X836" s="1369"/>
      <c r="Y836" s="1369"/>
      <c r="Z836" s="1369"/>
      <c r="AA836" s="1369"/>
      <c r="AB836" s="1369"/>
      <c r="AC836" s="1370"/>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3">
        <v>100110</v>
      </c>
      <c r="X837" s="1864"/>
      <c r="Y837" s="1864"/>
      <c r="Z837" s="1864"/>
      <c r="AA837" s="1864"/>
      <c r="AB837" s="1864"/>
      <c r="AC837" s="186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6"/>
      <c r="U838" s="2167"/>
      <c r="V838" s="2168"/>
      <c r="W838" s="1368"/>
      <c r="X838" s="1369"/>
      <c r="Y838" s="1369"/>
      <c r="Z838" s="1369"/>
      <c r="AA838" s="1369"/>
      <c r="AB838" s="1369"/>
      <c r="AC838" s="1370"/>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968" t="s">
        <v>951</v>
      </c>
      <c r="N839" s="1701"/>
      <c r="O839" s="1701"/>
      <c r="P839" s="1701"/>
      <c r="Q839" s="1701"/>
      <c r="R839" s="1701"/>
      <c r="S839" s="1701"/>
      <c r="T839" s="1701"/>
      <c r="U839" s="1701"/>
      <c r="V839" s="1702"/>
      <c r="W839" s="1863">
        <v>30000</v>
      </c>
      <c r="X839" s="1864"/>
      <c r="Y839" s="1864"/>
      <c r="Z839" s="1864"/>
      <c r="AA839" s="1864"/>
      <c r="AB839" s="1864"/>
      <c r="AC839" s="186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0">
        <f>SUM(W835:AC839)</f>
        <v>210110</v>
      </c>
      <c r="X840" s="1861"/>
      <c r="Y840" s="1861"/>
      <c r="Z840" s="1861"/>
      <c r="AA840" s="1861"/>
      <c r="AB840" s="1861"/>
      <c r="AC840" s="186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3">
        <v>38223</v>
      </c>
      <c r="X841" s="1864"/>
      <c r="Y841" s="1864"/>
      <c r="Z841" s="1864"/>
      <c r="AA841" s="1864"/>
      <c r="AB841" s="1864"/>
      <c r="AC841" s="186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5">
        <v>4980</v>
      </c>
      <c r="X843" s="1775"/>
      <c r="Y843" s="1775"/>
      <c r="Z843" s="1775"/>
      <c r="AA843" s="1775"/>
      <c r="AB843" s="1775"/>
      <c r="AC843" s="177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5">
        <v>37370</v>
      </c>
      <c r="X844" s="1775"/>
      <c r="Y844" s="1775"/>
      <c r="Z844" s="1775"/>
      <c r="AA844" s="1775"/>
      <c r="AB844" s="1775"/>
      <c r="AC844" s="177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5">
        <v>13432</v>
      </c>
      <c r="X845" s="1775"/>
      <c r="Y845" s="1775"/>
      <c r="Z845" s="1775"/>
      <c r="AA845" s="1775"/>
      <c r="AB845" s="1775"/>
      <c r="AC845" s="177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5">
        <v>9250</v>
      </c>
      <c r="X846" s="1775"/>
      <c r="Y846" s="1775"/>
      <c r="Z846" s="1775"/>
      <c r="AA846" s="1775"/>
      <c r="AB846" s="1775"/>
      <c r="AC846" s="177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5">
        <v>19580</v>
      </c>
      <c r="X847" s="1775"/>
      <c r="Y847" s="1775"/>
      <c r="Z847" s="1775"/>
      <c r="AA847" s="1775"/>
      <c r="AB847" s="1775"/>
      <c r="AC847" s="177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5">
        <v>8175</v>
      </c>
      <c r="X848" s="1775"/>
      <c r="Y848" s="1775"/>
      <c r="Z848" s="1775"/>
      <c r="AA848" s="1775"/>
      <c r="AB848" s="1775"/>
      <c r="AC848" s="1775"/>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0" t="s">
        <v>622</v>
      </c>
      <c r="N849" s="1701"/>
      <c r="O849" s="1701"/>
      <c r="P849" s="1701"/>
      <c r="Q849" s="1701"/>
      <c r="R849" s="1701"/>
      <c r="S849" s="1701"/>
      <c r="T849" s="1701"/>
      <c r="U849" s="1701"/>
      <c r="V849" s="1702"/>
      <c r="W849" s="1775"/>
      <c r="X849" s="1775"/>
      <c r="Y849" s="1775"/>
      <c r="Z849" s="1775"/>
      <c r="AA849" s="1775"/>
      <c r="AB849" s="1775"/>
      <c r="AC849" s="1775"/>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6">
        <f>SUM(W843:AC849)</f>
        <v>92787</v>
      </c>
      <c r="X850" s="1716"/>
      <c r="Y850" s="1716"/>
      <c r="Z850" s="1716"/>
      <c r="AA850" s="1716"/>
      <c r="AB850" s="1716"/>
      <c r="AC850" s="1716"/>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311</v>
      </c>
      <c r="K852" s="91"/>
      <c r="L852" s="91"/>
      <c r="M852" s="1700" t="s">
        <v>622</v>
      </c>
      <c r="N852" s="1701"/>
      <c r="O852" s="1701"/>
      <c r="P852" s="1701"/>
      <c r="Q852" s="1701"/>
      <c r="R852" s="1701"/>
      <c r="S852" s="1701"/>
      <c r="T852" s="1701"/>
      <c r="U852" s="1701"/>
      <c r="V852" s="1702"/>
      <c r="W852" s="1703"/>
      <c r="X852" s="1704"/>
      <c r="Y852" s="1704"/>
      <c r="Z852" s="1704"/>
      <c r="AA852" s="1704"/>
      <c r="AB852" s="1704"/>
      <c r="AC852" s="1705"/>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00" t="s">
        <v>622</v>
      </c>
      <c r="N853" s="1701"/>
      <c r="O853" s="1701"/>
      <c r="P853" s="1701"/>
      <c r="Q853" s="1701"/>
      <c r="R853" s="1701"/>
      <c r="S853" s="1701"/>
      <c r="T853" s="1701"/>
      <c r="U853" s="1701"/>
      <c r="V853" s="1702"/>
      <c r="W853" s="1703"/>
      <c r="X853" s="1704"/>
      <c r="Y853" s="1704"/>
      <c r="Z853" s="1704"/>
      <c r="AA853" s="1704"/>
      <c r="AB853" s="1704"/>
      <c r="AC853" s="1705"/>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0" t="s">
        <v>622</v>
      </c>
      <c r="N854" s="1701"/>
      <c r="O854" s="1701"/>
      <c r="P854" s="1701"/>
      <c r="Q854" s="1701"/>
      <c r="R854" s="1701"/>
      <c r="S854" s="1701"/>
      <c r="T854" s="1701"/>
      <c r="U854" s="1701"/>
      <c r="V854" s="1702"/>
      <c r="W854" s="1703"/>
      <c r="X854" s="1704"/>
      <c r="Y854" s="1704"/>
      <c r="Z854" s="1704"/>
      <c r="AA854" s="1704"/>
      <c r="AB854" s="1704"/>
      <c r="AC854" s="170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0" t="s">
        <v>622</v>
      </c>
      <c r="N855" s="1701"/>
      <c r="O855" s="1701"/>
      <c r="P855" s="1701"/>
      <c r="Q855" s="1701"/>
      <c r="R855" s="1701"/>
      <c r="S855" s="1701"/>
      <c r="T855" s="1701"/>
      <c r="U855" s="1701"/>
      <c r="V855" s="1702"/>
      <c r="W855" s="1703"/>
      <c r="X855" s="1704"/>
      <c r="Y855" s="1704"/>
      <c r="Z855" s="1704"/>
      <c r="AA855" s="1704"/>
      <c r="AB855" s="1704"/>
      <c r="AC855" s="170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0" t="s">
        <v>622</v>
      </c>
      <c r="N856" s="1701"/>
      <c r="O856" s="1701"/>
      <c r="P856" s="1701"/>
      <c r="Q856" s="1701"/>
      <c r="R856" s="1701"/>
      <c r="S856" s="1701"/>
      <c r="T856" s="1701"/>
      <c r="U856" s="1701"/>
      <c r="V856" s="1702"/>
      <c r="W856" s="1703"/>
      <c r="X856" s="1704"/>
      <c r="Y856" s="1704"/>
      <c r="Z856" s="1704"/>
      <c r="AA856" s="1704"/>
      <c r="AB856" s="1704"/>
      <c r="AC856" s="170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0">
        <f>SUM(W852:AC856)</f>
        <v>0</v>
      </c>
      <c r="X857" s="1711"/>
      <c r="Y857" s="1711"/>
      <c r="Z857" s="1711"/>
      <c r="AA857" s="1711"/>
      <c r="AB857" s="1711"/>
      <c r="AC857" s="171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0">
        <f>W825+W833+W840+W841+W850+W857+W827</f>
        <v>514810</v>
      </c>
      <c r="AD861" s="1711"/>
      <c r="AE861" s="1711"/>
      <c r="AF861" s="1711"/>
      <c r="AG861" s="1711"/>
      <c r="AH861" s="1712"/>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69">
        <f>O776+O756+G731</f>
        <v>101</v>
      </c>
      <c r="AD862" s="2170"/>
      <c r="AE862" s="2170"/>
      <c r="AF862" s="2170"/>
      <c r="AG862" s="2170"/>
      <c r="AH862" s="2171"/>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1" t="s">
        <v>385</v>
      </c>
      <c r="F863" s="1832"/>
      <c r="G863" s="1832"/>
      <c r="H863" s="1832"/>
      <c r="I863" s="1832"/>
      <c r="J863" s="1832"/>
      <c r="K863" s="1832"/>
      <c r="L863" s="1832"/>
      <c r="M863" s="1832"/>
      <c r="N863" s="1832"/>
      <c r="O863" s="1832"/>
      <c r="P863" s="1832"/>
      <c r="Q863" s="1832"/>
      <c r="R863" s="1832"/>
      <c r="S863" s="1832"/>
      <c r="T863" s="1832"/>
      <c r="U863" s="1832"/>
      <c r="V863" s="1832"/>
      <c r="W863" s="1832"/>
      <c r="X863" s="1832"/>
      <c r="Y863" s="1832"/>
      <c r="Z863" s="1832"/>
      <c r="AA863" s="1832"/>
      <c r="AB863" s="1833"/>
      <c r="AC863" s="2164">
        <f>IF(ISERROR((ROUNDDOWN(AC861/AC862,0))),0,(ROUNDDOWN(AC861/AC862,0)))</f>
        <v>5097</v>
      </c>
      <c r="AD863" s="2165"/>
      <c r="AE863" s="2165"/>
      <c r="AF863" s="2165"/>
      <c r="AG863" s="2165"/>
      <c r="AH863" s="2165"/>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39" t="s">
        <v>706</v>
      </c>
      <c r="AC864" s="1733">
        <f>'Sources and Uses Budget'!C74</f>
        <v>514772</v>
      </c>
      <c r="AD864" s="2176"/>
      <c r="AE864" s="2176"/>
      <c r="AF864" s="2176"/>
      <c r="AG864" s="2176"/>
      <c r="AH864" s="2176"/>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3"/>
      <c r="AD865" s="1704"/>
      <c r="AE865" s="1704"/>
      <c r="AF865" s="1704"/>
      <c r="AG865" s="1704"/>
      <c r="AH865" s="1705"/>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3">
        <f>109850+20175</f>
        <v>130025</v>
      </c>
      <c r="AD866" s="1704"/>
      <c r="AE866" s="1704"/>
      <c r="AF866" s="1704"/>
      <c r="AG866" s="1704"/>
      <c r="AH866" s="1705"/>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3">
        <v>50500</v>
      </c>
      <c r="AD867" s="1704"/>
      <c r="AE867" s="1704"/>
      <c r="AF867" s="1704"/>
      <c r="AG867" s="1704"/>
      <c r="AH867" s="1705"/>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67" t="s">
        <v>2216</v>
      </c>
      <c r="AC868" s="1703">
        <f>15000</f>
        <v>15000</v>
      </c>
      <c r="AD868" s="1704"/>
      <c r="AE868" s="1704"/>
      <c r="AF868" s="1704"/>
      <c r="AG868" s="1704"/>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67" t="s">
        <v>774</v>
      </c>
      <c r="AC869" s="1703">
        <v>5050</v>
      </c>
      <c r="AD869" s="1704"/>
      <c r="AE869" s="1704"/>
      <c r="AF869" s="1704"/>
      <c r="AG869" s="1704"/>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67" t="s">
        <v>2215</v>
      </c>
      <c r="AC870" s="1704"/>
      <c r="AD870" s="1704"/>
      <c r="AE870" s="1704"/>
      <c r="AF870" s="1704"/>
      <c r="AG870" s="1704"/>
      <c r="AH870" s="1705"/>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86" t="s">
        <v>2529</v>
      </c>
      <c r="F871" s="2087"/>
      <c r="G871" s="2087"/>
      <c r="H871" s="2087"/>
      <c r="I871" s="2087"/>
      <c r="J871" s="2087"/>
      <c r="K871" s="2087"/>
      <c r="L871" s="2087"/>
      <c r="M871" s="2087"/>
      <c r="N871" s="2087"/>
      <c r="O871" s="2087"/>
      <c r="P871" s="2087"/>
      <c r="Q871" s="2087"/>
      <c r="R871" s="2087"/>
      <c r="S871" s="2087"/>
      <c r="T871" s="2087"/>
      <c r="U871" s="2087"/>
      <c r="V871" s="2087"/>
      <c r="W871" s="2087"/>
      <c r="X871" s="2087"/>
      <c r="Y871" s="2087"/>
      <c r="Z871" s="2087"/>
      <c r="AA871" s="2087"/>
      <c r="AB871" s="2088"/>
      <c r="AC871" s="1775">
        <f>6800+5000</f>
        <v>11800</v>
      </c>
      <c r="AD871" s="1775"/>
      <c r="AE871" s="1775"/>
      <c r="AF871" s="1775"/>
      <c r="AG871" s="1775"/>
      <c r="AH871" s="1775"/>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6" t="s">
        <v>2528</v>
      </c>
      <c r="F872" s="2087"/>
      <c r="G872" s="2087"/>
      <c r="H872" s="2087"/>
      <c r="I872" s="2087"/>
      <c r="J872" s="2087"/>
      <c r="K872" s="2087"/>
      <c r="L872" s="2087"/>
      <c r="M872" s="2087"/>
      <c r="N872" s="2087"/>
      <c r="O872" s="2087"/>
      <c r="P872" s="2087"/>
      <c r="Q872" s="2087"/>
      <c r="R872" s="2087"/>
      <c r="S872" s="2087"/>
      <c r="T872" s="2087"/>
      <c r="U872" s="2087"/>
      <c r="V872" s="2087"/>
      <c r="W872" s="2087"/>
      <c r="X872" s="2087"/>
      <c r="Y872" s="2087"/>
      <c r="Z872" s="2087"/>
      <c r="AA872" s="2087"/>
      <c r="AB872" s="2088"/>
      <c r="AC872" s="1775">
        <v>1569</v>
      </c>
      <c r="AD872" s="1775"/>
      <c r="AE872" s="1775"/>
      <c r="AF872" s="1775"/>
      <c r="AG872" s="1775"/>
      <c r="AH872" s="1775"/>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5"/>
      <c r="AD873" s="2175"/>
      <c r="AE873" s="2175"/>
      <c r="AF873" s="2175"/>
      <c r="AG873" s="2175"/>
      <c r="AH873" s="2175"/>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5"/>
      <c r="AO874" s="1835"/>
      <c r="AP874" s="1823"/>
      <c r="AQ874" s="1823"/>
      <c r="AR874" s="1823"/>
      <c r="AS874" s="1823"/>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3"/>
      <c r="AQ875" s="1823"/>
      <c r="AR875" s="1823"/>
      <c r="AS875" s="1823"/>
      <c r="AV875" s="1823"/>
      <c r="AW875" s="1823"/>
      <c r="AX875" s="1823"/>
      <c r="AY875" s="1823"/>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3"/>
      <c r="AA876" s="1704"/>
      <c r="AB876" s="1704"/>
      <c r="AC876" s="1704"/>
      <c r="AD876" s="1704"/>
      <c r="AE876" s="170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3"/>
      <c r="AA877" s="1704"/>
      <c r="AB877" s="1704"/>
      <c r="AC877" s="1704"/>
      <c r="AD877" s="1704"/>
      <c r="AE877" s="170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3"/>
      <c r="AA878" s="1704"/>
      <c r="AB878" s="1704"/>
      <c r="AC878" s="1704"/>
      <c r="AD878" s="1704"/>
      <c r="AE878" s="170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0">
        <f>Z876-(Z877+Z878)</f>
        <v>0</v>
      </c>
      <c r="AA879" s="1711"/>
      <c r="AB879" s="1711"/>
      <c r="AC879" s="1711"/>
      <c r="AD879" s="1711"/>
      <c r="AE879" s="171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6" t="s">
        <v>140</v>
      </c>
      <c r="B886" s="1706"/>
      <c r="C886" s="1706"/>
      <c r="D886" s="1706"/>
      <c r="E886" s="1706"/>
      <c r="F886" s="1706"/>
      <c r="G886" s="1706"/>
      <c r="H886" s="1706"/>
      <c r="I886" s="1706"/>
      <c r="J886" s="1706"/>
      <c r="K886" s="1706"/>
      <c r="L886" s="1706"/>
      <c r="M886" s="1706"/>
      <c r="N886" s="1706"/>
      <c r="O886" s="1706"/>
      <c r="P886" s="1706"/>
      <c r="Q886" s="1706"/>
      <c r="R886" s="1706"/>
      <c r="S886" s="1706"/>
      <c r="T886" s="1706"/>
      <c r="U886" s="1706"/>
      <c r="V886" s="1706"/>
      <c r="W886" s="1706"/>
      <c r="X886" s="1706"/>
      <c r="Y886" s="1706"/>
      <c r="Z886" s="1706"/>
      <c r="AA886" s="1706"/>
      <c r="AB886" s="1706"/>
      <c r="AC886" s="1706"/>
      <c r="AD886" s="1706"/>
      <c r="AE886" s="1706"/>
      <c r="AF886" s="1706"/>
      <c r="AG886" s="1706"/>
      <c r="AH886" s="1706"/>
      <c r="AI886" s="1706"/>
      <c r="AJ886" s="1706"/>
      <c r="AK886" s="1706"/>
      <c r="AL886" s="170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6"/>
      <c r="B887" s="1706"/>
      <c r="C887" s="1706"/>
      <c r="D887" s="1706"/>
      <c r="E887" s="1706"/>
      <c r="F887" s="1706"/>
      <c r="G887" s="1706"/>
      <c r="H887" s="1706"/>
      <c r="I887" s="1706"/>
      <c r="J887" s="1706"/>
      <c r="K887" s="1706"/>
      <c r="L887" s="1706"/>
      <c r="M887" s="1706"/>
      <c r="N887" s="1706"/>
      <c r="O887" s="1706"/>
      <c r="P887" s="1706"/>
      <c r="Q887" s="1706"/>
      <c r="R887" s="1706"/>
      <c r="S887" s="1706"/>
      <c r="T887" s="1706"/>
      <c r="U887" s="1706"/>
      <c r="V887" s="1706"/>
      <c r="W887" s="1706"/>
      <c r="X887" s="1706"/>
      <c r="Y887" s="1706"/>
      <c r="Z887" s="1706"/>
      <c r="AA887" s="1706"/>
      <c r="AB887" s="1706"/>
      <c r="AC887" s="1706"/>
      <c r="AD887" s="1706"/>
      <c r="AE887" s="1706"/>
      <c r="AF887" s="1706"/>
      <c r="AG887" s="1706"/>
      <c r="AH887" s="1706"/>
      <c r="AI887" s="1706"/>
      <c r="AJ887" s="1706"/>
      <c r="AK887" s="1706"/>
      <c r="AL887" s="170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7" t="s">
        <v>1065</v>
      </c>
      <c r="G891" s="2178"/>
      <c r="H891" s="2178"/>
      <c r="I891" s="2178"/>
      <c r="J891" s="2178"/>
      <c r="K891" s="2178"/>
      <c r="L891" s="2178"/>
      <c r="M891" s="2178"/>
      <c r="N891" s="2178"/>
      <c r="O891" s="2178"/>
      <c r="P891" s="2178"/>
      <c r="Q891" s="2178"/>
      <c r="R891" s="2178"/>
      <c r="S891" s="2178"/>
      <c r="T891" s="2179"/>
      <c r="U891" s="1825" t="s">
        <v>384</v>
      </c>
      <c r="V891" s="1826"/>
      <c r="W891" s="1826"/>
      <c r="X891" s="1826"/>
      <c r="Y891" s="1826"/>
      <c r="Z891" s="182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7" t="s">
        <v>1155</v>
      </c>
      <c r="G892" s="1828"/>
      <c r="H892" s="1828"/>
      <c r="I892" s="1828"/>
      <c r="J892" s="1828"/>
      <c r="K892" s="1828"/>
      <c r="L892" s="1828"/>
      <c r="M892" s="1828"/>
      <c r="N892" s="1828"/>
      <c r="O892" s="1828"/>
      <c r="P892" s="1828"/>
      <c r="Q892" s="1828"/>
      <c r="R892" s="1828"/>
      <c r="S892" s="1828"/>
      <c r="T892" s="2180"/>
      <c r="U892" s="1827"/>
      <c r="V892" s="1828"/>
      <c r="W892" s="1828"/>
      <c r="X892" s="1828"/>
      <c r="Y892" s="1828"/>
      <c r="Z892" s="182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9"/>
      <c r="G893" s="1830"/>
      <c r="H893" s="1830"/>
      <c r="I893" s="1830"/>
      <c r="J893" s="1830"/>
      <c r="K893" s="1830"/>
      <c r="L893" s="1830"/>
      <c r="M893" s="1830"/>
      <c r="N893" s="1830"/>
      <c r="O893" s="1830"/>
      <c r="P893" s="1830"/>
      <c r="Q893" s="1830"/>
      <c r="R893" s="1830"/>
      <c r="S893" s="1830"/>
      <c r="T893" s="2181"/>
      <c r="U893" s="1829"/>
      <c r="V893" s="1830"/>
      <c r="W893" s="1830"/>
      <c r="X893" s="1830"/>
      <c r="Y893" s="1830"/>
      <c r="Z893" s="1830"/>
      <c r="AA893" s="310"/>
      <c r="AB893" s="2182" t="s">
        <v>61</v>
      </c>
      <c r="AC893" s="2182"/>
      <c r="AD893" s="2182"/>
      <c r="AE893" s="218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2" t="s">
        <v>136</v>
      </c>
      <c r="V894" s="1723"/>
      <c r="W894" s="1723"/>
      <c r="X894" s="1723"/>
      <c r="Y894" s="1723"/>
      <c r="Z894" s="1724"/>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2" t="s">
        <v>136</v>
      </c>
      <c r="V895" s="1723"/>
      <c r="W895" s="1723"/>
      <c r="X895" s="1723"/>
      <c r="Y895" s="1723"/>
      <c r="Z895" s="1724"/>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2" t="s">
        <v>136</v>
      </c>
      <c r="V896" s="1723"/>
      <c r="W896" s="1723"/>
      <c r="X896" s="1723"/>
      <c r="Y896" s="1723"/>
      <c r="Z896" s="1724"/>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2" t="s">
        <v>136</v>
      </c>
      <c r="V897" s="1723"/>
      <c r="W897" s="1723"/>
      <c r="X897" s="1723"/>
      <c r="Y897" s="1723"/>
      <c r="Z897" s="1724"/>
      <c r="AA897" s="1731"/>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2" t="s">
        <v>136</v>
      </c>
      <c r="V898" s="1723"/>
      <c r="W898" s="1723"/>
      <c r="X898" s="1723"/>
      <c r="Y898" s="1723"/>
      <c r="Z898" s="1724"/>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2" t="s">
        <v>136</v>
      </c>
      <c r="V899" s="1723"/>
      <c r="W899" s="1723"/>
      <c r="X899" s="1723"/>
      <c r="Y899" s="1723"/>
      <c r="Z899" s="1724"/>
      <c r="AA899" s="1731"/>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2" t="s">
        <v>136</v>
      </c>
      <c r="V900" s="1723"/>
      <c r="W900" s="1723"/>
      <c r="X900" s="1723"/>
      <c r="Y900" s="1723"/>
      <c r="Z900" s="1724"/>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2" t="s">
        <v>136</v>
      </c>
      <c r="V901" s="1723"/>
      <c r="W901" s="1723"/>
      <c r="X901" s="1723"/>
      <c r="Y901" s="1723"/>
      <c r="Z901" s="1724"/>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2" t="s">
        <v>136</v>
      </c>
      <c r="V902" s="1723"/>
      <c r="W902" s="1723"/>
      <c r="X902" s="1723"/>
      <c r="Y902" s="1723"/>
      <c r="Z902" s="1724"/>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2" t="s">
        <v>136</v>
      </c>
      <c r="V903" s="1723"/>
      <c r="W903" s="1723"/>
      <c r="X903" s="1723"/>
      <c r="Y903" s="1723"/>
      <c r="Z903" s="1724"/>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768" t="s">
        <v>119</v>
      </c>
      <c r="V904" s="1769"/>
      <c r="W904" s="1769"/>
      <c r="X904" s="1769"/>
      <c r="Y904" s="1769"/>
      <c r="Z904" s="1770"/>
      <c r="AA904" s="1762">
        <v>20000000</v>
      </c>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2" t="s">
        <v>136</v>
      </c>
      <c r="V905" s="1723"/>
      <c r="W905" s="1723"/>
      <c r="X905" s="1723"/>
      <c r="Y905" s="1723"/>
      <c r="Z905" s="1724"/>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2" t="s">
        <v>136</v>
      </c>
      <c r="V906" s="1723"/>
      <c r="W906" s="1723"/>
      <c r="X906" s="1723"/>
      <c r="Y906" s="1723"/>
      <c r="Z906" s="1724"/>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2" t="s">
        <v>136</v>
      </c>
      <c r="V907" s="1723"/>
      <c r="W907" s="1723"/>
      <c r="X907" s="1723"/>
      <c r="Y907" s="1723"/>
      <c r="Z907" s="1724"/>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68" t="s">
        <v>531</v>
      </c>
      <c r="Q908" s="1723"/>
      <c r="R908" s="1723"/>
      <c r="S908" s="1723"/>
      <c r="T908" s="1724"/>
      <c r="U908" s="1722" t="s">
        <v>136</v>
      </c>
      <c r="V908" s="1723"/>
      <c r="W908" s="1723"/>
      <c r="X908" s="1723"/>
      <c r="Y908" s="1723"/>
      <c r="Z908" s="1724"/>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7" t="s">
        <v>622</v>
      </c>
      <c r="J909" s="1718"/>
      <c r="K909" s="1718"/>
      <c r="L909" s="1718"/>
      <c r="M909" s="1718"/>
      <c r="N909" s="1718"/>
      <c r="O909" s="1718"/>
      <c r="P909" s="1718"/>
      <c r="Q909" s="1718"/>
      <c r="R909" s="1718"/>
      <c r="S909" s="1718"/>
      <c r="T909" s="1719"/>
      <c r="U909" s="1722" t="s">
        <v>136</v>
      </c>
      <c r="V909" s="1723"/>
      <c r="W909" s="1723"/>
      <c r="X909" s="1723"/>
      <c r="Y909" s="1723"/>
      <c r="Z909" s="1724"/>
      <c r="AA909" s="1731"/>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834" t="s">
        <v>2480</v>
      </c>
      <c r="J910" s="1718"/>
      <c r="K910" s="1718"/>
      <c r="L910" s="1718"/>
      <c r="M910" s="1718"/>
      <c r="N910" s="1718"/>
      <c r="O910" s="1718"/>
      <c r="P910" s="1718"/>
      <c r="Q910" s="1718"/>
      <c r="R910" s="1718"/>
      <c r="S910" s="1718"/>
      <c r="T910" s="1719"/>
      <c r="U910" s="1722" t="s">
        <v>119</v>
      </c>
      <c r="V910" s="1723"/>
      <c r="W910" s="1723"/>
      <c r="X910" s="1723"/>
      <c r="Y910" s="1723"/>
      <c r="Z910" s="1724"/>
      <c r="AA910" s="1731">
        <v>4400000</v>
      </c>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7" t="s">
        <v>622</v>
      </c>
      <c r="J911" s="1718"/>
      <c r="K911" s="1718"/>
      <c r="L911" s="1718"/>
      <c r="M911" s="1718"/>
      <c r="N911" s="1718"/>
      <c r="O911" s="1718"/>
      <c r="P911" s="1718"/>
      <c r="Q911" s="1718"/>
      <c r="R911" s="1718"/>
      <c r="S911" s="1718"/>
      <c r="T911" s="1719"/>
      <c r="U911" s="1722" t="s">
        <v>136</v>
      </c>
      <c r="V911" s="1723"/>
      <c r="W911" s="1723"/>
      <c r="X911" s="1723"/>
      <c r="Y911" s="1723"/>
      <c r="Z911" s="1724"/>
      <c r="AA911" s="1731"/>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7" t="s">
        <v>622</v>
      </c>
      <c r="J912" s="1718"/>
      <c r="K912" s="1718"/>
      <c r="L912" s="1718"/>
      <c r="M912" s="1718"/>
      <c r="N912" s="1718"/>
      <c r="O912" s="1718"/>
      <c r="P912" s="1718"/>
      <c r="Q912" s="1718"/>
      <c r="R912" s="1718"/>
      <c r="S912" s="1718"/>
      <c r="T912" s="1719"/>
      <c r="U912" s="1722" t="s">
        <v>136</v>
      </c>
      <c r="V912" s="1723"/>
      <c r="W912" s="1723"/>
      <c r="X912" s="1723"/>
      <c r="Y912" s="1723"/>
      <c r="Z912" s="1724"/>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56">
        <v>43574</v>
      </c>
      <c r="M917" s="1867"/>
      <c r="N917" s="1867"/>
      <c r="O917" s="1867"/>
      <c r="P917" s="1867"/>
      <c r="Q917" s="1867"/>
      <c r="R917" s="1867"/>
      <c r="S917" s="1893"/>
      <c r="U917" s="117" t="s">
        <v>909</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06" t="s">
        <v>2480</v>
      </c>
      <c r="M918" s="1867"/>
      <c r="N918" s="1867"/>
      <c r="O918" s="1867"/>
      <c r="P918" s="1867"/>
      <c r="Q918" s="1867"/>
      <c r="R918" s="1867"/>
      <c r="S918" s="1893"/>
      <c r="U918" s="117" t="s">
        <v>910</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03" t="s">
        <v>2481</v>
      </c>
      <c r="M919" s="1904"/>
      <c r="N919" s="1904"/>
      <c r="O919" s="1904"/>
      <c r="P919" s="1904"/>
      <c r="Q919" s="1904"/>
      <c r="R919" s="1904"/>
      <c r="S919" s="1905"/>
      <c r="U919" s="117" t="s">
        <v>1227</v>
      </c>
      <c r="V919" s="91"/>
      <c r="W919" s="91"/>
      <c r="AE919" s="1725" t="s">
        <v>86</v>
      </c>
      <c r="AF919" s="1726"/>
      <c r="AG919" s="1726"/>
      <c r="AH919" s="1726"/>
      <c r="AI919" s="1726"/>
      <c r="AJ919" s="1726"/>
      <c r="AK919" s="1727"/>
      <c r="AL919" s="119"/>
      <c r="AM919" s="75"/>
      <c r="AN919" s="75"/>
      <c r="AO919" s="75"/>
      <c r="AP919" s="75"/>
      <c r="AQ919" s="75"/>
      <c r="AR919" s="75"/>
      <c r="AS919" s="75"/>
      <c r="AT919" s="75"/>
      <c r="AU919" s="75"/>
      <c r="AV919" s="75"/>
      <c r="AW919" s="66" t="s">
        <v>649</v>
      </c>
      <c r="AX919" s="319">
        <v>20</v>
      </c>
      <c r="AY919" s="1824">
        <f>IF(AD955&gt;0,0.2,0)</f>
        <v>0</v>
      </c>
      <c r="AZ919" s="182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3">
        <v>0.25</v>
      </c>
      <c r="M920" s="1754"/>
      <c r="N920" s="1754"/>
      <c r="O920" s="1754"/>
      <c r="P920" s="1754"/>
      <c r="Q920" s="1754"/>
      <c r="R920" s="1754"/>
      <c r="S920" s="1755"/>
      <c r="U920" s="117" t="s">
        <v>911</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824">
        <f>IF(AD958&gt;0,0.05,0)</f>
        <v>0</v>
      </c>
      <c r="AZ920" s="182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07">
        <v>25</v>
      </c>
      <c r="M921" s="1908"/>
      <c r="N921" s="1908"/>
      <c r="O921" s="1908"/>
      <c r="P921" s="1908"/>
      <c r="Q921" s="1908"/>
      <c r="R921" s="1908"/>
      <c r="S921" s="1909"/>
      <c r="U921" s="117" t="s">
        <v>912</v>
      </c>
      <c r="V921" s="91"/>
      <c r="W921" s="91"/>
      <c r="X921" s="91"/>
      <c r="Y921" s="91"/>
      <c r="Z921" s="91"/>
      <c r="AA921" s="91"/>
      <c r="AB921" s="91"/>
      <c r="AC921" s="91"/>
      <c r="AD921" s="92"/>
      <c r="AE921" s="2096"/>
      <c r="AF921" s="2090"/>
      <c r="AG921" s="2090"/>
      <c r="AH921" s="2090"/>
      <c r="AI921" s="2090"/>
      <c r="AJ921" s="2090"/>
      <c r="AK921" s="2091"/>
      <c r="AL921" s="119"/>
      <c r="AM921" s="75"/>
      <c r="AN921" s="75"/>
      <c r="AO921" s="75"/>
      <c r="AP921" s="75"/>
      <c r="AQ921" s="75"/>
      <c r="AR921" s="75"/>
      <c r="AS921" s="75"/>
      <c r="AT921" s="75"/>
      <c r="AU921" s="75"/>
      <c r="AV921" s="75"/>
      <c r="AW921" s="66" t="s">
        <v>650</v>
      </c>
      <c r="AX921" s="319">
        <v>7</v>
      </c>
      <c r="AY921" s="1886">
        <f>IF(AD962&gt;0,0.07,0)</f>
        <v>0</v>
      </c>
      <c r="AZ921" s="188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3"/>
      <c r="M922" s="1704"/>
      <c r="N922" s="1704"/>
      <c r="O922" s="1704"/>
      <c r="P922" s="1704"/>
      <c r="Q922" s="1704"/>
      <c r="R922" s="1704"/>
      <c r="S922" s="1705"/>
      <c r="U922" s="117" t="s">
        <v>913</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164</v>
      </c>
      <c r="AX922" s="319">
        <v>2</v>
      </c>
      <c r="AY922" s="1874">
        <f>IF(AD966&gt;0,0.02,0)</f>
        <v>0</v>
      </c>
      <c r="AZ922" s="187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3"/>
      <c r="M923" s="1704"/>
      <c r="N923" s="1704"/>
      <c r="O923" s="1704"/>
      <c r="P923" s="1704"/>
      <c r="Q923" s="1704"/>
      <c r="R923" s="1704"/>
      <c r="S923" s="1705"/>
      <c r="U923" s="117" t="s">
        <v>914</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651</v>
      </c>
      <c r="AX923" s="319">
        <v>2</v>
      </c>
      <c r="AY923" s="1874">
        <f>IF(AD968&gt;0,0.02,0)</f>
        <v>0</v>
      </c>
      <c r="AZ923" s="187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76" t="s">
        <v>2482</v>
      </c>
      <c r="M924" s="1877"/>
      <c r="N924" s="1877"/>
      <c r="O924" s="1877"/>
      <c r="P924" s="1877"/>
      <c r="Q924" s="1877"/>
      <c r="R924" s="1877"/>
      <c r="S924" s="1878"/>
      <c r="U924" s="117" t="s">
        <v>859</v>
      </c>
      <c r="V924" s="91"/>
      <c r="W924" s="91"/>
      <c r="X924" s="91"/>
      <c r="Y924" s="91"/>
      <c r="Z924" s="91"/>
      <c r="AA924" s="91"/>
      <c r="AB924" s="91"/>
      <c r="AC924" s="91"/>
      <c r="AD924" s="92"/>
      <c r="AE924" s="1876"/>
      <c r="AF924" s="1877"/>
      <c r="AG924" s="1877"/>
      <c r="AH924" s="1877"/>
      <c r="AI924" s="1877"/>
      <c r="AJ924" s="1877"/>
      <c r="AK924" s="1878"/>
      <c r="AL924" s="119"/>
      <c r="AM924" s="75"/>
      <c r="AN924" s="75"/>
      <c r="AO924" s="75"/>
      <c r="AP924" s="75"/>
      <c r="AQ924" s="75"/>
      <c r="AR924" s="75"/>
      <c r="AS924" s="75"/>
      <c r="AT924" s="75"/>
      <c r="AU924" s="75"/>
      <c r="AV924" s="75"/>
      <c r="AW924" s="66" t="s">
        <v>652</v>
      </c>
      <c r="AX924" s="319">
        <v>10</v>
      </c>
      <c r="AY924" s="1879">
        <f>AY932</f>
        <v>0</v>
      </c>
      <c r="AZ924" s="188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4"/>
      <c r="AZ925" s="187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1"/>
      <c r="AZ926" s="1882"/>
      <c r="BA926" s="188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4">
        <f>IF(AD985&gt;0,0.1,0)</f>
        <v>0</v>
      </c>
      <c r="AZ927" s="1875"/>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79">
        <f>SUM(AY919:AY927)</f>
        <v>0</v>
      </c>
      <c r="AZ928" s="1880"/>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7"/>
      <c r="N929" s="1708"/>
      <c r="O929" s="1708"/>
      <c r="P929" s="1708"/>
      <c r="Q929" s="1708"/>
      <c r="R929" s="1708"/>
      <c r="S929" s="1709"/>
      <c r="T929" s="117" t="s">
        <v>1054</v>
      </c>
      <c r="U929" s="91"/>
      <c r="V929" s="91"/>
      <c r="W929" s="91"/>
      <c r="X929" s="91"/>
      <c r="Y929" s="91"/>
      <c r="Z929" s="92"/>
      <c r="AA929" s="1707"/>
      <c r="AB929" s="1708"/>
      <c r="AC929" s="1708"/>
      <c r="AD929" s="1708"/>
      <c r="AE929" s="1708"/>
      <c r="AF929" s="1708"/>
      <c r="AG929" s="170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7"/>
      <c r="N930" s="1708"/>
      <c r="O930" s="1708"/>
      <c r="P930" s="1708"/>
      <c r="Q930" s="1708"/>
      <c r="R930" s="1708"/>
      <c r="S930" s="1709"/>
      <c r="T930" s="117" t="s">
        <v>1053</v>
      </c>
      <c r="U930" s="91"/>
      <c r="V930" s="91"/>
      <c r="W930" s="91"/>
      <c r="X930" s="91"/>
      <c r="Y930" s="91"/>
      <c r="Z930" s="92"/>
      <c r="AA930" s="1707"/>
      <c r="AB930" s="1708"/>
      <c r="AC930" s="1708"/>
      <c r="AD930" s="1708"/>
      <c r="AE930" s="1708"/>
      <c r="AF930" s="1708"/>
      <c r="AG930" s="1709"/>
      <c r="AL930" s="119"/>
      <c r="AM930" s="75"/>
      <c r="AN930" s="75"/>
      <c r="AO930" s="75"/>
      <c r="AP930" s="75"/>
      <c r="AQ930" s="75"/>
      <c r="AR930" s="75"/>
      <c r="AS930" s="75"/>
      <c r="AT930" s="75"/>
      <c r="AU930" s="75"/>
      <c r="AV930" s="75"/>
      <c r="AW930" s="66"/>
      <c r="AX930" s="66"/>
      <c r="AY930" s="1879">
        <f>SUM(AY919:AZ923)+AY927</f>
        <v>0</v>
      </c>
      <c r="AZ930" s="1880"/>
      <c r="BA930" s="1884">
        <v>0.39</v>
      </c>
      <c r="BB930" s="188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0" t="s">
        <v>136</v>
      </c>
      <c r="N931" s="1690"/>
      <c r="O931" s="1690"/>
      <c r="P931" s="1690"/>
      <c r="Q931" s="1690"/>
      <c r="R931" s="1690"/>
      <c r="S931" s="1721"/>
      <c r="T931" s="90" t="s">
        <v>626</v>
      </c>
      <c r="U931" s="91"/>
      <c r="V931" s="91"/>
      <c r="W931" s="91"/>
      <c r="X931" s="91"/>
      <c r="Y931" s="91"/>
      <c r="Z931" s="92"/>
      <c r="AA931" s="1707"/>
      <c r="AB931" s="1708"/>
      <c r="AC931" s="1708"/>
      <c r="AD931" s="1708"/>
      <c r="AE931" s="1708"/>
      <c r="AF931" s="1708"/>
      <c r="AG931" s="170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7"/>
      <c r="N932" s="1708"/>
      <c r="O932" s="1708"/>
      <c r="P932" s="1708"/>
      <c r="Q932" s="1708"/>
      <c r="R932" s="1708"/>
      <c r="S932" s="1709"/>
      <c r="T932" s="90" t="s">
        <v>627</v>
      </c>
      <c r="U932" s="91"/>
      <c r="V932" s="91"/>
      <c r="W932" s="91"/>
      <c r="X932" s="91"/>
      <c r="Y932" s="91"/>
      <c r="Z932" s="92"/>
      <c r="AA932" s="1707"/>
      <c r="AB932" s="1708"/>
      <c r="AC932" s="1708"/>
      <c r="AD932" s="1708"/>
      <c r="AE932" s="1708"/>
      <c r="AF932" s="1708"/>
      <c r="AG932" s="1709"/>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7"/>
      <c r="N933" s="1708"/>
      <c r="O933" s="1708"/>
      <c r="P933" s="1708"/>
      <c r="Q933" s="1708"/>
      <c r="R933" s="1708"/>
      <c r="S933" s="1709"/>
      <c r="T933" s="90" t="s">
        <v>542</v>
      </c>
      <c r="U933" s="91"/>
      <c r="V933" s="91"/>
      <c r="W933" s="91"/>
      <c r="X933" s="91"/>
      <c r="Y933" s="91"/>
      <c r="Z933" s="92"/>
      <c r="AA933" s="1707"/>
      <c r="AB933" s="1708"/>
      <c r="AC933" s="1708"/>
      <c r="AD933" s="1708"/>
      <c r="AE933" s="1708"/>
      <c r="AF933" s="1708"/>
      <c r="AG933" s="170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5" t="s">
        <v>86</v>
      </c>
      <c r="N934" s="1726"/>
      <c r="O934" s="1726"/>
      <c r="P934" s="1726"/>
      <c r="Q934" s="1726"/>
      <c r="R934" s="1726"/>
      <c r="S934" s="1727"/>
      <c r="T934" s="1728"/>
      <c r="U934" s="1729"/>
      <c r="V934" s="1729"/>
      <c r="W934" s="1729"/>
      <c r="X934" s="1729"/>
      <c r="Y934" s="1729"/>
      <c r="Z934" s="1730"/>
      <c r="AA934" s="1707"/>
      <c r="AB934" s="1708"/>
      <c r="AC934" s="1708"/>
      <c r="AD934" s="1708"/>
      <c r="AE934" s="1708"/>
      <c r="AF934" s="1708"/>
      <c r="AG934" s="17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7"/>
      <c r="N935" s="1708"/>
      <c r="O935" s="1708"/>
      <c r="P935" s="1708"/>
      <c r="Q935" s="1708"/>
      <c r="R935" s="1708"/>
      <c r="S935" s="1709"/>
      <c r="T935" s="1728"/>
      <c r="U935" s="1729"/>
      <c r="V935" s="1729"/>
      <c r="W935" s="1729"/>
      <c r="X935" s="1729"/>
      <c r="Y935" s="1729"/>
      <c r="Z935" s="1730"/>
      <c r="AA935" s="1707"/>
      <c r="AB935" s="1708"/>
      <c r="AC935" s="1708"/>
      <c r="AD935" s="1708"/>
      <c r="AE935" s="1708"/>
      <c r="AF935" s="1708"/>
      <c r="AG935" s="170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0" t="s">
        <v>531</v>
      </c>
      <c r="P936" s="1721"/>
      <c r="Q936" s="228"/>
      <c r="R936" s="228"/>
      <c r="S936" s="229"/>
      <c r="T936" s="85" t="s">
        <v>311</v>
      </c>
      <c r="U936" s="86"/>
      <c r="V936" s="86"/>
      <c r="W936" s="1700" t="s">
        <v>622</v>
      </c>
      <c r="X936" s="1701"/>
      <c r="Y936" s="1701"/>
      <c r="Z936" s="1701"/>
      <c r="AA936" s="1701"/>
      <c r="AB936" s="1701"/>
      <c r="AC936" s="1701"/>
      <c r="AD936" s="1701"/>
      <c r="AE936" s="1701"/>
      <c r="AF936" s="1701"/>
      <c r="AG936" s="170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6" t="s">
        <v>252</v>
      </c>
      <c r="G937" s="1897"/>
      <c r="H937" s="1897"/>
      <c r="I937" s="1897"/>
      <c r="J937" s="1897"/>
      <c r="K937" s="1897"/>
      <c r="L937" s="1897"/>
      <c r="M937" s="1707"/>
      <c r="N937" s="1708"/>
      <c r="O937" s="1708"/>
      <c r="P937" s="1708"/>
      <c r="Q937" s="1708"/>
      <c r="R937" s="1708"/>
      <c r="S937" s="1709"/>
      <c r="T937" s="93"/>
      <c r="U937" s="94"/>
      <c r="V937" s="94"/>
      <c r="W937" s="94"/>
      <c r="X937" s="94"/>
      <c r="Y937" s="94"/>
      <c r="Z937" s="351" t="s">
        <v>253</v>
      </c>
      <c r="AA937" s="1762"/>
      <c r="AB937" s="1894"/>
      <c r="AC937" s="1894"/>
      <c r="AD937" s="1894"/>
      <c r="AE937" s="1894"/>
      <c r="AF937" s="1894"/>
      <c r="AG937" s="189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6" t="s">
        <v>141</v>
      </c>
      <c r="B941" s="1706"/>
      <c r="C941" s="1706"/>
      <c r="D941" s="1706"/>
      <c r="E941" s="1706"/>
      <c r="F941" s="1706"/>
      <c r="G941" s="1706"/>
      <c r="H941" s="1706"/>
      <c r="I941" s="1706"/>
      <c r="J941" s="1706"/>
      <c r="K941" s="1706"/>
      <c r="L941" s="1706"/>
      <c r="M941" s="1706"/>
      <c r="N941" s="1706"/>
      <c r="O941" s="1706"/>
      <c r="P941" s="1706"/>
      <c r="Q941" s="1706"/>
      <c r="R941" s="1706"/>
      <c r="S941" s="1706"/>
      <c r="T941" s="1706"/>
      <c r="U941" s="1706"/>
      <c r="V941" s="1706"/>
      <c r="W941" s="1706"/>
      <c r="X941" s="1706"/>
      <c r="Y941" s="1706"/>
      <c r="Z941" s="1706"/>
      <c r="AA941" s="1706"/>
      <c r="AB941" s="1706"/>
      <c r="AC941" s="1706"/>
      <c r="AD941" s="1706"/>
      <c r="AE941" s="1706"/>
      <c r="AF941" s="1706"/>
      <c r="AG941" s="1706"/>
      <c r="AH941" s="1706"/>
      <c r="AI941" s="1706"/>
      <c r="AJ941" s="1706"/>
      <c r="AK941" s="1706"/>
      <c r="AL941" s="170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6"/>
      <c r="B942" s="1706"/>
      <c r="C942" s="1706"/>
      <c r="D942" s="1706"/>
      <c r="E942" s="1706"/>
      <c r="F942" s="1706"/>
      <c r="G942" s="1706"/>
      <c r="H942" s="1706"/>
      <c r="I942" s="1706"/>
      <c r="J942" s="1706"/>
      <c r="K942" s="1706"/>
      <c r="L942" s="1706"/>
      <c r="M942" s="1706"/>
      <c r="N942" s="1706"/>
      <c r="O942" s="1706"/>
      <c r="P942" s="1706"/>
      <c r="Q942" s="1706"/>
      <c r="R942" s="1706"/>
      <c r="S942" s="1706"/>
      <c r="T942" s="1706"/>
      <c r="U942" s="1706"/>
      <c r="V942" s="1706"/>
      <c r="W942" s="1706"/>
      <c r="X942" s="1706"/>
      <c r="Y942" s="1706"/>
      <c r="Z942" s="1706"/>
      <c r="AA942" s="1706"/>
      <c r="AB942" s="1706"/>
      <c r="AC942" s="1706"/>
      <c r="AD942" s="1706"/>
      <c r="AE942" s="1706"/>
      <c r="AF942" s="1706"/>
      <c r="AG942" s="1706"/>
      <c r="AH942" s="1706"/>
      <c r="AI942" s="1706"/>
      <c r="AJ942" s="1706"/>
      <c r="AK942" s="1706"/>
      <c r="AL942" s="170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51"/>
      <c r="D946" s="1750" t="s">
        <v>473</v>
      </c>
      <c r="E946" s="1751"/>
      <c r="F946" s="1751"/>
      <c r="G946" s="1751"/>
      <c r="H946" s="1751"/>
      <c r="I946" s="1751"/>
      <c r="J946" s="1751"/>
      <c r="K946" s="1751"/>
      <c r="L946" s="1751"/>
      <c r="M946" s="1751"/>
      <c r="N946" s="1751"/>
      <c r="O946" s="1751"/>
      <c r="P946" s="1751"/>
      <c r="Q946" s="1752"/>
      <c r="R946" s="1750" t="s">
        <v>474</v>
      </c>
      <c r="S946" s="1751"/>
      <c r="T946" s="1751"/>
      <c r="U946" s="1751"/>
      <c r="V946" s="1751"/>
      <c r="W946" s="1751"/>
      <c r="X946" s="1751"/>
      <c r="Y946" s="1751"/>
      <c r="Z946" s="1751"/>
      <c r="AA946" s="1752"/>
      <c r="AB946" s="1750" t="s">
        <v>475</v>
      </c>
      <c r="AC946" s="1751"/>
      <c r="AD946" s="1751"/>
      <c r="AE946" s="1751"/>
      <c r="AF946" s="1751"/>
      <c r="AG946" s="1751"/>
      <c r="AH946" s="1751"/>
      <c r="AI946" s="1752"/>
      <c r="AJ946" s="1750" t="s">
        <v>476</v>
      </c>
      <c r="AK946" s="1751"/>
      <c r="AL946" s="1751"/>
      <c r="AM946" s="1751"/>
      <c r="AN946" s="1751"/>
      <c r="AO946" s="1751"/>
      <c r="AP946" s="1751"/>
      <c r="AQ946" s="175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2"/>
      <c r="D947" s="1746" t="s">
        <v>468</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260566</v>
      </c>
      <c r="S947" s="1749"/>
      <c r="T947" s="1749"/>
      <c r="U947" s="1749"/>
      <c r="V947" s="1749"/>
      <c r="W947" s="1749"/>
      <c r="X947" s="1749"/>
      <c r="Y947" s="1749"/>
      <c r="Z947" s="1749"/>
      <c r="AA947" s="1749"/>
      <c r="AB947" s="1887">
        <f>BN652</f>
        <v>0</v>
      </c>
      <c r="AC947" s="1888"/>
      <c r="AD947" s="1888"/>
      <c r="AE947" s="1888"/>
      <c r="AF947" s="1888"/>
      <c r="AG947" s="1888"/>
      <c r="AH947" s="1888"/>
      <c r="AI947" s="1889"/>
      <c r="AJ947" s="1890">
        <f>IF(ISERROR((R947*AB947)),0,(R947*AB947))</f>
        <v>0</v>
      </c>
      <c r="AK947" s="1891"/>
      <c r="AL947" s="1891"/>
      <c r="AM947" s="1891"/>
      <c r="AN947" s="1891"/>
      <c r="AO947" s="1891"/>
      <c r="AP947" s="1891"/>
      <c r="AQ947" s="1892"/>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3"/>
      <c r="D948" s="1746" t="s">
        <v>491</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300430</v>
      </c>
      <c r="S948" s="1749"/>
      <c r="T948" s="1749"/>
      <c r="U948" s="1749"/>
      <c r="V948" s="1749"/>
      <c r="W948" s="1749"/>
      <c r="X948" s="1749"/>
      <c r="Y948" s="1749"/>
      <c r="Z948" s="1749"/>
      <c r="AA948" s="1749"/>
      <c r="AB948" s="1887">
        <f>BS652</f>
        <v>80</v>
      </c>
      <c r="AC948" s="1888"/>
      <c r="AD948" s="1888"/>
      <c r="AE948" s="1888"/>
      <c r="AF948" s="1888"/>
      <c r="AG948" s="1888"/>
      <c r="AH948" s="1888"/>
      <c r="AI948" s="1889"/>
      <c r="AJ948" s="1890">
        <f>IF(ISERROR((R948*AB948)),0,(R948*AB948))</f>
        <v>24034400</v>
      </c>
      <c r="AK948" s="1891"/>
      <c r="AL948" s="1891"/>
      <c r="AM948" s="1891"/>
      <c r="AN948" s="1891"/>
      <c r="AO948" s="1891"/>
      <c r="AP948" s="1891"/>
      <c r="AQ948" s="1892"/>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53"/>
      <c r="D949" s="1746" t="s">
        <v>853</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362400</v>
      </c>
      <c r="S949" s="1749"/>
      <c r="T949" s="1749"/>
      <c r="U949" s="1749"/>
      <c r="V949" s="1749"/>
      <c r="W949" s="1749"/>
      <c r="X949" s="1749"/>
      <c r="Y949" s="1749"/>
      <c r="Z949" s="1749"/>
      <c r="AA949" s="1749"/>
      <c r="AB949" s="1887">
        <f>BX652</f>
        <v>21</v>
      </c>
      <c r="AC949" s="1888"/>
      <c r="AD949" s="1888"/>
      <c r="AE949" s="1888"/>
      <c r="AF949" s="1888"/>
      <c r="AG949" s="1888"/>
      <c r="AH949" s="1888"/>
      <c r="AI949" s="1889"/>
      <c r="AJ949" s="1890">
        <f>IF(ISERROR((R949*AB949)),0,(R949*AB949))</f>
        <v>7610400</v>
      </c>
      <c r="AK949" s="1891"/>
      <c r="AL949" s="1891"/>
      <c r="AM949" s="1891"/>
      <c r="AN949" s="1891"/>
      <c r="AO949" s="1891"/>
      <c r="AP949" s="1891"/>
      <c r="AQ949" s="1892"/>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53"/>
      <c r="D950" s="1746" t="s">
        <v>854</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463872</v>
      </c>
      <c r="S950" s="1749"/>
      <c r="T950" s="1749"/>
      <c r="U950" s="1749"/>
      <c r="V950" s="1749"/>
      <c r="W950" s="1749"/>
      <c r="X950" s="1749"/>
      <c r="Y950" s="1749"/>
      <c r="Z950" s="1749"/>
      <c r="AA950" s="1749"/>
      <c r="AB950" s="1887">
        <f>CC652</f>
        <v>0</v>
      </c>
      <c r="AC950" s="1888"/>
      <c r="AD950" s="1888"/>
      <c r="AE950" s="1888"/>
      <c r="AF950" s="1888"/>
      <c r="AG950" s="1888"/>
      <c r="AH950" s="1888"/>
      <c r="AI950" s="1889"/>
      <c r="AJ950" s="1890">
        <f>IF(ISERROR((R950*AB950)),0,(R950*AB950))</f>
        <v>0</v>
      </c>
      <c r="AK950" s="1891"/>
      <c r="AL950" s="1891"/>
      <c r="AM950" s="1891"/>
      <c r="AN950" s="1891"/>
      <c r="AO950" s="1891"/>
      <c r="AP950" s="1891"/>
      <c r="AQ950" s="1892"/>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54"/>
      <c r="D951" s="1746" t="s">
        <v>867</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516782</v>
      </c>
      <c r="S951" s="1749"/>
      <c r="T951" s="1749"/>
      <c r="U951" s="1749"/>
      <c r="V951" s="1749"/>
      <c r="W951" s="1749"/>
      <c r="X951" s="1749"/>
      <c r="Y951" s="1749"/>
      <c r="Z951" s="1749"/>
      <c r="AA951" s="1749"/>
      <c r="AB951" s="1887">
        <f>CM652+CH652</f>
        <v>0</v>
      </c>
      <c r="AC951" s="1888"/>
      <c r="AD951" s="1888"/>
      <c r="AE951" s="1888"/>
      <c r="AF951" s="1888"/>
      <c r="AG951" s="1888"/>
      <c r="AH951" s="1888"/>
      <c r="AI951" s="1889"/>
      <c r="AJ951" s="1890">
        <f>IF(ISERROR((R951*AB951)),0,(R951*AB951))</f>
        <v>0</v>
      </c>
      <c r="AK951" s="1891"/>
      <c r="AL951" s="1891"/>
      <c r="AM951" s="1891"/>
      <c r="AN951" s="1891"/>
      <c r="AO951" s="1891"/>
      <c r="AP951" s="1891"/>
      <c r="AQ951" s="1892"/>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9" t="s">
        <v>1064</v>
      </c>
      <c r="C952" s="2230"/>
      <c r="D952" s="2230"/>
      <c r="E952" s="2230"/>
      <c r="F952" s="2230"/>
      <c r="G952" s="2230"/>
      <c r="H952" s="2230"/>
      <c r="I952" s="2230"/>
      <c r="J952" s="2230"/>
      <c r="K952" s="2230"/>
      <c r="L952" s="2230"/>
      <c r="M952" s="2230"/>
      <c r="N952" s="2230"/>
      <c r="O952" s="2230"/>
      <c r="P952" s="2230"/>
      <c r="Q952" s="2230"/>
      <c r="R952" s="2230"/>
      <c r="S952" s="2230"/>
      <c r="T952" s="2230"/>
      <c r="U952" s="2230"/>
      <c r="V952" s="2230"/>
      <c r="W952" s="2230"/>
      <c r="X952" s="2230"/>
      <c r="Y952" s="2230"/>
      <c r="Z952" s="2230"/>
      <c r="AA952" s="2231"/>
      <c r="AB952" s="1887">
        <f>SUM(AB947:AI951)</f>
        <v>101</v>
      </c>
      <c r="AC952" s="1888"/>
      <c r="AD952" s="1888"/>
      <c r="AE952" s="1888"/>
      <c r="AF952" s="1888"/>
      <c r="AG952" s="1888"/>
      <c r="AH952" s="1888"/>
      <c r="AI952" s="1889"/>
      <c r="AJ952" s="1890"/>
      <c r="AK952" s="1891"/>
      <c r="AL952" s="1891"/>
      <c r="AM952" s="1891"/>
      <c r="AN952" s="1891"/>
      <c r="AO952" s="1891"/>
      <c r="AP952" s="1891"/>
      <c r="AQ952" s="1892"/>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2" t="s">
        <v>819</v>
      </c>
      <c r="C953" s="2233"/>
      <c r="D953" s="2233"/>
      <c r="E953" s="2233"/>
      <c r="F953" s="2233"/>
      <c r="G953" s="2233"/>
      <c r="H953" s="2233"/>
      <c r="I953" s="2233"/>
      <c r="J953" s="2233"/>
      <c r="K953" s="2233"/>
      <c r="L953" s="2233"/>
      <c r="M953" s="2233"/>
      <c r="N953" s="2233"/>
      <c r="O953" s="2233"/>
      <c r="P953" s="2233"/>
      <c r="Q953" s="2233"/>
      <c r="R953" s="2233"/>
      <c r="S953" s="2233"/>
      <c r="T953" s="2233"/>
      <c r="U953" s="2233"/>
      <c r="V953" s="2233"/>
      <c r="W953" s="2233"/>
      <c r="X953" s="2233"/>
      <c r="Y953" s="2233"/>
      <c r="Z953" s="2233"/>
      <c r="AA953" s="2233"/>
      <c r="AB953" s="2233"/>
      <c r="AC953" s="2233"/>
      <c r="AD953" s="2233"/>
      <c r="AE953" s="2233"/>
      <c r="AF953" s="2233"/>
      <c r="AG953" s="2233"/>
      <c r="AH953" s="2233"/>
      <c r="AI953" s="2234"/>
      <c r="AJ953" s="1890">
        <f>SUM(AJ947:AQ951)</f>
        <v>31644800</v>
      </c>
      <c r="AK953" s="1891"/>
      <c r="AL953" s="1891"/>
      <c r="AM953" s="1891"/>
      <c r="AN953" s="1891"/>
      <c r="AO953" s="1891"/>
      <c r="AP953" s="1891"/>
      <c r="AQ953" s="1892"/>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5"/>
      <c r="C954" s="2236"/>
      <c r="D954" s="2236"/>
      <c r="E954" s="2236"/>
      <c r="F954" s="2236"/>
      <c r="G954" s="2236"/>
      <c r="H954" s="2236"/>
      <c r="I954" s="2236"/>
      <c r="J954" s="2236"/>
      <c r="K954" s="2236"/>
      <c r="L954" s="2236"/>
      <c r="M954" s="2236"/>
      <c r="N954" s="2236"/>
      <c r="O954" s="2236"/>
      <c r="P954" s="2236"/>
      <c r="Q954" s="2236"/>
      <c r="R954" s="2236"/>
      <c r="S954" s="2236"/>
      <c r="T954" s="2236"/>
      <c r="U954" s="2236"/>
      <c r="V954" s="2236"/>
      <c r="W954" s="2236"/>
      <c r="X954" s="2236"/>
      <c r="Y954" s="2236"/>
      <c r="Z954" s="2236"/>
      <c r="AA954" s="2236"/>
      <c r="AB954" s="2236"/>
      <c r="AC954" s="2236"/>
      <c r="AD954" s="2236"/>
      <c r="AE954" s="2237"/>
      <c r="AF954" s="2238" t="s">
        <v>528</v>
      </c>
      <c r="AG954" s="2239"/>
      <c r="AH954" s="2239"/>
      <c r="AI954" s="2240"/>
      <c r="AJ954" s="2235"/>
      <c r="AK954" s="2236"/>
      <c r="AL954" s="2236"/>
      <c r="AM954" s="2236"/>
      <c r="AN954" s="2236"/>
      <c r="AO954" s="2236"/>
      <c r="AP954" s="2236"/>
      <c r="AQ954" s="223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55" t="s">
        <v>530</v>
      </c>
      <c r="D955" s="1913" t="s">
        <v>2157</v>
      </c>
      <c r="E955" s="1914"/>
      <c r="F955" s="1914"/>
      <c r="G955" s="1914"/>
      <c r="H955" s="1914"/>
      <c r="I955" s="1914"/>
      <c r="J955" s="1914"/>
      <c r="K955" s="1914"/>
      <c r="L955" s="1914"/>
      <c r="M955" s="1914"/>
      <c r="N955" s="1914"/>
      <c r="O955" s="1914"/>
      <c r="P955" s="1914"/>
      <c r="Q955" s="1914"/>
      <c r="R955" s="1914"/>
      <c r="S955" s="1914"/>
      <c r="T955" s="1914"/>
      <c r="U955" s="1914"/>
      <c r="V955" s="1914"/>
      <c r="W955" s="1914"/>
      <c r="X955" s="1914"/>
      <c r="Y955" s="1914"/>
      <c r="Z955" s="1914"/>
      <c r="AA955" s="1914"/>
      <c r="AB955" s="1914"/>
      <c r="AC955" s="1914"/>
      <c r="AD955" s="1914"/>
      <c r="AE955" s="1915"/>
      <c r="AF955" s="128"/>
      <c r="AG955" s="1918" t="s">
        <v>119</v>
      </c>
      <c r="AH955" s="1919"/>
      <c r="AI955" s="131"/>
      <c r="AJ955" s="1920">
        <f>ROUND(IF(AND(AG955="yes",D957&gt;0),AJ953*0.2,0),0)</f>
        <v>6328960</v>
      </c>
      <c r="AK955" s="1921"/>
      <c r="AL955" s="1921"/>
      <c r="AM955" s="1921"/>
      <c r="AN955" s="1921"/>
      <c r="AO955" s="1921"/>
      <c r="AP955" s="1921"/>
      <c r="AQ955" s="192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56"/>
      <c r="C956" s="1457"/>
      <c r="D956" s="1740" t="s">
        <v>2292</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1923"/>
      <c r="AK956" s="1924"/>
      <c r="AL956" s="1924"/>
      <c r="AM956" s="1924"/>
      <c r="AN956" s="1924"/>
      <c r="AO956" s="1924"/>
      <c r="AP956" s="1924"/>
      <c r="AQ956" s="19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56"/>
      <c r="C957" s="1457"/>
      <c r="D957" s="1935" t="s">
        <v>2483</v>
      </c>
      <c r="E957" s="1936"/>
      <c r="F957" s="1936"/>
      <c r="G957" s="1936"/>
      <c r="H957" s="1936"/>
      <c r="I957" s="1936"/>
      <c r="J957" s="1936"/>
      <c r="K957" s="1936"/>
      <c r="L957" s="1936"/>
      <c r="M957" s="1936"/>
      <c r="N957" s="1936"/>
      <c r="O957" s="1936"/>
      <c r="P957" s="1936"/>
      <c r="Q957" s="1936"/>
      <c r="R957" s="1936"/>
      <c r="S957" s="1936"/>
      <c r="T957" s="1936"/>
      <c r="U957" s="1936"/>
      <c r="V957" s="1936"/>
      <c r="W957" s="1936"/>
      <c r="X957" s="1936"/>
      <c r="Y957" s="1936"/>
      <c r="Z957" s="1936"/>
      <c r="AA957" s="1936"/>
      <c r="AB957" s="1936"/>
      <c r="AC957" s="1936"/>
      <c r="AD957" s="1936"/>
      <c r="AE957" s="1937"/>
      <c r="AF957" s="126"/>
      <c r="AG957" s="15"/>
      <c r="AH957" s="15"/>
      <c r="AI957" s="127"/>
      <c r="AJ957" s="1926"/>
      <c r="AK957" s="1927"/>
      <c r="AL957" s="1927"/>
      <c r="AM957" s="1927"/>
      <c r="AN957" s="1927"/>
      <c r="AO957" s="1927"/>
      <c r="AP957" s="1927"/>
      <c r="AQ957" s="192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58"/>
      <c r="C958" s="1459"/>
      <c r="D958" s="1938" t="s">
        <v>2293</v>
      </c>
      <c r="E958" s="1939"/>
      <c r="F958" s="1939"/>
      <c r="G958" s="1939"/>
      <c r="H958" s="1939"/>
      <c r="I958" s="1939"/>
      <c r="J958" s="1939"/>
      <c r="K958" s="1939"/>
      <c r="L958" s="1939"/>
      <c r="M958" s="1939"/>
      <c r="N958" s="1939"/>
      <c r="O958" s="1939"/>
      <c r="P958" s="1939"/>
      <c r="Q958" s="1939"/>
      <c r="R958" s="1939"/>
      <c r="S958" s="1939"/>
      <c r="T958" s="1939"/>
      <c r="U958" s="1939"/>
      <c r="V958" s="1939"/>
      <c r="W958" s="1939"/>
      <c r="X958" s="1939"/>
      <c r="Y958" s="1939"/>
      <c r="Z958" s="1939"/>
      <c r="AA958" s="1939"/>
      <c r="AB958" s="1939"/>
      <c r="AC958" s="1939"/>
      <c r="AD958" s="1939"/>
      <c r="AE958" s="1940"/>
      <c r="AF958" s="128"/>
      <c r="AG958" s="1916" t="s">
        <v>531</v>
      </c>
      <c r="AH958" s="1917"/>
      <c r="AI958" s="131"/>
      <c r="AJ958" s="1920">
        <f>ROUND(IF(AG958="yes",AJ953*0.05,0),0)</f>
        <v>0</v>
      </c>
      <c r="AK958" s="1921"/>
      <c r="AL958" s="1921"/>
      <c r="AM958" s="1921"/>
      <c r="AN958" s="1921"/>
      <c r="AO958" s="1921"/>
      <c r="AP958" s="1921"/>
      <c r="AQ958" s="192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56"/>
      <c r="C959" s="1460"/>
      <c r="D959" s="1740" t="s">
        <v>2158</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1923"/>
      <c r="AK959" s="1924"/>
      <c r="AL959" s="1924"/>
      <c r="AM959" s="1924"/>
      <c r="AN959" s="1924"/>
      <c r="AO959" s="1924"/>
      <c r="AP959" s="1924"/>
      <c r="AQ959" s="192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56"/>
      <c r="C960" s="1460"/>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1923"/>
      <c r="AK960" s="1924"/>
      <c r="AL960" s="1924"/>
      <c r="AM960" s="1924"/>
      <c r="AN960" s="1924"/>
      <c r="AO960" s="1924"/>
      <c r="AP960" s="1924"/>
      <c r="AQ960" s="192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56"/>
      <c r="C961" s="1460"/>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1923"/>
      <c r="AK961" s="1924"/>
      <c r="AL961" s="1924"/>
      <c r="AM961" s="1924"/>
      <c r="AN961" s="1924"/>
      <c r="AO961" s="1924"/>
      <c r="AP961" s="1924"/>
      <c r="AQ961" s="192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56"/>
      <c r="C962" s="1460"/>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1923"/>
      <c r="AK962" s="1924"/>
      <c r="AL962" s="1924"/>
      <c r="AM962" s="1924"/>
      <c r="AN962" s="1924"/>
      <c r="AO962" s="1924"/>
      <c r="AP962" s="1924"/>
      <c r="AQ962" s="19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61"/>
      <c r="C963" s="1462"/>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1926"/>
      <c r="AK963" s="1927"/>
      <c r="AL963" s="1927"/>
      <c r="AM963" s="1927"/>
      <c r="AN963" s="1927"/>
      <c r="AO963" s="1927"/>
      <c r="AP963" s="1927"/>
      <c r="AQ963" s="192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58"/>
      <c r="C964" s="884" t="s">
        <v>534</v>
      </c>
      <c r="D964" s="1938" t="s">
        <v>2294</v>
      </c>
      <c r="E964" s="1939"/>
      <c r="F964" s="1939"/>
      <c r="G964" s="1939"/>
      <c r="H964" s="1939"/>
      <c r="I964" s="1939"/>
      <c r="J964" s="1939"/>
      <c r="K964" s="1939"/>
      <c r="L964" s="1939"/>
      <c r="M964" s="1939"/>
      <c r="N964" s="1939"/>
      <c r="O964" s="1939"/>
      <c r="P964" s="1939"/>
      <c r="Q964" s="1939"/>
      <c r="R964" s="1939"/>
      <c r="S964" s="1939"/>
      <c r="T964" s="1939"/>
      <c r="U964" s="1939"/>
      <c r="V964" s="1939"/>
      <c r="W964" s="1939"/>
      <c r="X964" s="1939"/>
      <c r="Y964" s="1939"/>
      <c r="Z964" s="1939"/>
      <c r="AA964" s="1939"/>
      <c r="AB964" s="1939"/>
      <c r="AC964" s="1939"/>
      <c r="AD964" s="1939"/>
      <c r="AE964" s="1940"/>
      <c r="AF964" s="130"/>
      <c r="AG964" s="1916" t="s">
        <v>119</v>
      </c>
      <c r="AH964" s="1917"/>
      <c r="AI964" s="131"/>
      <c r="AJ964" s="1920">
        <f>ROUND(IF(AG964="yes",AJ953*0.1,0),0)</f>
        <v>3164480</v>
      </c>
      <c r="AK964" s="1921"/>
      <c r="AL964" s="1921"/>
      <c r="AM964" s="1921"/>
      <c r="AN964" s="1921"/>
      <c r="AO964" s="1921"/>
      <c r="AP964" s="1921"/>
      <c r="AQ964" s="192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29" t="s">
        <v>2295</v>
      </c>
      <c r="E965" s="1930"/>
      <c r="F965" s="1930"/>
      <c r="G965" s="1930"/>
      <c r="H965" s="1930"/>
      <c r="I965" s="1930"/>
      <c r="J965" s="1930"/>
      <c r="K965" s="1930"/>
      <c r="L965" s="1930"/>
      <c r="M965" s="1930"/>
      <c r="N965" s="1930"/>
      <c r="O965" s="1930"/>
      <c r="P965" s="1930"/>
      <c r="Q965" s="1930"/>
      <c r="R965" s="1930"/>
      <c r="S965" s="1930"/>
      <c r="T965" s="1930"/>
      <c r="U965" s="1930"/>
      <c r="V965" s="1930"/>
      <c r="W965" s="1930"/>
      <c r="X965" s="1930"/>
      <c r="Y965" s="1930"/>
      <c r="Z965" s="1930"/>
      <c r="AA965" s="1930"/>
      <c r="AB965" s="1930"/>
      <c r="AC965" s="1930"/>
      <c r="AD965" s="1930"/>
      <c r="AE965" s="1931"/>
      <c r="AF965" s="124"/>
      <c r="AG965" s="35"/>
      <c r="AH965" s="35"/>
      <c r="AI965" s="129"/>
      <c r="AJ965" s="1923"/>
      <c r="AK965" s="1924"/>
      <c r="AL965" s="1924"/>
      <c r="AM965" s="1924"/>
      <c r="AN965" s="1924"/>
      <c r="AO965" s="1924"/>
      <c r="AP965" s="1924"/>
      <c r="AQ965" s="192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29"/>
      <c r="E966" s="1930"/>
      <c r="F966" s="1930"/>
      <c r="G966" s="1930"/>
      <c r="H966" s="1930"/>
      <c r="I966" s="1930"/>
      <c r="J966" s="1930"/>
      <c r="K966" s="1930"/>
      <c r="L966" s="1930"/>
      <c r="M966" s="1930"/>
      <c r="N966" s="1930"/>
      <c r="O966" s="1930"/>
      <c r="P966" s="1930"/>
      <c r="Q966" s="1930"/>
      <c r="R966" s="1930"/>
      <c r="S966" s="1930"/>
      <c r="T966" s="1930"/>
      <c r="U966" s="1930"/>
      <c r="V966" s="1930"/>
      <c r="W966" s="1930"/>
      <c r="X966" s="1930"/>
      <c r="Y966" s="1930"/>
      <c r="Z966" s="1930"/>
      <c r="AA966" s="1930"/>
      <c r="AB966" s="1930"/>
      <c r="AC966" s="1930"/>
      <c r="AD966" s="1930"/>
      <c r="AE966" s="1931"/>
      <c r="AF966" s="124"/>
      <c r="AG966" s="125"/>
      <c r="AH966" s="125"/>
      <c r="AI966" s="129"/>
      <c r="AJ966" s="1923"/>
      <c r="AK966" s="1924"/>
      <c r="AL966" s="1924"/>
      <c r="AM966" s="1924"/>
      <c r="AN966" s="1924"/>
      <c r="AO966" s="1924"/>
      <c r="AP966" s="1924"/>
      <c r="AQ966" s="19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63"/>
      <c r="C967" s="1462"/>
      <c r="D967" s="1932"/>
      <c r="E967" s="1933"/>
      <c r="F967" s="1933"/>
      <c r="G967" s="1933"/>
      <c r="H967" s="1933"/>
      <c r="I967" s="1933"/>
      <c r="J967" s="1933"/>
      <c r="K967" s="1933"/>
      <c r="L967" s="1933"/>
      <c r="M967" s="1933"/>
      <c r="N967" s="1933"/>
      <c r="O967" s="1933"/>
      <c r="P967" s="1933"/>
      <c r="Q967" s="1933"/>
      <c r="R967" s="1933"/>
      <c r="S967" s="1933"/>
      <c r="T967" s="1933"/>
      <c r="U967" s="1933"/>
      <c r="V967" s="1933"/>
      <c r="W967" s="1933"/>
      <c r="X967" s="1933"/>
      <c r="Y967" s="1933"/>
      <c r="Z967" s="1933"/>
      <c r="AA967" s="1933"/>
      <c r="AB967" s="1933"/>
      <c r="AC967" s="1933"/>
      <c r="AD967" s="1933"/>
      <c r="AE967" s="1934"/>
      <c r="AF967" s="126"/>
      <c r="AG967" s="15"/>
      <c r="AH967" s="15"/>
      <c r="AI967" s="127"/>
      <c r="AJ967" s="1926"/>
      <c r="AK967" s="1927"/>
      <c r="AL967" s="1927"/>
      <c r="AM967" s="1927"/>
      <c r="AN967" s="1927"/>
      <c r="AO967" s="1927"/>
      <c r="AP967" s="1927"/>
      <c r="AQ967" s="192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38" t="s">
        <v>2159</v>
      </c>
      <c r="E968" s="1939"/>
      <c r="F968" s="1939"/>
      <c r="G968" s="1939"/>
      <c r="H968" s="1939"/>
      <c r="I968" s="1939"/>
      <c r="J968" s="1939"/>
      <c r="K968" s="1939"/>
      <c r="L968" s="1939"/>
      <c r="M968" s="1939"/>
      <c r="N968" s="1939"/>
      <c r="O968" s="1939"/>
      <c r="P968" s="1939"/>
      <c r="Q968" s="1939"/>
      <c r="R968" s="1939"/>
      <c r="S968" s="1939"/>
      <c r="T968" s="1939"/>
      <c r="U968" s="1939"/>
      <c r="V968" s="1939"/>
      <c r="W968" s="1939"/>
      <c r="X968" s="1939"/>
      <c r="Y968" s="1939"/>
      <c r="Z968" s="1939"/>
      <c r="AA968" s="1939"/>
      <c r="AB968" s="1939"/>
      <c r="AC968" s="1939"/>
      <c r="AD968" s="1939"/>
      <c r="AE968" s="1940"/>
      <c r="AF968" s="128"/>
      <c r="AG968" s="1916" t="s">
        <v>531</v>
      </c>
      <c r="AH968" s="1917"/>
      <c r="AI968" s="131"/>
      <c r="AJ968" s="1920">
        <f>ROUND(IF(AG968="yes",AJ953*0.02,0),0)</f>
        <v>0</v>
      </c>
      <c r="AK968" s="1921"/>
      <c r="AL968" s="1921"/>
      <c r="AM968" s="1921"/>
      <c r="AN968" s="1921"/>
      <c r="AO968" s="1921"/>
      <c r="AP968" s="1921"/>
      <c r="AQ968" s="192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2" t="s">
        <v>2160</v>
      </c>
      <c r="E969" s="1933"/>
      <c r="F969" s="1933"/>
      <c r="G969" s="1933"/>
      <c r="H969" s="1933"/>
      <c r="I969" s="1933"/>
      <c r="J969" s="1933"/>
      <c r="K969" s="1933"/>
      <c r="L969" s="1933"/>
      <c r="M969" s="1933"/>
      <c r="N969" s="1933"/>
      <c r="O969" s="1933"/>
      <c r="P969" s="1933"/>
      <c r="Q969" s="1933"/>
      <c r="R969" s="1933"/>
      <c r="S969" s="1933"/>
      <c r="T969" s="1933"/>
      <c r="U969" s="1933"/>
      <c r="V969" s="1933"/>
      <c r="W969" s="1933"/>
      <c r="X969" s="1933"/>
      <c r="Y969" s="1933"/>
      <c r="Z969" s="1933"/>
      <c r="AA969" s="1933"/>
      <c r="AB969" s="1933"/>
      <c r="AC969" s="1933"/>
      <c r="AD969" s="1933"/>
      <c r="AE969" s="1934"/>
      <c r="AF969" s="126"/>
      <c r="AG969" s="15"/>
      <c r="AH969" s="15"/>
      <c r="AI969" s="127"/>
      <c r="AJ969" s="1926"/>
      <c r="AK969" s="1927"/>
      <c r="AL969" s="1927"/>
      <c r="AM969" s="1927"/>
      <c r="AN969" s="1927"/>
      <c r="AO969" s="1927"/>
      <c r="AP969" s="1927"/>
      <c r="AQ969" s="192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38" t="s">
        <v>2161</v>
      </c>
      <c r="E970" s="1939"/>
      <c r="F970" s="1939"/>
      <c r="G970" s="1939"/>
      <c r="H970" s="1939"/>
      <c r="I970" s="1939"/>
      <c r="J970" s="1939"/>
      <c r="K970" s="1939"/>
      <c r="L970" s="1939"/>
      <c r="M970" s="1939"/>
      <c r="N970" s="1939"/>
      <c r="O970" s="1939"/>
      <c r="P970" s="1939"/>
      <c r="Q970" s="1939"/>
      <c r="R970" s="1939"/>
      <c r="S970" s="1939"/>
      <c r="T970" s="1939"/>
      <c r="U970" s="1939"/>
      <c r="V970" s="1939"/>
      <c r="W970" s="1939"/>
      <c r="X970" s="1939"/>
      <c r="Y970" s="1939"/>
      <c r="Z970" s="1939"/>
      <c r="AA970" s="1939"/>
      <c r="AB970" s="1939"/>
      <c r="AC970" s="1939"/>
      <c r="AD970" s="1939"/>
      <c r="AE970" s="1940"/>
      <c r="AF970" s="128"/>
      <c r="AG970" s="1916" t="s">
        <v>531</v>
      </c>
      <c r="AH970" s="1917"/>
      <c r="AI970" s="128"/>
      <c r="AJ970" s="1920">
        <f>ROUND(IF(AG970="yes",AJ953*0.02,0),0)</f>
        <v>0</v>
      </c>
      <c r="AK970" s="1921"/>
      <c r="AL970" s="1921"/>
      <c r="AM970" s="1921"/>
      <c r="AN970" s="1921"/>
      <c r="AO970" s="1921"/>
      <c r="AP970" s="1921"/>
      <c r="AQ970" s="192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29" t="s">
        <v>2162</v>
      </c>
      <c r="E971" s="1930"/>
      <c r="F971" s="1930"/>
      <c r="G971" s="1930"/>
      <c r="H971" s="1930"/>
      <c r="I971" s="1930"/>
      <c r="J971" s="1930"/>
      <c r="K971" s="1930"/>
      <c r="L971" s="1930"/>
      <c r="M971" s="1930"/>
      <c r="N971" s="1930"/>
      <c r="O971" s="1930"/>
      <c r="P971" s="1930"/>
      <c r="Q971" s="1930"/>
      <c r="R971" s="1930"/>
      <c r="S971" s="1930"/>
      <c r="T971" s="1930"/>
      <c r="U971" s="1930"/>
      <c r="V971" s="1930"/>
      <c r="W971" s="1930"/>
      <c r="X971" s="1930"/>
      <c r="Y971" s="1930"/>
      <c r="Z971" s="1930"/>
      <c r="AA971" s="1930"/>
      <c r="AB971" s="1930"/>
      <c r="AC971" s="1930"/>
      <c r="AD971" s="1930"/>
      <c r="AE971" s="1931"/>
      <c r="AF971" s="124"/>
      <c r="AG971" s="35"/>
      <c r="AH971" s="35"/>
      <c r="AI971" s="125"/>
      <c r="AJ971" s="1923"/>
      <c r="AK971" s="1924"/>
      <c r="AL971" s="1924"/>
      <c r="AM971" s="1924"/>
      <c r="AN971" s="1924"/>
      <c r="AO971" s="1924"/>
      <c r="AP971" s="1924"/>
      <c r="AQ971" s="19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61"/>
      <c r="C972" s="1462"/>
      <c r="D972" s="1932"/>
      <c r="E972" s="1933"/>
      <c r="F972" s="1933"/>
      <c r="G972" s="1933"/>
      <c r="H972" s="1933"/>
      <c r="I972" s="1933"/>
      <c r="J972" s="1933"/>
      <c r="K972" s="1933"/>
      <c r="L972" s="1933"/>
      <c r="M972" s="1933"/>
      <c r="N972" s="1933"/>
      <c r="O972" s="1933"/>
      <c r="P972" s="1933"/>
      <c r="Q972" s="1933"/>
      <c r="R972" s="1933"/>
      <c r="S972" s="1933"/>
      <c r="T972" s="1933"/>
      <c r="U972" s="1933"/>
      <c r="V972" s="1933"/>
      <c r="W972" s="1933"/>
      <c r="X972" s="1933"/>
      <c r="Y972" s="1933"/>
      <c r="Z972" s="1933"/>
      <c r="AA972" s="1933"/>
      <c r="AB972" s="1933"/>
      <c r="AC972" s="1933"/>
      <c r="AD972" s="1933"/>
      <c r="AE972" s="1934"/>
      <c r="AF972" s="126"/>
      <c r="AG972" s="15"/>
      <c r="AH972" s="15"/>
      <c r="AI972" s="127"/>
      <c r="AJ972" s="1926"/>
      <c r="AK972" s="1927"/>
      <c r="AL972" s="1927"/>
      <c r="AM972" s="1927"/>
      <c r="AN972" s="1927"/>
      <c r="AO972" s="1927"/>
      <c r="AP972" s="1927"/>
      <c r="AQ972" s="192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3" t="s">
        <v>2163</v>
      </c>
      <c r="E973" s="1914"/>
      <c r="F973" s="1914"/>
      <c r="G973" s="1914"/>
      <c r="H973" s="1914"/>
      <c r="I973" s="1914"/>
      <c r="J973" s="1914"/>
      <c r="K973" s="1914"/>
      <c r="L973" s="1914"/>
      <c r="M973" s="1914"/>
      <c r="N973" s="1914"/>
      <c r="O973" s="1914"/>
      <c r="P973" s="1914"/>
      <c r="Q973" s="1914"/>
      <c r="R973" s="1914"/>
      <c r="S973" s="1914"/>
      <c r="T973" s="1914"/>
      <c r="U973" s="1914"/>
      <c r="V973" s="1914"/>
      <c r="W973" s="1914"/>
      <c r="X973" s="1914"/>
      <c r="Y973" s="1914"/>
      <c r="Z973" s="1914"/>
      <c r="AA973" s="1914"/>
      <c r="AB973" s="1914"/>
      <c r="AC973" s="1914"/>
      <c r="AD973" s="1914"/>
      <c r="AE973" s="1915"/>
      <c r="AF973" s="128"/>
      <c r="AG973" s="1916" t="s">
        <v>531</v>
      </c>
      <c r="AH973" s="1917"/>
      <c r="AI973" s="131"/>
      <c r="AJ973" s="1920">
        <f>IF(AG973="yes",AJ953*AY932,0)</f>
        <v>0</v>
      </c>
      <c r="AK973" s="1921"/>
      <c r="AL973" s="1921"/>
      <c r="AM973" s="1921"/>
      <c r="AN973" s="1921"/>
      <c r="AO973" s="1921"/>
      <c r="AP973" s="1921"/>
      <c r="AQ973" s="192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29" t="s">
        <v>2296</v>
      </c>
      <c r="E974" s="1930"/>
      <c r="F974" s="1930"/>
      <c r="G974" s="1930"/>
      <c r="H974" s="1930"/>
      <c r="I974" s="1930"/>
      <c r="J974" s="1930"/>
      <c r="K974" s="1930"/>
      <c r="L974" s="1930"/>
      <c r="M974" s="1930"/>
      <c r="N974" s="1930"/>
      <c r="O974" s="1930"/>
      <c r="P974" s="1930"/>
      <c r="Q974" s="1930"/>
      <c r="R974" s="1930"/>
      <c r="S974" s="1930"/>
      <c r="T974" s="1930"/>
      <c r="U974" s="1930"/>
      <c r="V974" s="1930"/>
      <c r="W974" s="1930"/>
      <c r="X974" s="1930"/>
      <c r="Y974" s="1930"/>
      <c r="Z974" s="1930"/>
      <c r="AA974" s="1930"/>
      <c r="AB974" s="1930"/>
      <c r="AC974" s="1930"/>
      <c r="AD974" s="1930"/>
      <c r="AE974" s="1931"/>
      <c r="AF974" s="124"/>
      <c r="AG974" s="125"/>
      <c r="AH974" s="125"/>
      <c r="AI974" s="129"/>
      <c r="AJ974" s="1923"/>
      <c r="AK974" s="1924"/>
      <c r="AL974" s="1924"/>
      <c r="AM974" s="1924"/>
      <c r="AN974" s="1924"/>
      <c r="AO974" s="1924"/>
      <c r="AP974" s="1924"/>
      <c r="AQ974" s="192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29"/>
      <c r="E975" s="1930"/>
      <c r="F975" s="1930"/>
      <c r="G975" s="1930"/>
      <c r="H975" s="1930"/>
      <c r="I975" s="1930"/>
      <c r="J975" s="1930"/>
      <c r="K975" s="1930"/>
      <c r="L975" s="1930"/>
      <c r="M975" s="1930"/>
      <c r="N975" s="1930"/>
      <c r="O975" s="1930"/>
      <c r="P975" s="1930"/>
      <c r="Q975" s="1930"/>
      <c r="R975" s="1930"/>
      <c r="S975" s="1930"/>
      <c r="T975" s="1930"/>
      <c r="U975" s="1930"/>
      <c r="V975" s="1930"/>
      <c r="W975" s="1930"/>
      <c r="X975" s="1930"/>
      <c r="Y975" s="1930"/>
      <c r="Z975" s="1930"/>
      <c r="AA975" s="1930"/>
      <c r="AB975" s="1930"/>
      <c r="AC975" s="1930"/>
      <c r="AD975" s="1930"/>
      <c r="AE975" s="1931"/>
      <c r="AF975" s="124"/>
      <c r="AG975" s="125"/>
      <c r="AH975" s="125"/>
      <c r="AI975" s="129"/>
      <c r="AJ975" s="1923"/>
      <c r="AK975" s="1924"/>
      <c r="AL975" s="1924"/>
      <c r="AM975" s="1924"/>
      <c r="AN975" s="1924"/>
      <c r="AO975" s="1924"/>
      <c r="AP975" s="1924"/>
      <c r="AQ975" s="192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64"/>
      <c r="C976" s="1460"/>
      <c r="D976" s="1932"/>
      <c r="E976" s="1933"/>
      <c r="F976" s="1933"/>
      <c r="G976" s="1933"/>
      <c r="H976" s="1933"/>
      <c r="I976" s="1933"/>
      <c r="J976" s="1933"/>
      <c r="K976" s="1933"/>
      <c r="L976" s="1933"/>
      <c r="M976" s="1933"/>
      <c r="N976" s="1933"/>
      <c r="O976" s="1933"/>
      <c r="P976" s="1933"/>
      <c r="Q976" s="1933"/>
      <c r="R976" s="1933"/>
      <c r="S976" s="1933"/>
      <c r="T976" s="1933"/>
      <c r="U976" s="1933"/>
      <c r="V976" s="1933"/>
      <c r="W976" s="1933"/>
      <c r="X976" s="1933"/>
      <c r="Y976" s="1933"/>
      <c r="Z976" s="1933"/>
      <c r="AA976" s="1933"/>
      <c r="AB976" s="1933"/>
      <c r="AC976" s="1933"/>
      <c r="AD976" s="1933"/>
      <c r="AE976" s="1934"/>
      <c r="AF976" s="126"/>
      <c r="AG976" s="15"/>
      <c r="AH976" s="15"/>
      <c r="AI976" s="127"/>
      <c r="AJ976" s="1926"/>
      <c r="AK976" s="1927"/>
      <c r="AL976" s="1927"/>
      <c r="AM976" s="1927"/>
      <c r="AN976" s="1927"/>
      <c r="AO976" s="1927"/>
      <c r="AP976" s="1927"/>
      <c r="AQ976" s="192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0" t="s">
        <v>2164</v>
      </c>
      <c r="E977" s="2191"/>
      <c r="F977" s="2191"/>
      <c r="G977" s="2191"/>
      <c r="H977" s="2191"/>
      <c r="I977" s="2191"/>
      <c r="J977" s="2191"/>
      <c r="K977" s="2191"/>
      <c r="L977" s="2191"/>
      <c r="M977" s="2191"/>
      <c r="N977" s="2191"/>
      <c r="O977" s="2191"/>
      <c r="P977" s="2191"/>
      <c r="Q977" s="2191"/>
      <c r="R977" s="2191"/>
      <c r="S977" s="2191"/>
      <c r="T977" s="2191"/>
      <c r="U977" s="2191"/>
      <c r="V977" s="2191"/>
      <c r="W977" s="2191"/>
      <c r="X977" s="2191"/>
      <c r="Y977" s="2191"/>
      <c r="Z977" s="2191"/>
      <c r="AA977" s="2191"/>
      <c r="AB977" s="2191"/>
      <c r="AC977" s="2191"/>
      <c r="AD977" s="2191"/>
      <c r="AE977" s="2192"/>
      <c r="AF977" s="128"/>
      <c r="AG977" s="1916" t="s">
        <v>531</v>
      </c>
      <c r="AH977" s="1917"/>
      <c r="AI977" s="131"/>
      <c r="AJ977" s="2196"/>
      <c r="AK977" s="2197"/>
      <c r="AL977" s="2197"/>
      <c r="AM977" s="2197"/>
      <c r="AN977" s="2197"/>
      <c r="AO977" s="2197"/>
      <c r="AP977" s="2197"/>
      <c r="AQ977" s="219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4"/>
      <c r="C978" s="1465"/>
      <c r="D978" s="2193"/>
      <c r="E978" s="2194"/>
      <c r="F978" s="2194"/>
      <c r="G978" s="2194"/>
      <c r="H978" s="2194"/>
      <c r="I978" s="2194"/>
      <c r="J978" s="2194"/>
      <c r="K978" s="2194"/>
      <c r="L978" s="2194"/>
      <c r="M978" s="2194"/>
      <c r="N978" s="2194"/>
      <c r="O978" s="2194"/>
      <c r="P978" s="2194"/>
      <c r="Q978" s="2194"/>
      <c r="R978" s="2194"/>
      <c r="S978" s="2194"/>
      <c r="T978" s="2194"/>
      <c r="U978" s="2194"/>
      <c r="V978" s="2194"/>
      <c r="W978" s="2194"/>
      <c r="X978" s="2194"/>
      <c r="Y978" s="2194"/>
      <c r="Z978" s="2194"/>
      <c r="AA978" s="2194"/>
      <c r="AB978" s="2194"/>
      <c r="AC978" s="2194"/>
      <c r="AD978" s="2194"/>
      <c r="AE978" s="2195"/>
      <c r="AF978" s="2205">
        <f>IF(AG977="yes","Please Select Type and Enter Amount:",0)</f>
        <v>0</v>
      </c>
      <c r="AG978" s="2206"/>
      <c r="AH978" s="2206"/>
      <c r="AI978" s="2207"/>
      <c r="AJ978" s="2199"/>
      <c r="AK978" s="2200"/>
      <c r="AL978" s="2200"/>
      <c r="AM978" s="2200"/>
      <c r="AN978" s="2200"/>
      <c r="AO978" s="2200"/>
      <c r="AP978" s="2200"/>
      <c r="AQ978" s="220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4"/>
      <c r="C979" s="1465"/>
      <c r="D979" s="1929" t="s">
        <v>2165</v>
      </c>
      <c r="E979" s="1930"/>
      <c r="F979" s="1930"/>
      <c r="G979" s="1930"/>
      <c r="H979" s="1930"/>
      <c r="I979" s="1930"/>
      <c r="J979" s="1930"/>
      <c r="K979" s="1930"/>
      <c r="L979" s="1930"/>
      <c r="M979" s="1930"/>
      <c r="N979" s="1930"/>
      <c r="O979" s="1930"/>
      <c r="P979" s="1930"/>
      <c r="Q979" s="1930"/>
      <c r="R979" s="1930"/>
      <c r="S979" s="1930"/>
      <c r="T979" s="1930"/>
      <c r="U979" s="1930"/>
      <c r="V979" s="1930"/>
      <c r="W979" s="1930"/>
      <c r="X979" s="1930"/>
      <c r="Y979" s="1930"/>
      <c r="Z979" s="1930"/>
      <c r="AA979" s="1930"/>
      <c r="AB979" s="1930"/>
      <c r="AC979" s="1930"/>
      <c r="AD979" s="1930"/>
      <c r="AE979" s="1931"/>
      <c r="AF979" s="2205"/>
      <c r="AG979" s="2206"/>
      <c r="AH979" s="2206"/>
      <c r="AI979" s="2207"/>
      <c r="AJ979" s="2199"/>
      <c r="AK979" s="2200"/>
      <c r="AL979" s="2200"/>
      <c r="AM979" s="2200"/>
      <c r="AN979" s="2200"/>
      <c r="AO979" s="2200"/>
      <c r="AP979" s="2200"/>
      <c r="AQ979" s="220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64"/>
      <c r="C980" s="1465"/>
      <c r="D980" s="1929"/>
      <c r="E980" s="1930"/>
      <c r="F980" s="1930"/>
      <c r="G980" s="1930"/>
      <c r="H980" s="1930"/>
      <c r="I980" s="1930"/>
      <c r="J980" s="1930"/>
      <c r="K980" s="1930"/>
      <c r="L980" s="1930"/>
      <c r="M980" s="1930"/>
      <c r="N980" s="1930"/>
      <c r="O980" s="1930"/>
      <c r="P980" s="1930"/>
      <c r="Q980" s="1930"/>
      <c r="R980" s="1930"/>
      <c r="S980" s="1930"/>
      <c r="T980" s="1930"/>
      <c r="U980" s="1930"/>
      <c r="V980" s="1930"/>
      <c r="W980" s="1930"/>
      <c r="X980" s="1930"/>
      <c r="Y980" s="1930"/>
      <c r="Z980" s="1930"/>
      <c r="AA980" s="1930"/>
      <c r="AB980" s="1930"/>
      <c r="AC980" s="1930"/>
      <c r="AD980" s="1930"/>
      <c r="AE980" s="1931"/>
      <c r="AF980" s="2205"/>
      <c r="AG980" s="2206"/>
      <c r="AH980" s="2206"/>
      <c r="AI980" s="2207"/>
      <c r="AJ980" s="2199"/>
      <c r="AK980" s="2200"/>
      <c r="AL980" s="2200"/>
      <c r="AM980" s="2200"/>
      <c r="AN980" s="2200"/>
      <c r="AO980" s="2200"/>
      <c r="AP980" s="2200"/>
      <c r="AQ980" s="220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64"/>
      <c r="C981" s="1465"/>
      <c r="D981" s="1466" t="s">
        <v>982</v>
      </c>
      <c r="E981" s="141"/>
      <c r="F981" s="141"/>
      <c r="G981" s="646"/>
      <c r="H981" s="646"/>
      <c r="I981" s="95"/>
      <c r="J981" s="2211" t="s">
        <v>136</v>
      </c>
      <c r="K981" s="2212"/>
      <c r="L981" s="2212"/>
      <c r="M981" s="2212"/>
      <c r="N981" s="2212"/>
      <c r="O981" s="2212"/>
      <c r="P981" s="2212"/>
      <c r="Q981" s="2212"/>
      <c r="R981" s="2212"/>
      <c r="S981" s="2212"/>
      <c r="T981" s="2212"/>
      <c r="U981" s="2212"/>
      <c r="V981" s="2212"/>
      <c r="W981" s="2212"/>
      <c r="X981" s="2212"/>
      <c r="Y981" s="2212"/>
      <c r="Z981" s="2212"/>
      <c r="AA981" s="2212"/>
      <c r="AB981" s="2212"/>
      <c r="AC981" s="2212"/>
      <c r="AD981" s="2212"/>
      <c r="AE981" s="2213"/>
      <c r="AF981" s="2208"/>
      <c r="AG981" s="2209"/>
      <c r="AH981" s="2209"/>
      <c r="AI981" s="2210"/>
      <c r="AJ981" s="2202"/>
      <c r="AK981" s="2203"/>
      <c r="AL981" s="2203"/>
      <c r="AM981" s="2203"/>
      <c r="AN981" s="2203"/>
      <c r="AO981" s="2203"/>
      <c r="AP981" s="2203"/>
      <c r="AQ981" s="220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38" t="s">
        <v>2166</v>
      </c>
      <c r="E982" s="1939"/>
      <c r="F982" s="1939"/>
      <c r="G982" s="1939"/>
      <c r="H982" s="1939"/>
      <c r="I982" s="1939"/>
      <c r="J982" s="1939"/>
      <c r="K982" s="1939"/>
      <c r="L982" s="1939"/>
      <c r="M982" s="1939"/>
      <c r="N982" s="1939"/>
      <c r="O982" s="1939"/>
      <c r="P982" s="1939"/>
      <c r="Q982" s="1939"/>
      <c r="R982" s="1939"/>
      <c r="S982" s="1939"/>
      <c r="T982" s="1939"/>
      <c r="U982" s="1939"/>
      <c r="V982" s="1939"/>
      <c r="W982" s="1939"/>
      <c r="X982" s="1939"/>
      <c r="Y982" s="1939"/>
      <c r="Z982" s="1939"/>
      <c r="AA982" s="1939"/>
      <c r="AB982" s="1939"/>
      <c r="AC982" s="1939"/>
      <c r="AD982" s="1939"/>
      <c r="AE982" s="1940"/>
      <c r="AF982" s="128"/>
      <c r="AG982" s="1916" t="s">
        <v>119</v>
      </c>
      <c r="AH982" s="1917"/>
      <c r="AI982" s="131"/>
      <c r="AJ982" s="2214">
        <f>'Sources and Uses Budget'!C84</f>
        <v>1915000</v>
      </c>
      <c r="AK982" s="2215"/>
      <c r="AL982" s="2215"/>
      <c r="AM982" s="2215"/>
      <c r="AN982" s="2215"/>
      <c r="AO982" s="2215"/>
      <c r="AP982" s="2215"/>
      <c r="AQ982" s="221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29" t="s">
        <v>2297</v>
      </c>
      <c r="E983" s="1930"/>
      <c r="F983" s="1930"/>
      <c r="G983" s="1930"/>
      <c r="H983" s="1930"/>
      <c r="I983" s="1930"/>
      <c r="J983" s="1930"/>
      <c r="K983" s="1930"/>
      <c r="L983" s="1930"/>
      <c r="M983" s="1930"/>
      <c r="N983" s="1930"/>
      <c r="O983" s="1930"/>
      <c r="P983" s="1930"/>
      <c r="Q983" s="1930"/>
      <c r="R983" s="1930"/>
      <c r="S983" s="1930"/>
      <c r="T983" s="1930"/>
      <c r="U983" s="1930"/>
      <c r="V983" s="1930"/>
      <c r="W983" s="1930"/>
      <c r="X983" s="1930"/>
      <c r="Y983" s="1930"/>
      <c r="Z983" s="1930"/>
      <c r="AA983" s="1930"/>
      <c r="AB983" s="1930"/>
      <c r="AC983" s="1930"/>
      <c r="AD983" s="1930"/>
      <c r="AE983" s="1931"/>
      <c r="AF983" s="2223" t="str">
        <f>IF(AG982="yes","Please Enter Amount:",0)</f>
        <v>Please Enter Amount:</v>
      </c>
      <c r="AG983" s="2224"/>
      <c r="AH983" s="2224"/>
      <c r="AI983" s="2225"/>
      <c r="AJ983" s="2217"/>
      <c r="AK983" s="2218"/>
      <c r="AL983" s="2218"/>
      <c r="AM983" s="2218"/>
      <c r="AN983" s="2218"/>
      <c r="AO983" s="2218"/>
      <c r="AP983" s="2218"/>
      <c r="AQ983" s="221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29"/>
      <c r="E984" s="1930"/>
      <c r="F984" s="1930"/>
      <c r="G984" s="1930"/>
      <c r="H984" s="1930"/>
      <c r="I984" s="1930"/>
      <c r="J984" s="1930"/>
      <c r="K984" s="1930"/>
      <c r="L984" s="1930"/>
      <c r="M984" s="1930"/>
      <c r="N984" s="1930"/>
      <c r="O984" s="1930"/>
      <c r="P984" s="1930"/>
      <c r="Q984" s="1930"/>
      <c r="R984" s="1930"/>
      <c r="S984" s="1930"/>
      <c r="T984" s="1930"/>
      <c r="U984" s="1930"/>
      <c r="V984" s="1930"/>
      <c r="W984" s="1930"/>
      <c r="X984" s="1930"/>
      <c r="Y984" s="1930"/>
      <c r="Z984" s="1930"/>
      <c r="AA984" s="1930"/>
      <c r="AB984" s="1930"/>
      <c r="AC984" s="1930"/>
      <c r="AD984" s="1930"/>
      <c r="AE984" s="1931"/>
      <c r="AF984" s="2223"/>
      <c r="AG984" s="2224"/>
      <c r="AH984" s="2224"/>
      <c r="AI984" s="2225"/>
      <c r="AJ984" s="2217"/>
      <c r="AK984" s="2218"/>
      <c r="AL984" s="2218"/>
      <c r="AM984" s="2218"/>
      <c r="AN984" s="2218"/>
      <c r="AO984" s="2218"/>
      <c r="AP984" s="2218"/>
      <c r="AQ984" s="221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63"/>
      <c r="C985" s="1465"/>
      <c r="D985" s="1932"/>
      <c r="E985" s="1933"/>
      <c r="F985" s="1933"/>
      <c r="G985" s="1933"/>
      <c r="H985" s="1933"/>
      <c r="I985" s="1933"/>
      <c r="J985" s="1933"/>
      <c r="K985" s="1933"/>
      <c r="L985" s="1933"/>
      <c r="M985" s="1933"/>
      <c r="N985" s="1933"/>
      <c r="O985" s="1933"/>
      <c r="P985" s="1933"/>
      <c r="Q985" s="1933"/>
      <c r="R985" s="1933"/>
      <c r="S985" s="1933"/>
      <c r="T985" s="1933"/>
      <c r="U985" s="1933"/>
      <c r="V985" s="1933"/>
      <c r="W985" s="1933"/>
      <c r="X985" s="1933"/>
      <c r="Y985" s="1933"/>
      <c r="Z985" s="1933"/>
      <c r="AA985" s="1933"/>
      <c r="AB985" s="1933"/>
      <c r="AC985" s="1933"/>
      <c r="AD985" s="1933"/>
      <c r="AE985" s="1934"/>
      <c r="AF985" s="2226"/>
      <c r="AG985" s="2227"/>
      <c r="AH985" s="2227"/>
      <c r="AI985" s="2228"/>
      <c r="AJ985" s="2220"/>
      <c r="AK985" s="2221"/>
      <c r="AL985" s="2221"/>
      <c r="AM985" s="2221"/>
      <c r="AN985" s="2221"/>
      <c r="AO985" s="2221"/>
      <c r="AP985" s="2221"/>
      <c r="AQ985" s="2222"/>
    </row>
    <row r="986" spans="1:97" ht="12.75" customHeight="1">
      <c r="A986" s="65"/>
      <c r="B986" s="128"/>
      <c r="C986" s="884" t="s">
        <v>638</v>
      </c>
      <c r="D986" s="1913" t="s">
        <v>2167</v>
      </c>
      <c r="E986" s="1914"/>
      <c r="F986" s="1914"/>
      <c r="G986" s="1914"/>
      <c r="H986" s="1914"/>
      <c r="I986" s="1914"/>
      <c r="J986" s="1914"/>
      <c r="K986" s="1914"/>
      <c r="L986" s="1914"/>
      <c r="M986" s="1914"/>
      <c r="N986" s="1914"/>
      <c r="O986" s="1914"/>
      <c r="P986" s="1914"/>
      <c r="Q986" s="1914"/>
      <c r="R986" s="1914"/>
      <c r="S986" s="1914"/>
      <c r="T986" s="1914"/>
      <c r="U986" s="1914"/>
      <c r="V986" s="1914"/>
      <c r="W986" s="1914"/>
      <c r="X986" s="1914"/>
      <c r="Y986" s="1914"/>
      <c r="Z986" s="1914"/>
      <c r="AA986" s="1914"/>
      <c r="AB986" s="1914"/>
      <c r="AC986" s="1914"/>
      <c r="AD986" s="1914"/>
      <c r="AE986" s="1915"/>
      <c r="AF986" s="128"/>
      <c r="AG986" s="1916" t="s">
        <v>119</v>
      </c>
      <c r="AH986" s="1917"/>
      <c r="AI986" s="131"/>
      <c r="AJ986" s="1920">
        <f>ROUND(IF(AG986="yes",(AJ953*0.1),0),0)</f>
        <v>3164480</v>
      </c>
      <c r="AK986" s="1921"/>
      <c r="AL986" s="1921"/>
      <c r="AM986" s="1921"/>
      <c r="AN986" s="1921"/>
      <c r="AO986" s="1921"/>
      <c r="AP986" s="1921"/>
      <c r="AQ986" s="1922"/>
    </row>
    <row r="987" spans="1:97" ht="12.75" customHeight="1">
      <c r="A987" s="65"/>
      <c r="B987" s="124"/>
      <c r="C987" s="885"/>
      <c r="D987" s="1929" t="s">
        <v>2168</v>
      </c>
      <c r="E987" s="1930"/>
      <c r="F987" s="1930"/>
      <c r="G987" s="1930"/>
      <c r="H987" s="1930"/>
      <c r="I987" s="1930"/>
      <c r="J987" s="1930"/>
      <c r="K987" s="1930"/>
      <c r="L987" s="1930"/>
      <c r="M987" s="1930"/>
      <c r="N987" s="1930"/>
      <c r="O987" s="1930"/>
      <c r="P987" s="1930"/>
      <c r="Q987" s="1930"/>
      <c r="R987" s="1930"/>
      <c r="S987" s="1930"/>
      <c r="T987" s="1930"/>
      <c r="U987" s="1930"/>
      <c r="V987" s="1930"/>
      <c r="W987" s="1930"/>
      <c r="X987" s="1930"/>
      <c r="Y987" s="1930"/>
      <c r="Z987" s="1930"/>
      <c r="AA987" s="1930"/>
      <c r="AB987" s="1930"/>
      <c r="AC987" s="1930"/>
      <c r="AD987" s="1930"/>
      <c r="AE987" s="1931"/>
      <c r="AF987" s="124"/>
      <c r="AG987" s="125"/>
      <c r="AH987" s="125"/>
      <c r="AI987" s="129"/>
      <c r="AJ987" s="1923"/>
      <c r="AK987" s="1924"/>
      <c r="AL987" s="1924"/>
      <c r="AM987" s="1924"/>
      <c r="AN987" s="1924"/>
      <c r="AO987" s="1924"/>
      <c r="AP987" s="1924"/>
      <c r="AQ987" s="1925"/>
    </row>
    <row r="988" spans="1:97" ht="12.75" customHeight="1">
      <c r="A988" s="883"/>
      <c r="B988" s="126"/>
      <c r="C988" s="885"/>
      <c r="D988" s="1932"/>
      <c r="E988" s="1933"/>
      <c r="F988" s="1933"/>
      <c r="G988" s="1933"/>
      <c r="H988" s="1933"/>
      <c r="I988" s="1933"/>
      <c r="J988" s="1933"/>
      <c r="K988" s="1933"/>
      <c r="L988" s="1933"/>
      <c r="M988" s="1933"/>
      <c r="N988" s="1933"/>
      <c r="O988" s="1933"/>
      <c r="P988" s="1933"/>
      <c r="Q988" s="1933"/>
      <c r="R988" s="1933"/>
      <c r="S988" s="1933"/>
      <c r="T988" s="1933"/>
      <c r="U988" s="1933"/>
      <c r="V988" s="1933"/>
      <c r="W988" s="1933"/>
      <c r="X988" s="1933"/>
      <c r="Y988" s="1933"/>
      <c r="Z988" s="1933"/>
      <c r="AA988" s="1933"/>
      <c r="AB988" s="1933"/>
      <c r="AC988" s="1933"/>
      <c r="AD988" s="1933"/>
      <c r="AE988" s="1934"/>
      <c r="AF988" s="124"/>
      <c r="AG988" s="125"/>
      <c r="AH988" s="125"/>
      <c r="AI988" s="129"/>
      <c r="AJ988" s="1926"/>
      <c r="AK988" s="1927"/>
      <c r="AL988" s="1927"/>
      <c r="AM988" s="1927"/>
      <c r="AN988" s="1927"/>
      <c r="AO988" s="1927"/>
      <c r="AP988" s="1927"/>
      <c r="AQ988" s="1928"/>
    </row>
    <row r="989" spans="1:97" ht="17.649999999999999" customHeight="1">
      <c r="A989" s="883"/>
      <c r="B989" s="124"/>
      <c r="C989" s="884" t="s">
        <v>641</v>
      </c>
      <c r="D989" s="1938" t="s">
        <v>2298</v>
      </c>
      <c r="E989" s="1939"/>
      <c r="F989" s="1939"/>
      <c r="G989" s="1939"/>
      <c r="H989" s="1939"/>
      <c r="I989" s="1939"/>
      <c r="J989" s="1939"/>
      <c r="K989" s="1939"/>
      <c r="L989" s="1939"/>
      <c r="M989" s="1939"/>
      <c r="N989" s="1939"/>
      <c r="O989" s="1939"/>
      <c r="P989" s="1939"/>
      <c r="Q989" s="1939"/>
      <c r="R989" s="1939"/>
      <c r="S989" s="1939"/>
      <c r="T989" s="1939"/>
      <c r="U989" s="1939"/>
      <c r="V989" s="1939"/>
      <c r="W989" s="1939"/>
      <c r="X989" s="1939"/>
      <c r="Y989" s="1939"/>
      <c r="Z989" s="1939"/>
      <c r="AA989" s="1939"/>
      <c r="AB989" s="1939"/>
      <c r="AC989" s="1939"/>
      <c r="AD989" s="1939"/>
      <c r="AE989" s="1940"/>
      <c r="AF989" s="128"/>
      <c r="AG989" s="1916" t="s">
        <v>531</v>
      </c>
      <c r="AH989" s="1917"/>
      <c r="AI989" s="131"/>
      <c r="AJ989" s="1920">
        <f>ROUND(IF(AG989="yes",(AJ953*0.15),0),0)</f>
        <v>0</v>
      </c>
      <c r="AK989" s="1921"/>
      <c r="AL989" s="1921"/>
      <c r="AM989" s="1921"/>
      <c r="AN989" s="1921"/>
      <c r="AO989" s="1921"/>
      <c r="AP989" s="1921"/>
      <c r="AQ989" s="1922"/>
    </row>
    <row r="990" spans="1:97" ht="12.75" customHeight="1">
      <c r="A990" s="883"/>
      <c r="B990" s="124"/>
      <c r="C990" s="885"/>
      <c r="D990" s="2185" t="s">
        <v>2299</v>
      </c>
      <c r="E990" s="1555"/>
      <c r="F990" s="1555"/>
      <c r="G990" s="1555"/>
      <c r="H990" s="1555"/>
      <c r="I990" s="1555"/>
      <c r="J990" s="1555"/>
      <c r="K990" s="1555"/>
      <c r="L990" s="1555"/>
      <c r="M990" s="1555"/>
      <c r="N990" s="1555"/>
      <c r="O990" s="1555"/>
      <c r="P990" s="1555"/>
      <c r="Q990" s="1555"/>
      <c r="R990" s="1555"/>
      <c r="S990" s="1555"/>
      <c r="T990" s="1555"/>
      <c r="U990" s="1555"/>
      <c r="V990" s="1555"/>
      <c r="W990" s="1555"/>
      <c r="X990" s="1555"/>
      <c r="Y990" s="1555"/>
      <c r="Z990" s="1555"/>
      <c r="AA990" s="1555"/>
      <c r="AB990" s="1555"/>
      <c r="AC990" s="1555"/>
      <c r="AD990" s="1555"/>
      <c r="AE990" s="2186"/>
      <c r="AF990" s="1467"/>
      <c r="AG990" s="1468"/>
      <c r="AH990" s="1468"/>
      <c r="AI990" s="1469"/>
      <c r="AJ990" s="1923"/>
      <c r="AK990" s="1924"/>
      <c r="AL990" s="1924"/>
      <c r="AM990" s="1924"/>
      <c r="AN990" s="1924"/>
      <c r="AO990" s="1924"/>
      <c r="AP990" s="1924"/>
      <c r="AQ990" s="192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5"/>
      <c r="E991" s="1555"/>
      <c r="F991" s="1555"/>
      <c r="G991" s="1555"/>
      <c r="H991" s="1555"/>
      <c r="I991" s="1555"/>
      <c r="J991" s="1555"/>
      <c r="K991" s="1555"/>
      <c r="L991" s="1555"/>
      <c r="M991" s="1555"/>
      <c r="N991" s="1555"/>
      <c r="O991" s="1555"/>
      <c r="P991" s="1555"/>
      <c r="Q991" s="1555"/>
      <c r="R991" s="1555"/>
      <c r="S991" s="1555"/>
      <c r="T991" s="1555"/>
      <c r="U991" s="1555"/>
      <c r="V991" s="1555"/>
      <c r="W991" s="1555"/>
      <c r="X991" s="1555"/>
      <c r="Y991" s="1555"/>
      <c r="Z991" s="1555"/>
      <c r="AA991" s="1555"/>
      <c r="AB991" s="1555"/>
      <c r="AC991" s="1555"/>
      <c r="AD991" s="1555"/>
      <c r="AE991" s="2186"/>
      <c r="AF991" s="1467"/>
      <c r="AG991" s="1468"/>
      <c r="AH991" s="1468"/>
      <c r="AI991" s="1469"/>
      <c r="AJ991" s="1923"/>
      <c r="AK991" s="1924"/>
      <c r="AL991" s="1924"/>
      <c r="AM991" s="1924"/>
      <c r="AN991" s="1924"/>
      <c r="AO991" s="1924"/>
      <c r="AP991" s="1924"/>
      <c r="AQ991" s="19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7"/>
      <c r="E992" s="2188"/>
      <c r="F992" s="2188"/>
      <c r="G992" s="2188"/>
      <c r="H992" s="2188"/>
      <c r="I992" s="2188"/>
      <c r="J992" s="2188"/>
      <c r="K992" s="2188"/>
      <c r="L992" s="2188"/>
      <c r="M992" s="2188"/>
      <c r="N992" s="2188"/>
      <c r="O992" s="2188"/>
      <c r="P992" s="2188"/>
      <c r="Q992" s="2188"/>
      <c r="R992" s="2188"/>
      <c r="S992" s="2188"/>
      <c r="T992" s="2188"/>
      <c r="U992" s="2188"/>
      <c r="V992" s="2188"/>
      <c r="W992" s="2188"/>
      <c r="X992" s="2188"/>
      <c r="Y992" s="2188"/>
      <c r="Z992" s="2188"/>
      <c r="AA992" s="2188"/>
      <c r="AB992" s="2188"/>
      <c r="AC992" s="2188"/>
      <c r="AD992" s="2188"/>
      <c r="AE992" s="2189"/>
      <c r="AF992" s="1470"/>
      <c r="AG992" s="1471"/>
      <c r="AH992" s="1471"/>
      <c r="AI992" s="1472"/>
      <c r="AJ992" s="1926"/>
      <c r="AK992" s="1927"/>
      <c r="AL992" s="1927"/>
      <c r="AM992" s="1927"/>
      <c r="AN992" s="1927"/>
      <c r="AO992" s="1927"/>
      <c r="AP992" s="1927"/>
      <c r="AQ992" s="192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3" t="s">
        <v>2300</v>
      </c>
      <c r="E993" s="1914"/>
      <c r="F993" s="1914"/>
      <c r="G993" s="1914"/>
      <c r="H993" s="1914"/>
      <c r="I993" s="1914"/>
      <c r="J993" s="1914"/>
      <c r="K993" s="1914"/>
      <c r="L993" s="1914"/>
      <c r="M993" s="1914"/>
      <c r="N993" s="1914"/>
      <c r="O993" s="1914"/>
      <c r="P993" s="1914"/>
      <c r="Q993" s="1914"/>
      <c r="R993" s="1914"/>
      <c r="S993" s="1914"/>
      <c r="T993" s="1914"/>
      <c r="U993" s="1914"/>
      <c r="V993" s="1914"/>
      <c r="W993" s="1914"/>
      <c r="X993" s="1914"/>
      <c r="Y993" s="1914"/>
      <c r="Z993" s="1914"/>
      <c r="AA993" s="1914"/>
      <c r="AB993" s="1914"/>
      <c r="AC993" s="1914"/>
      <c r="AD993" s="1914"/>
      <c r="AE993" s="1915"/>
      <c r="AF993" s="124"/>
      <c r="AG993" s="2183" t="s">
        <v>531</v>
      </c>
      <c r="AH993" s="2184"/>
      <c r="AI993" s="129"/>
      <c r="AJ993" s="1920">
        <f>ROUND(IF(AG993="yes",(AJ953*0.1),0),0)</f>
        <v>0</v>
      </c>
      <c r="AK993" s="1921"/>
      <c r="AL993" s="1921"/>
      <c r="AM993" s="1921"/>
      <c r="AN993" s="1921"/>
      <c r="AO993" s="1921"/>
      <c r="AP993" s="1921"/>
      <c r="AQ993" s="192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5" t="s">
        <v>2301</v>
      </c>
      <c r="E994" s="1555"/>
      <c r="F994" s="1555"/>
      <c r="G994" s="1555"/>
      <c r="H994" s="1555"/>
      <c r="I994" s="1555"/>
      <c r="J994" s="1555"/>
      <c r="K994" s="1555"/>
      <c r="L994" s="1555"/>
      <c r="M994" s="1555"/>
      <c r="N994" s="1555"/>
      <c r="O994" s="1555"/>
      <c r="P994" s="1555"/>
      <c r="Q994" s="1555"/>
      <c r="R994" s="1555"/>
      <c r="S994" s="1555"/>
      <c r="T994" s="1555"/>
      <c r="U994" s="1555"/>
      <c r="V994" s="1555"/>
      <c r="W994" s="1555"/>
      <c r="X994" s="1555"/>
      <c r="Y994" s="1555"/>
      <c r="Z994" s="1555"/>
      <c r="AA994" s="1555"/>
      <c r="AB994" s="1555"/>
      <c r="AC994" s="1555"/>
      <c r="AD994" s="1555"/>
      <c r="AE994" s="2186"/>
      <c r="AF994" s="124"/>
      <c r="AG994" s="125"/>
      <c r="AH994" s="125"/>
      <c r="AI994" s="129"/>
      <c r="AJ994" s="1923"/>
      <c r="AK994" s="1924"/>
      <c r="AL994" s="1924"/>
      <c r="AM994" s="1924"/>
      <c r="AN994" s="1924"/>
      <c r="AO994" s="1924"/>
      <c r="AP994" s="1924"/>
      <c r="AQ994" s="192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5"/>
      <c r="E995" s="1555"/>
      <c r="F995" s="1555"/>
      <c r="G995" s="1555"/>
      <c r="H995" s="1555"/>
      <c r="I995" s="1555"/>
      <c r="J995" s="1555"/>
      <c r="K995" s="1555"/>
      <c r="L995" s="1555"/>
      <c r="M995" s="1555"/>
      <c r="N995" s="1555"/>
      <c r="O995" s="1555"/>
      <c r="P995" s="1555"/>
      <c r="Q995" s="1555"/>
      <c r="R995" s="1555"/>
      <c r="S995" s="1555"/>
      <c r="T995" s="1555"/>
      <c r="U995" s="1555"/>
      <c r="V995" s="1555"/>
      <c r="W995" s="1555"/>
      <c r="X995" s="1555"/>
      <c r="Y995" s="1555"/>
      <c r="Z995" s="1555"/>
      <c r="AA995" s="1555"/>
      <c r="AB995" s="1555"/>
      <c r="AC995" s="1555"/>
      <c r="AD995" s="1555"/>
      <c r="AE995" s="2186"/>
      <c r="AF995" s="124"/>
      <c r="AG995" s="125"/>
      <c r="AH995" s="125"/>
      <c r="AI995" s="129"/>
      <c r="AJ995" s="1923"/>
      <c r="AK995" s="1924"/>
      <c r="AL995" s="1924"/>
      <c r="AM995" s="1924"/>
      <c r="AN995" s="1924"/>
      <c r="AO995" s="1924"/>
      <c r="AP995" s="1924"/>
      <c r="AQ995" s="192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5"/>
      <c r="E996" s="1555"/>
      <c r="F996" s="1555"/>
      <c r="G996" s="1555"/>
      <c r="H996" s="1555"/>
      <c r="I996" s="1555"/>
      <c r="J996" s="1555"/>
      <c r="K996" s="1555"/>
      <c r="L996" s="1555"/>
      <c r="M996" s="1555"/>
      <c r="N996" s="1555"/>
      <c r="O996" s="1555"/>
      <c r="P996" s="1555"/>
      <c r="Q996" s="1555"/>
      <c r="R996" s="1555"/>
      <c r="S996" s="1555"/>
      <c r="T996" s="1555"/>
      <c r="U996" s="1555"/>
      <c r="V996" s="1555"/>
      <c r="W996" s="1555"/>
      <c r="X996" s="1555"/>
      <c r="Y996" s="1555"/>
      <c r="Z996" s="1555"/>
      <c r="AA996" s="1555"/>
      <c r="AB996" s="1555"/>
      <c r="AC996" s="1555"/>
      <c r="AD996" s="1555"/>
      <c r="AE996" s="2186"/>
      <c r="AF996" s="124"/>
      <c r="AG996" s="125"/>
      <c r="AH996" s="125"/>
      <c r="AI996" s="129"/>
      <c r="AJ996" s="1923"/>
      <c r="AK996" s="1924"/>
      <c r="AL996" s="1924"/>
      <c r="AM996" s="1924"/>
      <c r="AN996" s="1924"/>
      <c r="AO996" s="1924"/>
      <c r="AP996" s="1924"/>
      <c r="AQ996" s="192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7"/>
      <c r="E997" s="2188"/>
      <c r="F997" s="2188"/>
      <c r="G997" s="2188"/>
      <c r="H997" s="2188"/>
      <c r="I997" s="2188"/>
      <c r="J997" s="2188"/>
      <c r="K997" s="2188"/>
      <c r="L997" s="2188"/>
      <c r="M997" s="2188"/>
      <c r="N997" s="2188"/>
      <c r="O997" s="2188"/>
      <c r="P997" s="2188"/>
      <c r="Q997" s="2188"/>
      <c r="R997" s="2188"/>
      <c r="S997" s="2188"/>
      <c r="T997" s="2188"/>
      <c r="U997" s="2188"/>
      <c r="V997" s="2188"/>
      <c r="W997" s="2188"/>
      <c r="X997" s="2188"/>
      <c r="Y997" s="2188"/>
      <c r="Z997" s="2188"/>
      <c r="AA997" s="2188"/>
      <c r="AB997" s="2188"/>
      <c r="AC997" s="2188"/>
      <c r="AD997" s="2188"/>
      <c r="AE997" s="2189"/>
      <c r="AF997" s="124"/>
      <c r="AG997" s="125"/>
      <c r="AH997" s="125"/>
      <c r="AI997" s="129"/>
      <c r="AJ997" s="1923"/>
      <c r="AK997" s="1924"/>
      <c r="AL997" s="1924"/>
      <c r="AM997" s="1924"/>
      <c r="AN997" s="1924"/>
      <c r="AO997" s="1924"/>
      <c r="AP997" s="1924"/>
      <c r="AQ997" s="192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73" t="s">
        <v>2302</v>
      </c>
      <c r="D998" s="1938" t="s">
        <v>2169</v>
      </c>
      <c r="E998" s="1939"/>
      <c r="F998" s="1939"/>
      <c r="G998" s="1939"/>
      <c r="H998" s="1939"/>
      <c r="I998" s="1939"/>
      <c r="J998" s="1939"/>
      <c r="K998" s="1939"/>
      <c r="L998" s="1939"/>
      <c r="M998" s="1939"/>
      <c r="N998" s="1939"/>
      <c r="O998" s="1939"/>
      <c r="P998" s="1939"/>
      <c r="Q998" s="1939"/>
      <c r="R998" s="1939"/>
      <c r="S998" s="1939"/>
      <c r="T998" s="1939"/>
      <c r="U998" s="1939"/>
      <c r="V998" s="1939"/>
      <c r="W998" s="1939"/>
      <c r="X998" s="1939"/>
      <c r="Y998" s="1939"/>
      <c r="Z998" s="1939"/>
      <c r="AA998" s="1939"/>
      <c r="AB998" s="1939"/>
      <c r="AC998" s="1939"/>
      <c r="AD998" s="1939"/>
      <c r="AE998" s="1940"/>
      <c r="AF998" s="128"/>
      <c r="AG998" s="1916" t="s">
        <v>531</v>
      </c>
      <c r="AH998" s="1917"/>
      <c r="AI998" s="131"/>
      <c r="AJ998" s="1920">
        <f>ROUND(IF(AG998="yes",(AJ953*0.1),0),0)</f>
        <v>0</v>
      </c>
      <c r="AK998" s="1921"/>
      <c r="AL998" s="1921"/>
      <c r="AM998" s="1921"/>
      <c r="AN998" s="1921"/>
      <c r="AO998" s="1921"/>
      <c r="AP998" s="1921"/>
      <c r="AQ998" s="192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29" t="s">
        <v>2303</v>
      </c>
      <c r="E999" s="1930"/>
      <c r="F999" s="1930"/>
      <c r="G999" s="1930"/>
      <c r="H999" s="1930"/>
      <c r="I999" s="1930"/>
      <c r="J999" s="1930"/>
      <c r="K999" s="1930"/>
      <c r="L999" s="1930"/>
      <c r="M999" s="1930"/>
      <c r="N999" s="1930"/>
      <c r="O999" s="1930"/>
      <c r="P999" s="1930"/>
      <c r="Q999" s="1930"/>
      <c r="R999" s="1930"/>
      <c r="S999" s="1930"/>
      <c r="T999" s="1930"/>
      <c r="U999" s="1930"/>
      <c r="V999" s="1930"/>
      <c r="W999" s="1930"/>
      <c r="X999" s="1930"/>
      <c r="Y999" s="1930"/>
      <c r="Z999" s="1930"/>
      <c r="AA999" s="1930"/>
      <c r="AB999" s="1930"/>
      <c r="AC999" s="1930"/>
      <c r="AD999" s="1930"/>
      <c r="AE999" s="1931"/>
      <c r="AF999" s="124"/>
      <c r="AG999" s="125"/>
      <c r="AH999" s="125"/>
      <c r="AI999" s="129"/>
      <c r="AJ999" s="1923"/>
      <c r="AK999" s="1924"/>
      <c r="AL999" s="1924"/>
      <c r="AM999" s="1924"/>
      <c r="AN999" s="1924"/>
      <c r="AO999" s="1924"/>
      <c r="AP999" s="1924"/>
      <c r="AQ999" s="192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29"/>
      <c r="E1000" s="1930"/>
      <c r="F1000" s="1930"/>
      <c r="G1000" s="1930"/>
      <c r="H1000" s="1930"/>
      <c r="I1000" s="1930"/>
      <c r="J1000" s="1930"/>
      <c r="K1000" s="1930"/>
      <c r="L1000" s="1930"/>
      <c r="M1000" s="1930"/>
      <c r="N1000" s="1930"/>
      <c r="O1000" s="1930"/>
      <c r="P1000" s="1930"/>
      <c r="Q1000" s="1930"/>
      <c r="R1000" s="1930"/>
      <c r="S1000" s="1930"/>
      <c r="T1000" s="1930"/>
      <c r="U1000" s="1930"/>
      <c r="V1000" s="1930"/>
      <c r="W1000" s="1930"/>
      <c r="X1000" s="1930"/>
      <c r="Y1000" s="1930"/>
      <c r="Z1000" s="1930"/>
      <c r="AA1000" s="1930"/>
      <c r="AB1000" s="1930"/>
      <c r="AC1000" s="1930"/>
      <c r="AD1000" s="1930"/>
      <c r="AE1000" s="1931"/>
      <c r="AF1000" s="124"/>
      <c r="AG1000" s="125"/>
      <c r="AH1000" s="125"/>
      <c r="AI1000" s="129"/>
      <c r="AJ1000" s="1923"/>
      <c r="AK1000" s="1924"/>
      <c r="AL1000" s="1924"/>
      <c r="AM1000" s="1924"/>
      <c r="AN1000" s="1924"/>
      <c r="AO1000" s="1924"/>
      <c r="AP1000" s="1924"/>
      <c r="AQ1000" s="192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2"/>
      <c r="E1001" s="1933"/>
      <c r="F1001" s="1933"/>
      <c r="G1001" s="1933"/>
      <c r="H1001" s="1933"/>
      <c r="I1001" s="1933"/>
      <c r="J1001" s="1933"/>
      <c r="K1001" s="1933"/>
      <c r="L1001" s="1933"/>
      <c r="M1001" s="1933"/>
      <c r="N1001" s="1933"/>
      <c r="O1001" s="1933"/>
      <c r="P1001" s="1933"/>
      <c r="Q1001" s="1933"/>
      <c r="R1001" s="1933"/>
      <c r="S1001" s="1933"/>
      <c r="T1001" s="1933"/>
      <c r="U1001" s="1933"/>
      <c r="V1001" s="1933"/>
      <c r="W1001" s="1933"/>
      <c r="X1001" s="1933"/>
      <c r="Y1001" s="1933"/>
      <c r="Z1001" s="1933"/>
      <c r="AA1001" s="1933"/>
      <c r="AB1001" s="1933"/>
      <c r="AC1001" s="1933"/>
      <c r="AD1001" s="1933"/>
      <c r="AE1001" s="1934"/>
      <c r="AF1001" s="124"/>
      <c r="AG1001" s="125"/>
      <c r="AH1001" s="125"/>
      <c r="AI1001" s="129"/>
      <c r="AJ1001" s="1926"/>
      <c r="AK1001" s="1927"/>
      <c r="AL1001" s="1927"/>
      <c r="AM1001" s="1927"/>
      <c r="AN1001" s="1927"/>
      <c r="AO1001" s="1927"/>
      <c r="AP1001" s="1927"/>
      <c r="AQ1001" s="1928"/>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74"/>
      <c r="D1002" s="1872" t="s">
        <v>820</v>
      </c>
      <c r="E1002" s="1872"/>
      <c r="F1002" s="1872"/>
      <c r="G1002" s="1872"/>
      <c r="H1002" s="1872"/>
      <c r="I1002" s="1872"/>
      <c r="J1002" s="1872"/>
      <c r="K1002" s="1872"/>
      <c r="L1002" s="1872"/>
      <c r="M1002" s="1872"/>
      <c r="N1002" s="1872"/>
      <c r="O1002" s="1872"/>
      <c r="P1002" s="1872"/>
      <c r="Q1002" s="1872"/>
      <c r="R1002" s="1872"/>
      <c r="S1002" s="1872"/>
      <c r="T1002" s="1872"/>
      <c r="U1002" s="1872"/>
      <c r="V1002" s="1872"/>
      <c r="W1002" s="1872"/>
      <c r="X1002" s="1872"/>
      <c r="Y1002" s="1872"/>
      <c r="Z1002" s="1872"/>
      <c r="AA1002" s="1872"/>
      <c r="AB1002" s="1872"/>
      <c r="AC1002" s="1872"/>
      <c r="AD1002" s="1872"/>
      <c r="AE1002" s="1872"/>
      <c r="AF1002" s="1872"/>
      <c r="AG1002" s="1872"/>
      <c r="AH1002" s="1872"/>
      <c r="AI1002" s="1873"/>
      <c r="AJ1002" s="1910">
        <f>SUM(AJ953:AQ1001)</f>
        <v>46217720</v>
      </c>
      <c r="AK1002" s="1911"/>
      <c r="AL1002" s="1911"/>
      <c r="AM1002" s="1911"/>
      <c r="AN1002" s="1911"/>
      <c r="AO1002" s="1911"/>
      <c r="AP1002" s="1911"/>
      <c r="AQ1002" s="1912"/>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2">
        <f>'Sources and Uses Budget'!S106+'Sources and Uses Budget'!T106</f>
        <v>47778788</v>
      </c>
      <c r="Y1006" s="1902"/>
      <c r="Z1006" s="1902"/>
      <c r="AA1006" s="1902"/>
      <c r="AB1006" s="1902"/>
      <c r="AC1006" s="1902"/>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898">
        <f>X1006/AJ1002</f>
        <v>1.0337763957200832</v>
      </c>
      <c r="Y1007" s="1899"/>
      <c r="Z1007" s="1899"/>
      <c r="AA1007" s="1899"/>
      <c r="AB1007" s="1899"/>
      <c r="AC1007" s="1900"/>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8"/>
      <c r="AF1008" s="1698"/>
      <c r="AG1008" s="1698"/>
      <c r="AH1008" s="1698"/>
      <c r="AI1008" s="1698"/>
      <c r="AJ1008" s="1698"/>
      <c r="AK1008" s="169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8"/>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8"/>
      <c r="AF1009" s="1698"/>
      <c r="AG1009" s="1698"/>
      <c r="AH1009" s="1698"/>
      <c r="AI1009" s="1698"/>
      <c r="AJ1009" s="1698"/>
      <c r="AK1009" s="169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8"/>
      <c r="E1010" s="1698"/>
      <c r="F1010" s="1698"/>
      <c r="G1010" s="1698"/>
      <c r="H1010" s="1698"/>
      <c r="I1010" s="1698"/>
      <c r="J1010" s="1698"/>
      <c r="K1010" s="1698"/>
      <c r="L1010" s="1698"/>
      <c r="M1010" s="1698"/>
      <c r="N1010" s="1698"/>
      <c r="O1010" s="1698"/>
      <c r="P1010" s="1698"/>
      <c r="Q1010" s="1698"/>
      <c r="R1010" s="1698"/>
      <c r="S1010" s="1698"/>
      <c r="T1010" s="1698"/>
      <c r="U1010" s="1698"/>
      <c r="V1010" s="1698"/>
      <c r="W1010" s="1698"/>
      <c r="X1010" s="1698"/>
      <c r="Y1010" s="1698"/>
      <c r="Z1010" s="1698"/>
      <c r="AA1010" s="1698"/>
      <c r="AB1010" s="1698"/>
      <c r="AC1010" s="1698"/>
      <c r="AD1010" s="1698"/>
      <c r="AE1010" s="1698"/>
      <c r="AF1010" s="1698"/>
      <c r="AG1010" s="1698"/>
      <c r="AH1010" s="1698"/>
      <c r="AI1010" s="1698"/>
      <c r="AJ1010" s="1698"/>
      <c r="AK1010" s="169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1"/>
      <c r="D1011" s="1901"/>
      <c r="E1011" s="1901"/>
      <c r="F1011" s="1901"/>
      <c r="G1011" s="1901"/>
      <c r="H1011" s="1901"/>
      <c r="I1011" s="1901"/>
      <c r="J1011" s="1901"/>
      <c r="K1011" s="1901"/>
      <c r="L1011" s="1901"/>
      <c r="M1011" s="1901"/>
      <c r="N1011" s="1901"/>
      <c r="O1011" s="1901"/>
      <c r="P1011" s="1901"/>
      <c r="Q1011" s="1901"/>
      <c r="R1011" s="1901"/>
      <c r="S1011" s="1901"/>
      <c r="T1011" s="1901"/>
      <c r="U1011" s="1901"/>
      <c r="V1011" s="1901"/>
      <c r="W1011" s="1901"/>
      <c r="X1011" s="1901"/>
      <c r="Y1011" s="1901"/>
      <c r="Z1011" s="1901"/>
      <c r="AA1011" s="1901"/>
      <c r="AB1011" s="1901"/>
      <c r="AC1011" s="1901"/>
      <c r="AD1011" s="1901"/>
      <c r="AE1011" s="1901"/>
      <c r="AF1011" s="1901"/>
      <c r="AG1011" s="1901"/>
      <c r="AH1011" s="1901"/>
      <c r="AI1011" s="1901"/>
      <c r="AJ1011" s="1901"/>
      <c r="AK1011" s="190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1"/>
      <c r="C1012" s="1901"/>
      <c r="D1012" s="1901"/>
      <c r="E1012" s="1901"/>
      <c r="F1012" s="1901"/>
      <c r="G1012" s="1901"/>
      <c r="H1012" s="1901"/>
      <c r="I1012" s="1901"/>
      <c r="J1012" s="1901"/>
      <c r="K1012" s="1901"/>
      <c r="L1012" s="1901"/>
      <c r="M1012" s="1901"/>
      <c r="N1012" s="1901"/>
      <c r="O1012" s="1901"/>
      <c r="P1012" s="1901"/>
      <c r="Q1012" s="1901"/>
      <c r="R1012" s="1901"/>
      <c r="S1012" s="1901"/>
      <c r="T1012" s="1901"/>
      <c r="U1012" s="1901"/>
      <c r="V1012" s="1901"/>
      <c r="W1012" s="1901"/>
      <c r="X1012" s="1901"/>
      <c r="Y1012" s="1901"/>
      <c r="Z1012" s="1901"/>
      <c r="AA1012" s="1901"/>
      <c r="AB1012" s="1901"/>
      <c r="AC1012" s="1901"/>
      <c r="AD1012" s="1901"/>
      <c r="AE1012" s="1901"/>
      <c r="AF1012" s="1901"/>
      <c r="AG1012" s="1901"/>
      <c r="AH1012" s="1901"/>
      <c r="AI1012" s="1901"/>
      <c r="AJ1012" s="1901"/>
      <c r="AK1012" s="190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1">
        <f>IF(ISNA(IF((AD975&gt;(AD953*0.15)),"(f) cannot be greater than 15% of unadjusted eligible basis.",0)),"",(IF((AD975&gt;(AD953*0.15)),"(f) cannot be greater than 15% of unadjusted eligible basis.",0)))</f>
        <v>0</v>
      </c>
      <c r="C1013" s="1901"/>
      <c r="D1013" s="1901"/>
      <c r="E1013" s="1901"/>
      <c r="F1013" s="1901"/>
      <c r="G1013" s="1901"/>
      <c r="H1013" s="1901"/>
      <c r="I1013" s="1901"/>
      <c r="J1013" s="1901"/>
      <c r="K1013" s="1901"/>
      <c r="L1013" s="1901"/>
      <c r="M1013" s="1901"/>
      <c r="N1013" s="1901"/>
      <c r="O1013" s="1901"/>
      <c r="P1013" s="1901"/>
      <c r="Q1013" s="1901"/>
      <c r="R1013" s="1901"/>
      <c r="S1013" s="1901"/>
      <c r="T1013" s="1901"/>
      <c r="U1013" s="1901"/>
      <c r="V1013" s="1901"/>
      <c r="W1013" s="1901"/>
      <c r="X1013" s="1901"/>
      <c r="Y1013" s="1901"/>
      <c r="Z1013" s="1901"/>
      <c r="AA1013" s="1901"/>
      <c r="AB1013" s="1901"/>
      <c r="AC1013" s="1901"/>
      <c r="AD1013" s="1901"/>
      <c r="AE1013" s="1901"/>
      <c r="AF1013" s="1901"/>
      <c r="AG1013" s="1901"/>
      <c r="AH1013" s="1901"/>
      <c r="AI1013" s="1901"/>
      <c r="AJ1013" s="1901"/>
      <c r="AK1013" s="190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9" t="s">
        <v>1093</v>
      </c>
      <c r="B1014" s="1699"/>
      <c r="C1014" s="1699"/>
      <c r="D1014" s="1699"/>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699"/>
      <c r="AF1014" s="1699"/>
      <c r="AG1014" s="1699"/>
      <c r="AH1014" s="1699"/>
      <c r="AI1014" s="1699"/>
      <c r="AJ1014" s="1699"/>
      <c r="AK1014" s="169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8" t="s">
        <v>136</v>
      </c>
      <c r="B1018" s="1688"/>
      <c r="C1018" s="17">
        <v>1</v>
      </c>
      <c r="D1018" s="1609" t="s">
        <v>1704</v>
      </c>
      <c r="E1018" s="1609"/>
      <c r="F1018" s="1609"/>
      <c r="G1018" s="1609"/>
      <c r="H1018" s="1609"/>
      <c r="I1018" s="1609"/>
      <c r="J1018" s="1609"/>
      <c r="K1018" s="1609"/>
      <c r="L1018" s="1609"/>
      <c r="M1018" s="1609"/>
      <c r="N1018" s="1609"/>
      <c r="O1018" s="1609"/>
      <c r="P1018" s="1609"/>
      <c r="Q1018" s="1609"/>
      <c r="R1018" s="1609"/>
      <c r="S1018" s="1609"/>
      <c r="T1018" s="1609"/>
      <c r="U1018" s="1609"/>
      <c r="V1018" s="1609"/>
      <c r="W1018" s="1609"/>
      <c r="X1018" s="1609"/>
      <c r="Y1018" s="1609"/>
      <c r="Z1018" s="1609"/>
      <c r="AA1018" s="1609"/>
      <c r="AB1018" s="1609"/>
      <c r="AC1018" s="1609"/>
      <c r="AD1018" s="1609"/>
      <c r="AE1018" s="1609"/>
      <c r="AF1018" s="1609"/>
      <c r="AG1018" s="1609"/>
      <c r="AH1018" s="1609"/>
      <c r="AI1018" s="1609"/>
      <c r="AJ1018" s="1609"/>
      <c r="AK1018" s="160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9"/>
      <c r="E1019" s="1609"/>
      <c r="F1019" s="1609"/>
      <c r="G1019" s="1609"/>
      <c r="H1019" s="1609"/>
      <c r="I1019" s="1609"/>
      <c r="J1019" s="1609"/>
      <c r="K1019" s="1609"/>
      <c r="L1019" s="1609"/>
      <c r="M1019" s="1609"/>
      <c r="N1019" s="1609"/>
      <c r="O1019" s="1609"/>
      <c r="P1019" s="1609"/>
      <c r="Q1019" s="1609"/>
      <c r="R1019" s="1609"/>
      <c r="S1019" s="1609"/>
      <c r="T1019" s="1609"/>
      <c r="U1019" s="1609"/>
      <c r="V1019" s="1609"/>
      <c r="W1019" s="1609"/>
      <c r="X1019" s="1609"/>
      <c r="Y1019" s="1609"/>
      <c r="Z1019" s="1609"/>
      <c r="AA1019" s="1609"/>
      <c r="AB1019" s="1609"/>
      <c r="AC1019" s="1609"/>
      <c r="AD1019" s="1609"/>
      <c r="AE1019" s="1609"/>
      <c r="AF1019" s="1609"/>
      <c r="AG1019" s="1609"/>
      <c r="AH1019" s="1609"/>
      <c r="AI1019" s="1609"/>
      <c r="AJ1019" s="1609"/>
      <c r="AK1019" s="160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9"/>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09"/>
      <c r="AF1020" s="1609"/>
      <c r="AG1020" s="1609"/>
      <c r="AH1020" s="1609"/>
      <c r="AI1020" s="1609"/>
      <c r="AJ1020" s="1609"/>
      <c r="AK1020" s="1609"/>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9"/>
      <c r="E1021" s="1609"/>
      <c r="F1021" s="1609"/>
      <c r="G1021" s="1609"/>
      <c r="H1021" s="1609"/>
      <c r="I1021" s="1609"/>
      <c r="J1021" s="1609"/>
      <c r="K1021" s="1609"/>
      <c r="L1021" s="1609"/>
      <c r="M1021" s="1609"/>
      <c r="N1021" s="1609"/>
      <c r="O1021" s="1609"/>
      <c r="P1021" s="1609"/>
      <c r="Q1021" s="1609"/>
      <c r="R1021" s="1609"/>
      <c r="S1021" s="1609"/>
      <c r="T1021" s="1609"/>
      <c r="U1021" s="1609"/>
      <c r="V1021" s="1609"/>
      <c r="W1021" s="1609"/>
      <c r="X1021" s="1609"/>
      <c r="Y1021" s="1609"/>
      <c r="Z1021" s="1609"/>
      <c r="AA1021" s="1609"/>
      <c r="AB1021" s="1609"/>
      <c r="AC1021" s="1609"/>
      <c r="AD1021" s="1609"/>
      <c r="AE1021" s="1609"/>
      <c r="AF1021" s="1609"/>
      <c r="AG1021" s="1609"/>
      <c r="AH1021" s="1609"/>
      <c r="AI1021" s="1609"/>
      <c r="AJ1021" s="1609"/>
      <c r="AK1021" s="160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9"/>
      <c r="E1022" s="1609"/>
      <c r="F1022" s="1609"/>
      <c r="G1022" s="1609"/>
      <c r="H1022" s="1609"/>
      <c r="I1022" s="1609"/>
      <c r="J1022" s="1609"/>
      <c r="K1022" s="1609"/>
      <c r="L1022" s="1609"/>
      <c r="M1022" s="1609"/>
      <c r="N1022" s="1609"/>
      <c r="O1022" s="1609"/>
      <c r="P1022" s="1609"/>
      <c r="Q1022" s="1609"/>
      <c r="R1022" s="1609"/>
      <c r="S1022" s="1609"/>
      <c r="T1022" s="1609"/>
      <c r="U1022" s="1609"/>
      <c r="V1022" s="1609"/>
      <c r="W1022" s="1609"/>
      <c r="X1022" s="1609"/>
      <c r="Y1022" s="1609"/>
      <c r="Z1022" s="1609"/>
      <c r="AA1022" s="1609"/>
      <c r="AB1022" s="1609"/>
      <c r="AC1022" s="1609"/>
      <c r="AD1022" s="1609"/>
      <c r="AE1022" s="1609"/>
      <c r="AF1022" s="1609"/>
      <c r="AG1022" s="1609"/>
      <c r="AH1022" s="1609"/>
      <c r="AI1022" s="1609"/>
      <c r="AJ1022" s="1609"/>
      <c r="AK1022" s="160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9"/>
      <c r="E1023" s="1609"/>
      <c r="F1023" s="1609"/>
      <c r="G1023" s="1609"/>
      <c r="H1023" s="1609"/>
      <c r="I1023" s="1609"/>
      <c r="J1023" s="1609"/>
      <c r="K1023" s="1609"/>
      <c r="L1023" s="1609"/>
      <c r="M1023" s="1609"/>
      <c r="N1023" s="1609"/>
      <c r="O1023" s="1609"/>
      <c r="P1023" s="1609"/>
      <c r="Q1023" s="1609"/>
      <c r="R1023" s="1609"/>
      <c r="S1023" s="1609"/>
      <c r="T1023" s="1609"/>
      <c r="U1023" s="1609"/>
      <c r="V1023" s="1609"/>
      <c r="W1023" s="1609"/>
      <c r="X1023" s="1609"/>
      <c r="Y1023" s="1609"/>
      <c r="Z1023" s="1609"/>
      <c r="AA1023" s="1609"/>
      <c r="AB1023" s="1609"/>
      <c r="AC1023" s="1609"/>
      <c r="AD1023" s="1609"/>
      <c r="AE1023" s="1609"/>
      <c r="AF1023" s="1609"/>
      <c r="AG1023" s="1609"/>
      <c r="AH1023" s="1609"/>
      <c r="AI1023" s="1609"/>
      <c r="AJ1023" s="1609"/>
      <c r="AK1023" s="160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8" t="s">
        <v>136</v>
      </c>
      <c r="B1024" s="1688"/>
      <c r="C1024" s="17">
        <v>2</v>
      </c>
      <c r="D1024" s="1608" t="s">
        <v>1705</v>
      </c>
      <c r="E1024" s="1609"/>
      <c r="F1024" s="1609"/>
      <c r="G1024" s="1609"/>
      <c r="H1024" s="1609"/>
      <c r="I1024" s="1609"/>
      <c r="J1024" s="1609"/>
      <c r="K1024" s="1609"/>
      <c r="L1024" s="1609"/>
      <c r="M1024" s="1609"/>
      <c r="N1024" s="1609"/>
      <c r="O1024" s="1609"/>
      <c r="P1024" s="1609"/>
      <c r="Q1024" s="1609"/>
      <c r="R1024" s="1609"/>
      <c r="S1024" s="1609"/>
      <c r="T1024" s="1609"/>
      <c r="U1024" s="1609"/>
      <c r="V1024" s="1609"/>
      <c r="W1024" s="1609"/>
      <c r="X1024" s="1609"/>
      <c r="Y1024" s="1609"/>
      <c r="Z1024" s="1609"/>
      <c r="AA1024" s="1609"/>
      <c r="AB1024" s="1609"/>
      <c r="AC1024" s="1609"/>
      <c r="AD1024" s="1609"/>
      <c r="AE1024" s="1609"/>
      <c r="AF1024" s="1609"/>
      <c r="AG1024" s="1609"/>
      <c r="AH1024" s="1609"/>
      <c r="AI1024" s="1609"/>
      <c r="AJ1024" s="1609"/>
      <c r="AK1024" s="160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9"/>
      <c r="E1025" s="1609"/>
      <c r="F1025" s="1609"/>
      <c r="G1025" s="1609"/>
      <c r="H1025" s="1609"/>
      <c r="I1025" s="1609"/>
      <c r="J1025" s="1609"/>
      <c r="K1025" s="1609"/>
      <c r="L1025" s="1609"/>
      <c r="M1025" s="1609"/>
      <c r="N1025" s="1609"/>
      <c r="O1025" s="1609"/>
      <c r="P1025" s="1609"/>
      <c r="Q1025" s="1609"/>
      <c r="R1025" s="1609"/>
      <c r="S1025" s="1609"/>
      <c r="T1025" s="1609"/>
      <c r="U1025" s="1609"/>
      <c r="V1025" s="1609"/>
      <c r="W1025" s="1609"/>
      <c r="X1025" s="1609"/>
      <c r="Y1025" s="1609"/>
      <c r="Z1025" s="1609"/>
      <c r="AA1025" s="1609"/>
      <c r="AB1025" s="1609"/>
      <c r="AC1025" s="1609"/>
      <c r="AD1025" s="1609"/>
      <c r="AE1025" s="1609"/>
      <c r="AF1025" s="1609"/>
      <c r="AG1025" s="1609"/>
      <c r="AH1025" s="1609"/>
      <c r="AI1025" s="1609"/>
      <c r="AJ1025" s="1609"/>
      <c r="AK1025" s="160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9"/>
      <c r="E1026" s="1609"/>
      <c r="F1026" s="1609"/>
      <c r="G1026" s="1609"/>
      <c r="H1026" s="1609"/>
      <c r="I1026" s="1609"/>
      <c r="J1026" s="1609"/>
      <c r="K1026" s="1609"/>
      <c r="L1026" s="1609"/>
      <c r="M1026" s="1609"/>
      <c r="N1026" s="1609"/>
      <c r="O1026" s="1609"/>
      <c r="P1026" s="1609"/>
      <c r="Q1026" s="1609"/>
      <c r="R1026" s="1609"/>
      <c r="S1026" s="1609"/>
      <c r="T1026" s="1609"/>
      <c r="U1026" s="1609"/>
      <c r="V1026" s="1609"/>
      <c r="W1026" s="1609"/>
      <c r="X1026" s="1609"/>
      <c r="Y1026" s="1609"/>
      <c r="Z1026" s="1609"/>
      <c r="AA1026" s="1609"/>
      <c r="AB1026" s="1609"/>
      <c r="AC1026" s="1609"/>
      <c r="AD1026" s="1609"/>
      <c r="AE1026" s="1609"/>
      <c r="AF1026" s="1609"/>
      <c r="AG1026" s="1609"/>
      <c r="AH1026" s="1609"/>
      <c r="AI1026" s="1609"/>
      <c r="AJ1026" s="1609"/>
      <c r="AK1026" s="160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9"/>
      <c r="E1027" s="1609"/>
      <c r="F1027" s="1609"/>
      <c r="G1027" s="1609"/>
      <c r="H1027" s="1609"/>
      <c r="I1027" s="1609"/>
      <c r="J1027" s="1609"/>
      <c r="K1027" s="1609"/>
      <c r="L1027" s="1609"/>
      <c r="M1027" s="1609"/>
      <c r="N1027" s="1609"/>
      <c r="O1027" s="1609"/>
      <c r="P1027" s="1609"/>
      <c r="Q1027" s="1609"/>
      <c r="R1027" s="1609"/>
      <c r="S1027" s="1609"/>
      <c r="T1027" s="1609"/>
      <c r="U1027" s="1609"/>
      <c r="V1027" s="1609"/>
      <c r="W1027" s="1609"/>
      <c r="X1027" s="1609"/>
      <c r="Y1027" s="1609"/>
      <c r="Z1027" s="1609"/>
      <c r="AA1027" s="1609"/>
      <c r="AB1027" s="1609"/>
      <c r="AC1027" s="1609"/>
      <c r="AD1027" s="1609"/>
      <c r="AE1027" s="1609"/>
      <c r="AF1027" s="1609"/>
      <c r="AG1027" s="1609"/>
      <c r="AH1027" s="1609"/>
      <c r="AI1027" s="1609"/>
      <c r="AJ1027" s="1609"/>
      <c r="AK1027" s="160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9"/>
      <c r="E1028" s="1609"/>
      <c r="F1028" s="1609"/>
      <c r="G1028" s="1609"/>
      <c r="H1028" s="1609"/>
      <c r="I1028" s="1609"/>
      <c r="J1028" s="1609"/>
      <c r="K1028" s="1609"/>
      <c r="L1028" s="1609"/>
      <c r="M1028" s="1609"/>
      <c r="N1028" s="1609"/>
      <c r="O1028" s="1609"/>
      <c r="P1028" s="1609"/>
      <c r="Q1028" s="1609"/>
      <c r="R1028" s="1609"/>
      <c r="S1028" s="1609"/>
      <c r="T1028" s="1609"/>
      <c r="U1028" s="1609"/>
      <c r="V1028" s="1609"/>
      <c r="W1028" s="1609"/>
      <c r="X1028" s="1609"/>
      <c r="Y1028" s="1609"/>
      <c r="Z1028" s="1609"/>
      <c r="AA1028" s="1609"/>
      <c r="AB1028" s="1609"/>
      <c r="AC1028" s="1609"/>
      <c r="AD1028" s="1609"/>
      <c r="AE1028" s="1609"/>
      <c r="AF1028" s="1609"/>
      <c r="AG1028" s="1609"/>
      <c r="AH1028" s="1609"/>
      <c r="AI1028" s="1609"/>
      <c r="AJ1028" s="1609"/>
      <c r="AK1028" s="160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9"/>
      <c r="E1029" s="1609"/>
      <c r="F1029" s="1609"/>
      <c r="G1029" s="1609"/>
      <c r="H1029" s="1609"/>
      <c r="I1029" s="1609"/>
      <c r="J1029" s="1609"/>
      <c r="K1029" s="1609"/>
      <c r="L1029" s="1609"/>
      <c r="M1029" s="1609"/>
      <c r="N1029" s="1609"/>
      <c r="O1029" s="1609"/>
      <c r="P1029" s="1609"/>
      <c r="Q1029" s="1609"/>
      <c r="R1029" s="1609"/>
      <c r="S1029" s="1609"/>
      <c r="T1029" s="1609"/>
      <c r="U1029" s="1609"/>
      <c r="V1029" s="1609"/>
      <c r="W1029" s="1609"/>
      <c r="X1029" s="1609"/>
      <c r="Y1029" s="1609"/>
      <c r="Z1029" s="1609"/>
      <c r="AA1029" s="1609"/>
      <c r="AB1029" s="1609"/>
      <c r="AC1029" s="1609"/>
      <c r="AD1029" s="1609"/>
      <c r="AE1029" s="1609"/>
      <c r="AF1029" s="1609"/>
      <c r="AG1029" s="1609"/>
      <c r="AH1029" s="1609"/>
      <c r="AI1029" s="1609"/>
      <c r="AJ1029" s="1609"/>
      <c r="AK1029" s="160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8" t="s">
        <v>136</v>
      </c>
      <c r="B1030" s="1688"/>
      <c r="C1030" s="17">
        <v>3</v>
      </c>
      <c r="D1030" s="1608" t="s">
        <v>2361</v>
      </c>
      <c r="E1030" s="1609"/>
      <c r="F1030" s="1609"/>
      <c r="G1030" s="1609"/>
      <c r="H1030" s="1609"/>
      <c r="I1030" s="1609"/>
      <c r="J1030" s="1609"/>
      <c r="K1030" s="1609"/>
      <c r="L1030" s="1609"/>
      <c r="M1030" s="1609"/>
      <c r="N1030" s="1609"/>
      <c r="O1030" s="1609"/>
      <c r="P1030" s="1609"/>
      <c r="Q1030" s="1609"/>
      <c r="R1030" s="1609"/>
      <c r="S1030" s="1609"/>
      <c r="T1030" s="1609"/>
      <c r="U1030" s="1609"/>
      <c r="V1030" s="1609"/>
      <c r="W1030" s="1609"/>
      <c r="X1030" s="1609"/>
      <c r="Y1030" s="1609"/>
      <c r="Z1030" s="1609"/>
      <c r="AA1030" s="1609"/>
      <c r="AB1030" s="1609"/>
      <c r="AC1030" s="1609"/>
      <c r="AD1030" s="1609"/>
      <c r="AE1030" s="1609"/>
      <c r="AF1030" s="1609"/>
      <c r="AG1030" s="1609"/>
      <c r="AH1030" s="1609"/>
      <c r="AI1030" s="1609"/>
      <c r="AJ1030" s="1609"/>
      <c r="AK1030" s="160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9"/>
      <c r="E1031" s="1609"/>
      <c r="F1031" s="1609"/>
      <c r="G1031" s="1609"/>
      <c r="H1031" s="1609"/>
      <c r="I1031" s="1609"/>
      <c r="J1031" s="1609"/>
      <c r="K1031" s="1609"/>
      <c r="L1031" s="1609"/>
      <c r="M1031" s="1609"/>
      <c r="N1031" s="1609"/>
      <c r="O1031" s="1609"/>
      <c r="P1031" s="1609"/>
      <c r="Q1031" s="1609"/>
      <c r="R1031" s="1609"/>
      <c r="S1031" s="1609"/>
      <c r="T1031" s="1609"/>
      <c r="U1031" s="1609"/>
      <c r="V1031" s="1609"/>
      <c r="W1031" s="1609"/>
      <c r="X1031" s="1609"/>
      <c r="Y1031" s="1609"/>
      <c r="Z1031" s="1609"/>
      <c r="AA1031" s="1609"/>
      <c r="AB1031" s="1609"/>
      <c r="AC1031" s="1609"/>
      <c r="AD1031" s="1609"/>
      <c r="AE1031" s="1609"/>
      <c r="AF1031" s="1609"/>
      <c r="AG1031" s="1609"/>
      <c r="AH1031" s="1609"/>
      <c r="AI1031" s="1609"/>
      <c r="AJ1031" s="1609"/>
      <c r="AK1031" s="160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9"/>
      <c r="E1032" s="1609"/>
      <c r="F1032" s="1609"/>
      <c r="G1032" s="1609"/>
      <c r="H1032" s="1609"/>
      <c r="I1032" s="1609"/>
      <c r="J1032" s="1609"/>
      <c r="K1032" s="1609"/>
      <c r="L1032" s="1609"/>
      <c r="M1032" s="1609"/>
      <c r="N1032" s="1609"/>
      <c r="O1032" s="1609"/>
      <c r="P1032" s="1609"/>
      <c r="Q1032" s="1609"/>
      <c r="R1032" s="1609"/>
      <c r="S1032" s="1609"/>
      <c r="T1032" s="1609"/>
      <c r="U1032" s="1609"/>
      <c r="V1032" s="1609"/>
      <c r="W1032" s="1609"/>
      <c r="X1032" s="1609"/>
      <c r="Y1032" s="1609"/>
      <c r="Z1032" s="1609"/>
      <c r="AA1032" s="1609"/>
      <c r="AB1032" s="1609"/>
      <c r="AC1032" s="1609"/>
      <c r="AD1032" s="1609"/>
      <c r="AE1032" s="1609"/>
      <c r="AF1032" s="1609"/>
      <c r="AG1032" s="1609"/>
      <c r="AH1032" s="1609"/>
      <c r="AI1032" s="1609"/>
      <c r="AJ1032" s="1609"/>
      <c r="AK1032" s="160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9"/>
      <c r="E1033" s="1609"/>
      <c r="F1033" s="1609"/>
      <c r="G1033" s="1609"/>
      <c r="H1033" s="1609"/>
      <c r="I1033" s="1609"/>
      <c r="J1033" s="1609"/>
      <c r="K1033" s="1609"/>
      <c r="L1033" s="1609"/>
      <c r="M1033" s="1609"/>
      <c r="N1033" s="1609"/>
      <c r="O1033" s="1609"/>
      <c r="P1033" s="1609"/>
      <c r="Q1033" s="1609"/>
      <c r="R1033" s="1609"/>
      <c r="S1033" s="1609"/>
      <c r="T1033" s="1609"/>
      <c r="U1033" s="1609"/>
      <c r="V1033" s="1609"/>
      <c r="W1033" s="1609"/>
      <c r="X1033" s="1609"/>
      <c r="Y1033" s="1609"/>
      <c r="Z1033" s="1609"/>
      <c r="AA1033" s="1609"/>
      <c r="AB1033" s="1609"/>
      <c r="AC1033" s="1609"/>
      <c r="AD1033" s="1609"/>
      <c r="AE1033" s="1609"/>
      <c r="AF1033" s="1609"/>
      <c r="AG1033" s="1609"/>
      <c r="AH1033" s="1609"/>
      <c r="AI1033" s="1609"/>
      <c r="AJ1033" s="1609"/>
      <c r="AK1033" s="160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9"/>
      <c r="E1034" s="1609"/>
      <c r="F1034" s="1609"/>
      <c r="G1034" s="1609"/>
      <c r="H1034" s="1609"/>
      <c r="I1034" s="1609"/>
      <c r="J1034" s="1609"/>
      <c r="K1034" s="1609"/>
      <c r="L1034" s="1609"/>
      <c r="M1034" s="1609"/>
      <c r="N1034" s="1609"/>
      <c r="O1034" s="1609"/>
      <c r="P1034" s="1609"/>
      <c r="Q1034" s="1609"/>
      <c r="R1034" s="1609"/>
      <c r="S1034" s="1609"/>
      <c r="T1034" s="1609"/>
      <c r="U1034" s="1609"/>
      <c r="V1034" s="1609"/>
      <c r="W1034" s="1609"/>
      <c r="X1034" s="1609"/>
      <c r="Y1034" s="1609"/>
      <c r="Z1034" s="1609"/>
      <c r="AA1034" s="1609"/>
      <c r="AB1034" s="1609"/>
      <c r="AC1034" s="1609"/>
      <c r="AD1034" s="1609"/>
      <c r="AE1034" s="1609"/>
      <c r="AF1034" s="1609"/>
      <c r="AG1034" s="1609"/>
      <c r="AH1034" s="1609"/>
      <c r="AI1034" s="1609"/>
      <c r="AJ1034" s="1609"/>
      <c r="AK1034" s="160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9"/>
      <c r="E1035" s="1609"/>
      <c r="F1035" s="1609"/>
      <c r="G1035" s="1609"/>
      <c r="H1035" s="1609"/>
      <c r="I1035" s="1609"/>
      <c r="J1035" s="1609"/>
      <c r="K1035" s="1609"/>
      <c r="L1035" s="1609"/>
      <c r="M1035" s="1609"/>
      <c r="N1035" s="1609"/>
      <c r="O1035" s="1609"/>
      <c r="P1035" s="1609"/>
      <c r="Q1035" s="1609"/>
      <c r="R1035" s="1609"/>
      <c r="S1035" s="1609"/>
      <c r="T1035" s="1609"/>
      <c r="U1035" s="1609"/>
      <c r="V1035" s="1609"/>
      <c r="W1035" s="1609"/>
      <c r="X1035" s="1609"/>
      <c r="Y1035" s="1609"/>
      <c r="Z1035" s="1609"/>
      <c r="AA1035" s="1609"/>
      <c r="AB1035" s="1609"/>
      <c r="AC1035" s="1609"/>
      <c r="AD1035" s="1609"/>
      <c r="AE1035" s="1609"/>
      <c r="AF1035" s="1609"/>
      <c r="AG1035" s="1609"/>
      <c r="AH1035" s="1609"/>
      <c r="AI1035" s="1609"/>
      <c r="AJ1035" s="1609"/>
      <c r="AK1035" s="160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8" t="s">
        <v>136</v>
      </c>
      <c r="B1036" s="1688"/>
      <c r="C1036" s="17">
        <v>4</v>
      </c>
      <c r="D1036" s="1608" t="s">
        <v>2352</v>
      </c>
      <c r="E1036" s="1609"/>
      <c r="F1036" s="1609"/>
      <c r="G1036" s="1609"/>
      <c r="H1036" s="1609"/>
      <c r="I1036" s="1609"/>
      <c r="J1036" s="1609"/>
      <c r="K1036" s="1609"/>
      <c r="L1036" s="1609"/>
      <c r="M1036" s="1609"/>
      <c r="N1036" s="1609"/>
      <c r="O1036" s="1609"/>
      <c r="P1036" s="1609"/>
      <c r="Q1036" s="1609"/>
      <c r="R1036" s="1609"/>
      <c r="S1036" s="1609"/>
      <c r="T1036" s="1609"/>
      <c r="U1036" s="1609"/>
      <c r="V1036" s="1609"/>
      <c r="W1036" s="1609"/>
      <c r="X1036" s="1609"/>
      <c r="Y1036" s="1609"/>
      <c r="Z1036" s="1609"/>
      <c r="AA1036" s="1609"/>
      <c r="AB1036" s="1609"/>
      <c r="AC1036" s="1609"/>
      <c r="AD1036" s="1609"/>
      <c r="AE1036" s="1609"/>
      <c r="AF1036" s="1609"/>
      <c r="AG1036" s="1609"/>
      <c r="AH1036" s="1609"/>
      <c r="AI1036" s="1609"/>
      <c r="AJ1036" s="1609"/>
      <c r="AK1036" s="160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9"/>
      <c r="E1037" s="1609"/>
      <c r="F1037" s="1609"/>
      <c r="G1037" s="1609"/>
      <c r="H1037" s="1609"/>
      <c r="I1037" s="1609"/>
      <c r="J1037" s="1609"/>
      <c r="K1037" s="1609"/>
      <c r="L1037" s="1609"/>
      <c r="M1037" s="1609"/>
      <c r="N1037" s="1609"/>
      <c r="O1037" s="1609"/>
      <c r="P1037" s="1609"/>
      <c r="Q1037" s="1609"/>
      <c r="R1037" s="1609"/>
      <c r="S1037" s="1609"/>
      <c r="T1037" s="1609"/>
      <c r="U1037" s="1609"/>
      <c r="V1037" s="1609"/>
      <c r="W1037" s="1609"/>
      <c r="X1037" s="1609"/>
      <c r="Y1037" s="1609"/>
      <c r="Z1037" s="1609"/>
      <c r="AA1037" s="1609"/>
      <c r="AB1037" s="1609"/>
      <c r="AC1037" s="1609"/>
      <c r="AD1037" s="1609"/>
      <c r="AE1037" s="1609"/>
      <c r="AF1037" s="1609"/>
      <c r="AG1037" s="1609"/>
      <c r="AH1037" s="1609"/>
      <c r="AI1037" s="1609"/>
      <c r="AJ1037" s="1609"/>
      <c r="AK1037" s="160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9"/>
      <c r="E1038" s="1609"/>
      <c r="F1038" s="1609"/>
      <c r="G1038" s="1609"/>
      <c r="H1038" s="1609"/>
      <c r="I1038" s="1609"/>
      <c r="J1038" s="1609"/>
      <c r="K1038" s="1609"/>
      <c r="L1038" s="1609"/>
      <c r="M1038" s="1609"/>
      <c r="N1038" s="1609"/>
      <c r="O1038" s="1609"/>
      <c r="P1038" s="1609"/>
      <c r="Q1038" s="1609"/>
      <c r="R1038" s="1609"/>
      <c r="S1038" s="1609"/>
      <c r="T1038" s="1609"/>
      <c r="U1038" s="1609"/>
      <c r="V1038" s="1609"/>
      <c r="W1038" s="1609"/>
      <c r="X1038" s="1609"/>
      <c r="Y1038" s="1609"/>
      <c r="Z1038" s="1609"/>
      <c r="AA1038" s="1609"/>
      <c r="AB1038" s="1609"/>
      <c r="AC1038" s="1609"/>
      <c r="AD1038" s="1609"/>
      <c r="AE1038" s="1609"/>
      <c r="AF1038" s="1609"/>
      <c r="AG1038" s="1609"/>
      <c r="AH1038" s="1609"/>
      <c r="AI1038" s="1609"/>
      <c r="AJ1038" s="1609"/>
      <c r="AK1038" s="160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8" t="s">
        <v>136</v>
      </c>
      <c r="B1039" s="1688"/>
      <c r="C1039" s="17">
        <v>5</v>
      </c>
      <c r="D1039" s="1608" t="s">
        <v>1939</v>
      </c>
      <c r="E1039" s="1609"/>
      <c r="F1039" s="1609"/>
      <c r="G1039" s="1609"/>
      <c r="H1039" s="1609"/>
      <c r="I1039" s="1609"/>
      <c r="J1039" s="1609"/>
      <c r="K1039" s="1609"/>
      <c r="L1039" s="1609"/>
      <c r="M1039" s="1609"/>
      <c r="N1039" s="1609"/>
      <c r="O1039" s="1609"/>
      <c r="P1039" s="1609"/>
      <c r="Q1039" s="1609"/>
      <c r="R1039" s="1609"/>
      <c r="S1039" s="1609"/>
      <c r="T1039" s="1609"/>
      <c r="U1039" s="1609"/>
      <c r="V1039" s="1609"/>
      <c r="W1039" s="1609"/>
      <c r="X1039" s="1609"/>
      <c r="Y1039" s="1609"/>
      <c r="Z1039" s="1609"/>
      <c r="AA1039" s="1609"/>
      <c r="AB1039" s="1609"/>
      <c r="AC1039" s="1609"/>
      <c r="AD1039" s="1609"/>
      <c r="AE1039" s="1609"/>
      <c r="AF1039" s="1609"/>
      <c r="AG1039" s="1609"/>
      <c r="AH1039" s="1609"/>
      <c r="AI1039" s="1609"/>
      <c r="AJ1039" s="1609"/>
      <c r="AK1039" s="160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9"/>
      <c r="E1040" s="1609"/>
      <c r="F1040" s="1609"/>
      <c r="G1040" s="1609"/>
      <c r="H1040" s="1609"/>
      <c r="I1040" s="1609"/>
      <c r="J1040" s="1609"/>
      <c r="K1040" s="1609"/>
      <c r="L1040" s="1609"/>
      <c r="M1040" s="1609"/>
      <c r="N1040" s="1609"/>
      <c r="O1040" s="1609"/>
      <c r="P1040" s="1609"/>
      <c r="Q1040" s="1609"/>
      <c r="R1040" s="1609"/>
      <c r="S1040" s="1609"/>
      <c r="T1040" s="1609"/>
      <c r="U1040" s="1609"/>
      <c r="V1040" s="1609"/>
      <c r="W1040" s="1609"/>
      <c r="X1040" s="1609"/>
      <c r="Y1040" s="1609"/>
      <c r="Z1040" s="1609"/>
      <c r="AA1040" s="1609"/>
      <c r="AB1040" s="1609"/>
      <c r="AC1040" s="1609"/>
      <c r="AD1040" s="1609"/>
      <c r="AE1040" s="1609"/>
      <c r="AF1040" s="1609"/>
      <c r="AG1040" s="1609"/>
      <c r="AH1040" s="1609"/>
      <c r="AI1040" s="1609"/>
      <c r="AJ1040" s="1609"/>
      <c r="AK1040" s="160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9"/>
      <c r="E1041" s="1609"/>
      <c r="F1041" s="1609"/>
      <c r="G1041" s="1609"/>
      <c r="H1041" s="1609"/>
      <c r="I1041" s="1609"/>
      <c r="J1041" s="1609"/>
      <c r="K1041" s="1609"/>
      <c r="L1041" s="1609"/>
      <c r="M1041" s="1609"/>
      <c r="N1041" s="1609"/>
      <c r="O1041" s="1609"/>
      <c r="P1041" s="1609"/>
      <c r="Q1041" s="1609"/>
      <c r="R1041" s="1609"/>
      <c r="S1041" s="1609"/>
      <c r="T1041" s="1609"/>
      <c r="U1041" s="1609"/>
      <c r="V1041" s="1609"/>
      <c r="W1041" s="1609"/>
      <c r="X1041" s="1609"/>
      <c r="Y1041" s="1609"/>
      <c r="Z1041" s="1609"/>
      <c r="AA1041" s="1609"/>
      <c r="AB1041" s="1609"/>
      <c r="AC1041" s="1609"/>
      <c r="AD1041" s="1609"/>
      <c r="AE1041" s="1609"/>
      <c r="AF1041" s="1609"/>
      <c r="AG1041" s="1609"/>
      <c r="AH1041" s="1609"/>
      <c r="AI1041" s="1609"/>
      <c r="AJ1041" s="1609"/>
      <c r="AK1041" s="160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9"/>
      <c r="E1042" s="1609"/>
      <c r="F1042" s="1609"/>
      <c r="G1042" s="1609"/>
      <c r="H1042" s="1609"/>
      <c r="I1042" s="1609"/>
      <c r="J1042" s="1609"/>
      <c r="K1042" s="1609"/>
      <c r="L1042" s="1609"/>
      <c r="M1042" s="1609"/>
      <c r="N1042" s="1609"/>
      <c r="O1042" s="1609"/>
      <c r="P1042" s="1609"/>
      <c r="Q1042" s="1609"/>
      <c r="R1042" s="1609"/>
      <c r="S1042" s="1609"/>
      <c r="T1042" s="1609"/>
      <c r="U1042" s="1609"/>
      <c r="V1042" s="1609"/>
      <c r="W1042" s="1609"/>
      <c r="X1042" s="1609"/>
      <c r="Y1042" s="1609"/>
      <c r="Z1042" s="1609"/>
      <c r="AA1042" s="1609"/>
      <c r="AB1042" s="1609"/>
      <c r="AC1042" s="1609"/>
      <c r="AD1042" s="1609"/>
      <c r="AE1042" s="1609"/>
      <c r="AF1042" s="1609"/>
      <c r="AG1042" s="1609"/>
      <c r="AH1042" s="1609"/>
      <c r="AI1042" s="1609"/>
      <c r="AJ1042" s="1609"/>
      <c r="AK1042" s="160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9"/>
      <c r="E1043" s="1609"/>
      <c r="F1043" s="1609"/>
      <c r="G1043" s="1609"/>
      <c r="H1043" s="1609"/>
      <c r="I1043" s="1609"/>
      <c r="J1043" s="1609"/>
      <c r="K1043" s="1609"/>
      <c r="L1043" s="1609"/>
      <c r="M1043" s="1609"/>
      <c r="N1043" s="1609"/>
      <c r="O1043" s="1609"/>
      <c r="P1043" s="1609"/>
      <c r="Q1043" s="1609"/>
      <c r="R1043" s="1609"/>
      <c r="S1043" s="1609"/>
      <c r="T1043" s="1609"/>
      <c r="U1043" s="1609"/>
      <c r="V1043" s="1609"/>
      <c r="W1043" s="1609"/>
      <c r="X1043" s="1609"/>
      <c r="Y1043" s="1609"/>
      <c r="Z1043" s="1609"/>
      <c r="AA1043" s="1609"/>
      <c r="AB1043" s="1609"/>
      <c r="AC1043" s="1609"/>
      <c r="AD1043" s="1609"/>
      <c r="AE1043" s="1609"/>
      <c r="AF1043" s="1609"/>
      <c r="AG1043" s="1609"/>
      <c r="AH1043" s="1609"/>
      <c r="AI1043" s="1609"/>
      <c r="AJ1043" s="1609"/>
      <c r="AK1043" s="160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8" t="s">
        <v>136</v>
      </c>
      <c r="B1044" s="1688"/>
      <c r="C1044" s="17">
        <v>6</v>
      </c>
      <c r="D1044" s="1609" t="s">
        <v>1706</v>
      </c>
      <c r="E1044" s="1609"/>
      <c r="F1044" s="1609"/>
      <c r="G1044" s="1609"/>
      <c r="H1044" s="1609"/>
      <c r="I1044" s="1609"/>
      <c r="J1044" s="1609"/>
      <c r="K1044" s="1609"/>
      <c r="L1044" s="1609"/>
      <c r="M1044" s="1609"/>
      <c r="N1044" s="1609"/>
      <c r="O1044" s="1609"/>
      <c r="P1044" s="1609"/>
      <c r="Q1044" s="1609"/>
      <c r="R1044" s="1609"/>
      <c r="S1044" s="1609"/>
      <c r="T1044" s="1609"/>
      <c r="U1044" s="1609"/>
      <c r="V1044" s="1609"/>
      <c r="W1044" s="1609"/>
      <c r="X1044" s="1609"/>
      <c r="Y1044" s="1609"/>
      <c r="Z1044" s="1609"/>
      <c r="AA1044" s="1609"/>
      <c r="AB1044" s="1609"/>
      <c r="AC1044" s="1609"/>
      <c r="AD1044" s="1609"/>
      <c r="AE1044" s="1609"/>
      <c r="AF1044" s="1609"/>
      <c r="AG1044" s="1609"/>
      <c r="AH1044" s="1609"/>
      <c r="AI1044" s="1609"/>
      <c r="AJ1044" s="1609"/>
      <c r="AK1044" s="160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9"/>
      <c r="E1045" s="1609"/>
      <c r="F1045" s="1609"/>
      <c r="G1045" s="1609"/>
      <c r="H1045" s="1609"/>
      <c r="I1045" s="1609"/>
      <c r="J1045" s="1609"/>
      <c r="K1045" s="1609"/>
      <c r="L1045" s="1609"/>
      <c r="M1045" s="1609"/>
      <c r="N1045" s="1609"/>
      <c r="O1045" s="1609"/>
      <c r="P1045" s="1609"/>
      <c r="Q1045" s="1609"/>
      <c r="R1045" s="1609"/>
      <c r="S1045" s="1609"/>
      <c r="T1045" s="1609"/>
      <c r="U1045" s="1609"/>
      <c r="V1045" s="1609"/>
      <c r="W1045" s="1609"/>
      <c r="X1045" s="1609"/>
      <c r="Y1045" s="1609"/>
      <c r="Z1045" s="1609"/>
      <c r="AA1045" s="1609"/>
      <c r="AB1045" s="1609"/>
      <c r="AC1045" s="1609"/>
      <c r="AD1045" s="1609"/>
      <c r="AE1045" s="1609"/>
      <c r="AF1045" s="1609"/>
      <c r="AG1045" s="1609"/>
      <c r="AH1045" s="1609"/>
      <c r="AI1045" s="1609"/>
      <c r="AJ1045" s="1609"/>
      <c r="AK1045" s="160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9"/>
      <c r="E1046" s="1609"/>
      <c r="F1046" s="1609"/>
      <c r="G1046" s="1609"/>
      <c r="H1046" s="1609"/>
      <c r="I1046" s="1609"/>
      <c r="J1046" s="1609"/>
      <c r="K1046" s="1609"/>
      <c r="L1046" s="1609"/>
      <c r="M1046" s="1609"/>
      <c r="N1046" s="1609"/>
      <c r="O1046" s="1609"/>
      <c r="P1046" s="1609"/>
      <c r="Q1046" s="1609"/>
      <c r="R1046" s="1609"/>
      <c r="S1046" s="1609"/>
      <c r="T1046" s="1609"/>
      <c r="U1046" s="1609"/>
      <c r="V1046" s="1609"/>
      <c r="W1046" s="1609"/>
      <c r="X1046" s="1609"/>
      <c r="Y1046" s="1609"/>
      <c r="Z1046" s="1609"/>
      <c r="AA1046" s="1609"/>
      <c r="AB1046" s="1609"/>
      <c r="AC1046" s="1609"/>
      <c r="AD1046" s="1609"/>
      <c r="AE1046" s="1609"/>
      <c r="AF1046" s="1609"/>
      <c r="AG1046" s="1609"/>
      <c r="AH1046" s="1609"/>
      <c r="AI1046" s="1609"/>
      <c r="AJ1046" s="1609"/>
      <c r="AK1046" s="160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8" t="s">
        <v>136</v>
      </c>
      <c r="B1047" s="1688"/>
      <c r="C1047" s="559">
        <v>7</v>
      </c>
      <c r="D1047" s="1609" t="s">
        <v>1708</v>
      </c>
      <c r="E1047" s="1609"/>
      <c r="F1047" s="1609"/>
      <c r="G1047" s="1609"/>
      <c r="H1047" s="1609"/>
      <c r="I1047" s="1609"/>
      <c r="J1047" s="1609"/>
      <c r="K1047" s="1609"/>
      <c r="L1047" s="1609"/>
      <c r="M1047" s="1609"/>
      <c r="N1047" s="1609"/>
      <c r="O1047" s="1609"/>
      <c r="P1047" s="1609"/>
      <c r="Q1047" s="1609"/>
      <c r="R1047" s="1609"/>
      <c r="S1047" s="1609"/>
      <c r="T1047" s="1609"/>
      <c r="U1047" s="1609"/>
      <c r="V1047" s="1609"/>
      <c r="W1047" s="1609"/>
      <c r="X1047" s="1609"/>
      <c r="Y1047" s="1609"/>
      <c r="Z1047" s="1609"/>
      <c r="AA1047" s="1609"/>
      <c r="AB1047" s="1609"/>
      <c r="AC1047" s="1609"/>
      <c r="AD1047" s="1609"/>
      <c r="AE1047" s="1609"/>
      <c r="AF1047" s="1609"/>
      <c r="AG1047" s="1609"/>
      <c r="AH1047" s="1609"/>
      <c r="AI1047" s="1609"/>
      <c r="AJ1047" s="1609"/>
      <c r="AK1047" s="160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9"/>
      <c r="E1048" s="1609"/>
      <c r="F1048" s="1609"/>
      <c r="G1048" s="1609"/>
      <c r="H1048" s="1609"/>
      <c r="I1048" s="1609"/>
      <c r="J1048" s="1609"/>
      <c r="K1048" s="1609"/>
      <c r="L1048" s="1609"/>
      <c r="M1048" s="1609"/>
      <c r="N1048" s="1609"/>
      <c r="O1048" s="1609"/>
      <c r="P1048" s="1609"/>
      <c r="Q1048" s="1609"/>
      <c r="R1048" s="1609"/>
      <c r="S1048" s="1609"/>
      <c r="T1048" s="1609"/>
      <c r="U1048" s="1609"/>
      <c r="V1048" s="1609"/>
      <c r="W1048" s="1609"/>
      <c r="X1048" s="1609"/>
      <c r="Y1048" s="1609"/>
      <c r="Z1048" s="1609"/>
      <c r="AA1048" s="1609"/>
      <c r="AB1048" s="1609"/>
      <c r="AC1048" s="1609"/>
      <c r="AD1048" s="1609"/>
      <c r="AE1048" s="1609"/>
      <c r="AF1048" s="1609"/>
      <c r="AG1048" s="1609"/>
      <c r="AH1048" s="1609"/>
      <c r="AI1048" s="1609"/>
      <c r="AJ1048" s="1609"/>
      <c r="AK1048" s="160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9"/>
      <c r="E1049" s="1609"/>
      <c r="F1049" s="1609"/>
      <c r="G1049" s="1609"/>
      <c r="H1049" s="1609"/>
      <c r="I1049" s="1609"/>
      <c r="J1049" s="1609"/>
      <c r="K1049" s="1609"/>
      <c r="L1049" s="1609"/>
      <c r="M1049" s="1609"/>
      <c r="N1049" s="1609"/>
      <c r="O1049" s="1609"/>
      <c r="P1049" s="1609"/>
      <c r="Q1049" s="1609"/>
      <c r="R1049" s="1609"/>
      <c r="S1049" s="1609"/>
      <c r="T1049" s="1609"/>
      <c r="U1049" s="1609"/>
      <c r="V1049" s="1609"/>
      <c r="W1049" s="1609"/>
      <c r="X1049" s="1609"/>
      <c r="Y1049" s="1609"/>
      <c r="Z1049" s="1609"/>
      <c r="AA1049" s="1609"/>
      <c r="AB1049" s="1609"/>
      <c r="AC1049" s="1609"/>
      <c r="AD1049" s="1609"/>
      <c r="AE1049" s="1609"/>
      <c r="AF1049" s="1609"/>
      <c r="AG1049" s="1609"/>
      <c r="AH1049" s="1609"/>
      <c r="AI1049" s="1609"/>
      <c r="AJ1049" s="1609"/>
      <c r="AK1049" s="160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9"/>
      <c r="E1050" s="1609"/>
      <c r="F1050" s="1609"/>
      <c r="G1050" s="1609"/>
      <c r="H1050" s="1609"/>
      <c r="I1050" s="1609"/>
      <c r="J1050" s="1609"/>
      <c r="K1050" s="1609"/>
      <c r="L1050" s="1609"/>
      <c r="M1050" s="1609"/>
      <c r="N1050" s="1609"/>
      <c r="O1050" s="1609"/>
      <c r="P1050" s="1609"/>
      <c r="Q1050" s="1609"/>
      <c r="R1050" s="1609"/>
      <c r="S1050" s="1609"/>
      <c r="T1050" s="1609"/>
      <c r="U1050" s="1609"/>
      <c r="V1050" s="1609"/>
      <c r="W1050" s="1609"/>
      <c r="X1050" s="1609"/>
      <c r="Y1050" s="1609"/>
      <c r="Z1050" s="1609"/>
      <c r="AA1050" s="1609"/>
      <c r="AB1050" s="1609"/>
      <c r="AC1050" s="1609"/>
      <c r="AD1050" s="1609"/>
      <c r="AE1050" s="1609"/>
      <c r="AF1050" s="1609"/>
      <c r="AG1050" s="1609"/>
      <c r="AH1050" s="1609"/>
      <c r="AI1050" s="1609"/>
      <c r="AJ1050" s="1609"/>
      <c r="AK1050" s="160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8" t="s">
        <v>136</v>
      </c>
      <c r="B1051" s="1688"/>
      <c r="C1051" s="559">
        <v>8</v>
      </c>
      <c r="D1051" s="1608" t="s">
        <v>2321</v>
      </c>
      <c r="E1051" s="1609"/>
      <c r="F1051" s="1609"/>
      <c r="G1051" s="1609"/>
      <c r="H1051" s="1609"/>
      <c r="I1051" s="1609"/>
      <c r="J1051" s="1609"/>
      <c r="K1051" s="1609"/>
      <c r="L1051" s="1609"/>
      <c r="M1051" s="1609"/>
      <c r="N1051" s="1609"/>
      <c r="O1051" s="1609"/>
      <c r="P1051" s="1609"/>
      <c r="Q1051" s="1609"/>
      <c r="R1051" s="1609"/>
      <c r="S1051" s="1609"/>
      <c r="T1051" s="1609"/>
      <c r="U1051" s="1609"/>
      <c r="V1051" s="1609"/>
      <c r="W1051" s="1609"/>
      <c r="X1051" s="1609"/>
      <c r="Y1051" s="1609"/>
      <c r="Z1051" s="1609"/>
      <c r="AA1051" s="1609"/>
      <c r="AB1051" s="1609"/>
      <c r="AC1051" s="1609"/>
      <c r="AD1051" s="1609"/>
      <c r="AE1051" s="1609"/>
      <c r="AF1051" s="1609"/>
      <c r="AG1051" s="1609"/>
      <c r="AH1051" s="1609"/>
      <c r="AI1051" s="1609"/>
      <c r="AJ1051" s="1609"/>
      <c r="AK1051" s="1609"/>
      <c r="AL1051" s="16"/>
      <c r="CE1051" s="1380"/>
    </row>
    <row r="1052" spans="1:97" ht="12.75" customHeight="1">
      <c r="A1052" s="1084"/>
      <c r="B1052" s="1084"/>
      <c r="C1052" s="559"/>
      <c r="D1052" s="1609"/>
      <c r="E1052" s="1609"/>
      <c r="F1052" s="1609"/>
      <c r="G1052" s="1609"/>
      <c r="H1052" s="1609"/>
      <c r="I1052" s="1609"/>
      <c r="J1052" s="1609"/>
      <c r="K1052" s="1609"/>
      <c r="L1052" s="1609"/>
      <c r="M1052" s="1609"/>
      <c r="N1052" s="1609"/>
      <c r="O1052" s="1609"/>
      <c r="P1052" s="1609"/>
      <c r="Q1052" s="1609"/>
      <c r="R1052" s="1609"/>
      <c r="S1052" s="1609"/>
      <c r="T1052" s="1609"/>
      <c r="U1052" s="1609"/>
      <c r="V1052" s="1609"/>
      <c r="W1052" s="1609"/>
      <c r="X1052" s="1609"/>
      <c r="Y1052" s="1609"/>
      <c r="Z1052" s="1609"/>
      <c r="AA1052" s="1609"/>
      <c r="AB1052" s="1609"/>
      <c r="AC1052" s="1609"/>
      <c r="AD1052" s="1609"/>
      <c r="AE1052" s="1609"/>
      <c r="AF1052" s="1609"/>
      <c r="AG1052" s="1609"/>
      <c r="AH1052" s="1609"/>
      <c r="AI1052" s="1609"/>
      <c r="AJ1052" s="1609"/>
      <c r="AK1052" s="1609"/>
    </row>
    <row r="1053" spans="1:97" ht="12.75" customHeight="1">
      <c r="A1053" s="390"/>
      <c r="B1053" s="390"/>
      <c r="C1053" s="559"/>
      <c r="D1053" s="1609"/>
      <c r="E1053" s="1609"/>
      <c r="F1053" s="1609"/>
      <c r="G1053" s="1609"/>
      <c r="H1053" s="1609"/>
      <c r="I1053" s="1609"/>
      <c r="J1053" s="1609"/>
      <c r="K1053" s="1609"/>
      <c r="L1053" s="1609"/>
      <c r="M1053" s="1609"/>
      <c r="N1053" s="1609"/>
      <c r="O1053" s="1609"/>
      <c r="P1053" s="1609"/>
      <c r="Q1053" s="1609"/>
      <c r="R1053" s="1609"/>
      <c r="S1053" s="1609"/>
      <c r="T1053" s="1609"/>
      <c r="U1053" s="1609"/>
      <c r="V1053" s="1609"/>
      <c r="W1053" s="1609"/>
      <c r="X1053" s="1609"/>
      <c r="Y1053" s="1609"/>
      <c r="Z1053" s="1609"/>
      <c r="AA1053" s="1609"/>
      <c r="AB1053" s="1609"/>
      <c r="AC1053" s="1609"/>
      <c r="AD1053" s="1609"/>
      <c r="AE1053" s="1609"/>
      <c r="AF1053" s="1609"/>
      <c r="AG1053" s="1609"/>
      <c r="AH1053" s="1609"/>
      <c r="AI1053" s="1609"/>
      <c r="AJ1053" s="1609"/>
      <c r="AK1053" s="1609"/>
    </row>
    <row r="1054" spans="1:97" ht="12.75" customHeight="1">
      <c r="A1054" s="76"/>
      <c r="B1054" s="80"/>
      <c r="C1054" s="559"/>
      <c r="D1054" s="1609"/>
      <c r="E1054" s="1609"/>
      <c r="F1054" s="1609"/>
      <c r="G1054" s="1609"/>
      <c r="H1054" s="1609"/>
      <c r="I1054" s="1609"/>
      <c r="J1054" s="1609"/>
      <c r="K1054" s="1609"/>
      <c r="L1054" s="1609"/>
      <c r="M1054" s="1609"/>
      <c r="N1054" s="1609"/>
      <c r="O1054" s="1609"/>
      <c r="P1054" s="1609"/>
      <c r="Q1054" s="1609"/>
      <c r="R1054" s="1609"/>
      <c r="S1054" s="1609"/>
      <c r="T1054" s="1609"/>
      <c r="U1054" s="1609"/>
      <c r="V1054" s="1609"/>
      <c r="W1054" s="1609"/>
      <c r="X1054" s="1609"/>
      <c r="Y1054" s="1609"/>
      <c r="Z1054" s="1609"/>
      <c r="AA1054" s="1609"/>
      <c r="AB1054" s="1609"/>
      <c r="AC1054" s="1609"/>
      <c r="AD1054" s="1609"/>
      <c r="AE1054" s="1609"/>
      <c r="AF1054" s="1609"/>
      <c r="AG1054" s="1609"/>
      <c r="AH1054" s="1609"/>
      <c r="AI1054" s="1609"/>
      <c r="AJ1054" s="1609"/>
      <c r="AK1054" s="1609"/>
    </row>
    <row r="1055" spans="1:97" ht="29.25" customHeight="1">
      <c r="A1055" s="1697" t="s">
        <v>136</v>
      </c>
      <c r="B1055" s="1697"/>
      <c r="C1055" s="559">
        <v>9</v>
      </c>
      <c r="D1055" s="1609" t="s">
        <v>1707</v>
      </c>
      <c r="E1055" s="1609"/>
      <c r="F1055" s="1609"/>
      <c r="G1055" s="1609"/>
      <c r="H1055" s="1609"/>
      <c r="I1055" s="1609"/>
      <c r="J1055" s="1609"/>
      <c r="K1055" s="1609"/>
      <c r="L1055" s="1609"/>
      <c r="M1055" s="1609"/>
      <c r="N1055" s="1609"/>
      <c r="O1055" s="1609"/>
      <c r="P1055" s="1609"/>
      <c r="Q1055" s="1609"/>
      <c r="R1055" s="1609"/>
      <c r="S1055" s="1609"/>
      <c r="T1055" s="1609"/>
      <c r="U1055" s="1609"/>
      <c r="V1055" s="1609"/>
      <c r="W1055" s="1609"/>
      <c r="X1055" s="1609"/>
      <c r="Y1055" s="1609"/>
      <c r="Z1055" s="1609"/>
      <c r="AA1055" s="1609"/>
      <c r="AB1055" s="1609"/>
      <c r="AC1055" s="1609"/>
      <c r="AD1055" s="1609"/>
      <c r="AE1055" s="1609"/>
      <c r="AF1055" s="1609"/>
      <c r="AG1055" s="1609"/>
      <c r="AH1055" s="1609"/>
      <c r="AI1055" s="1609"/>
      <c r="AJ1055" s="1609"/>
      <c r="AK1055" s="1609"/>
    </row>
    <row r="1056" spans="1:97" ht="12.75" hidden="1" customHeight="1">
      <c r="A1056" s="76"/>
      <c r="B1056" s="80"/>
      <c r="C1056" s="559"/>
      <c r="D1056" s="1609"/>
      <c r="E1056" s="1609"/>
      <c r="F1056" s="1609"/>
      <c r="G1056" s="1609"/>
      <c r="H1056" s="1609"/>
      <c r="I1056" s="1609"/>
      <c r="J1056" s="1609"/>
      <c r="K1056" s="1609"/>
      <c r="L1056" s="1609"/>
      <c r="M1056" s="1609"/>
      <c r="N1056" s="1609"/>
      <c r="O1056" s="1609"/>
      <c r="P1056" s="1609"/>
      <c r="Q1056" s="1609"/>
      <c r="R1056" s="1609"/>
      <c r="S1056" s="1609"/>
      <c r="T1056" s="1609"/>
      <c r="U1056" s="1609"/>
      <c r="V1056" s="1609"/>
      <c r="W1056" s="1609"/>
      <c r="X1056" s="1609"/>
      <c r="Y1056" s="1609"/>
      <c r="Z1056" s="1609"/>
      <c r="AA1056" s="1609"/>
      <c r="AB1056" s="1609"/>
      <c r="AC1056" s="1609"/>
      <c r="AD1056" s="1609"/>
      <c r="AE1056" s="1609"/>
      <c r="AF1056" s="1609"/>
      <c r="AG1056" s="1609"/>
      <c r="AH1056" s="1609"/>
      <c r="AI1056" s="1609"/>
      <c r="AJ1056" s="1609"/>
      <c r="AK1056" s="1609"/>
    </row>
    <row r="1057" spans="1:38" ht="12.75" hidden="1" customHeight="1">
      <c r="D1057" s="1609"/>
      <c r="E1057" s="1609"/>
      <c r="F1057" s="1609"/>
      <c r="G1057" s="1609"/>
      <c r="H1057" s="1609"/>
      <c r="I1057" s="1609"/>
      <c r="J1057" s="1609"/>
      <c r="K1057" s="1609"/>
      <c r="L1057" s="1609"/>
      <c r="M1057" s="1609"/>
      <c r="N1057" s="1609"/>
      <c r="O1057" s="1609"/>
      <c r="P1057" s="1609"/>
      <c r="Q1057" s="1609"/>
      <c r="R1057" s="1609"/>
      <c r="S1057" s="1609"/>
      <c r="T1057" s="1609"/>
      <c r="U1057" s="1609"/>
      <c r="V1057" s="1609"/>
      <c r="W1057" s="1609"/>
      <c r="X1057" s="1609"/>
      <c r="Y1057" s="1609"/>
      <c r="Z1057" s="1609"/>
      <c r="AA1057" s="1609"/>
      <c r="AB1057" s="1609"/>
      <c r="AC1057" s="1609"/>
      <c r="AD1057" s="1609"/>
      <c r="AE1057" s="1609"/>
      <c r="AF1057" s="1609"/>
      <c r="AG1057" s="1609"/>
      <c r="AH1057" s="1609"/>
      <c r="AI1057" s="1609"/>
      <c r="AJ1057" s="1609"/>
      <c r="AK1057" s="1609"/>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G596:AH59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2" priority="2" stopIfTrue="1" operator="equal">
      <formula>"Please Enter Amount:"</formula>
    </cfRule>
  </conditionalFormatting>
  <conditionalFormatting sqref="B1013 B1011">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8">
    <cfRule type="cellIs" dxfId="139" priority="3" stopIfTrue="1" operator="equal">
      <formula>"Please Enter Amount:"</formula>
    </cfRule>
  </conditionalFormatting>
  <conditionalFormatting sqref="AF983">
    <cfRule type="cellIs" dxfId="13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64" activePane="bottomRight" state="frozen"/>
      <selection pane="topRight" activeCell="C1" sqref="C1"/>
      <selection pane="bottomLeft" activeCell="A4" sqref="A4"/>
      <selection pane="bottomRight" activeCell="M88" sqref="M88"/>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1" t="s">
        <v>201</v>
      </c>
      <c r="G1" s="2242"/>
      <c r="H1" s="2242"/>
      <c r="I1" s="2242"/>
      <c r="J1" s="2242"/>
      <c r="K1" s="2242"/>
      <c r="L1" s="2242"/>
      <c r="M1" s="2242"/>
      <c r="N1" s="2242"/>
      <c r="O1" s="2242"/>
      <c r="P1" s="2242"/>
      <c r="Q1" s="2242"/>
      <c r="R1" s="2243"/>
      <c r="S1" s="314"/>
      <c r="T1" s="313"/>
      <c r="U1" s="315"/>
    </row>
    <row r="2" spans="1:21" s="362" customFormat="1" ht="60" customHeight="1">
      <c r="A2" s="361"/>
      <c r="B2" s="362" t="s">
        <v>876</v>
      </c>
      <c r="C2" s="362" t="s">
        <v>565</v>
      </c>
      <c r="D2" s="432" t="s">
        <v>564</v>
      </c>
      <c r="E2" s="362" t="s">
        <v>877</v>
      </c>
      <c r="F2" s="363" t="str">
        <f>Application!B632&amp;Application!C632</f>
        <v>1)Citi Perm Loan</v>
      </c>
      <c r="G2" s="363" t="str">
        <f>Application!B633&amp;Application!C633</f>
        <v>2)SDHC Loan</v>
      </c>
      <c r="H2" s="363" t="str">
        <f>Application!B634&amp;Application!C634</f>
        <v>3)MHP-HCD</v>
      </c>
      <c r="I2" s="363" t="str">
        <f>Application!B635&amp;Application!C635</f>
        <v>4)Operating Income</v>
      </c>
      <c r="J2" s="363" t="str">
        <f>Application!B636&amp;Application!C636</f>
        <v>5)Deferred Developer Fee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2200000</v>
      </c>
      <c r="C4" s="371">
        <v>2200000</v>
      </c>
      <c r="D4" s="371"/>
      <c r="E4" s="371">
        <f>B4-SUM(F4:K4)</f>
        <v>2200000</v>
      </c>
      <c r="F4" s="371"/>
      <c r="G4" s="371"/>
      <c r="H4" s="371"/>
      <c r="I4" s="371"/>
      <c r="J4" s="371"/>
      <c r="K4" s="371"/>
      <c r="L4" s="371"/>
      <c r="M4" s="371"/>
      <c r="N4" s="371"/>
      <c r="O4" s="371"/>
      <c r="P4" s="371"/>
      <c r="Q4" s="371"/>
      <c r="R4" s="371">
        <f>C4</f>
        <v>2200000</v>
      </c>
      <c r="S4" s="372"/>
      <c r="T4" s="372"/>
      <c r="U4" s="367"/>
    </row>
    <row r="5" spans="1:21" s="368" customFormat="1" ht="13.5">
      <c r="A5" s="481" t="s">
        <v>75</v>
      </c>
      <c r="B5" s="370">
        <f>SUM(C5+D5)</f>
        <v>50000</v>
      </c>
      <c r="C5" s="371">
        <v>50000</v>
      </c>
      <c r="D5" s="371"/>
      <c r="E5" s="371">
        <f t="shared" ref="E5:E7" si="0">B5-SUM(F5:K5)</f>
        <v>50000</v>
      </c>
      <c r="F5" s="371"/>
      <c r="G5" s="371"/>
      <c r="H5" s="371"/>
      <c r="I5" s="371"/>
      <c r="J5" s="371"/>
      <c r="K5" s="371"/>
      <c r="L5" s="371"/>
      <c r="M5" s="371"/>
      <c r="N5" s="371"/>
      <c r="O5" s="371"/>
      <c r="P5" s="371"/>
      <c r="Q5" s="371"/>
      <c r="R5" s="371">
        <f>SUM(E5:Q5)</f>
        <v>50000</v>
      </c>
      <c r="S5" s="372"/>
      <c r="T5" s="372"/>
      <c r="U5" s="367"/>
    </row>
    <row r="6" spans="1:21" s="368" customFormat="1">
      <c r="A6" s="369" t="s">
        <v>382</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2250000</v>
      </c>
      <c r="C8" s="370">
        <f t="shared" ref="C8:R8" si="1">SUM(C4:C7)</f>
        <v>2250000</v>
      </c>
      <c r="D8" s="370">
        <f t="shared" si="1"/>
        <v>0</v>
      </c>
      <c r="E8" s="370">
        <f t="shared" si="1"/>
        <v>2250000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2250000</v>
      </c>
      <c r="S8" s="372"/>
      <c r="T8" s="372"/>
      <c r="U8" s="367"/>
    </row>
    <row r="9" spans="1:21" s="368" customFormat="1">
      <c r="A9" s="369" t="s">
        <v>1938</v>
      </c>
      <c r="B9" s="370">
        <f>SUM(C9+D9)</f>
        <v>0</v>
      </c>
      <c r="C9" s="371"/>
      <c r="D9" s="371"/>
      <c r="E9" s="371">
        <f t="shared" ref="E9:E10" si="2">B9-SUM(F9:K9)</f>
        <v>0</v>
      </c>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1285000</v>
      </c>
      <c r="C10" s="371">
        <v>1285000</v>
      </c>
      <c r="D10" s="371"/>
      <c r="E10" s="371">
        <f t="shared" si="2"/>
        <v>1285000</v>
      </c>
      <c r="F10" s="371"/>
      <c r="G10" s="371"/>
      <c r="H10" s="371"/>
      <c r="I10" s="371"/>
      <c r="J10" s="371"/>
      <c r="K10" s="371"/>
      <c r="L10" s="371"/>
      <c r="M10" s="371"/>
      <c r="N10" s="371"/>
      <c r="O10" s="371"/>
      <c r="P10" s="371"/>
      <c r="Q10" s="371"/>
      <c r="R10" s="371">
        <f>SUM(E10:Q10)</f>
        <v>1285000</v>
      </c>
      <c r="S10" s="371">
        <f>C10</f>
        <v>1285000</v>
      </c>
      <c r="T10" s="371"/>
      <c r="U10" s="367"/>
    </row>
    <row r="11" spans="1:21" s="368" customFormat="1">
      <c r="A11" s="373" t="s">
        <v>646</v>
      </c>
      <c r="B11" s="370">
        <f>SUM(C11:D11)</f>
        <v>1285000</v>
      </c>
      <c r="C11" s="370">
        <f t="shared" ref="C11:T11" si="3">SUM(C9:C10)</f>
        <v>1285000</v>
      </c>
      <c r="D11" s="370">
        <f t="shared" si="3"/>
        <v>0</v>
      </c>
      <c r="E11" s="370">
        <f t="shared" si="3"/>
        <v>1285000</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1285000</v>
      </c>
      <c r="S11" s="372"/>
      <c r="T11" s="370">
        <f t="shared" si="3"/>
        <v>0</v>
      </c>
      <c r="U11" s="367"/>
    </row>
    <row r="12" spans="1:21" s="368" customFormat="1">
      <c r="A12" s="373" t="s">
        <v>778</v>
      </c>
      <c r="B12" s="370">
        <f t="shared" ref="B12:R12" si="4">SUM(B8+B11)</f>
        <v>3535000</v>
      </c>
      <c r="C12" s="370">
        <f t="shared" si="4"/>
        <v>3535000</v>
      </c>
      <c r="D12" s="370">
        <f t="shared" si="4"/>
        <v>0</v>
      </c>
      <c r="E12" s="370">
        <f t="shared" si="4"/>
        <v>3535000</v>
      </c>
      <c r="F12" s="370">
        <f t="shared" si="4"/>
        <v>0</v>
      </c>
      <c r="G12" s="370">
        <f t="shared" si="4"/>
        <v>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3535000</v>
      </c>
      <c r="S12" s="372"/>
      <c r="T12" s="372"/>
      <c r="U12" s="367"/>
    </row>
    <row r="13" spans="1:21" s="368" customFormat="1">
      <c r="A13" s="721" t="s">
        <v>1229</v>
      </c>
      <c r="B13" s="370">
        <f>SUM(C13+D13)</f>
        <v>536302</v>
      </c>
      <c r="C13" s="371">
        <f>526302+10000</f>
        <v>536302</v>
      </c>
      <c r="D13" s="371"/>
      <c r="E13" s="371">
        <f t="shared" ref="E13:E15" si="5">B13-SUM(F13:K13)</f>
        <v>536302</v>
      </c>
      <c r="F13" s="371"/>
      <c r="G13" s="371"/>
      <c r="H13" s="371"/>
      <c r="I13" s="371"/>
      <c r="J13" s="371"/>
      <c r="K13" s="371"/>
      <c r="L13" s="371"/>
      <c r="M13" s="371"/>
      <c r="N13" s="371"/>
      <c r="O13" s="371"/>
      <c r="P13" s="371"/>
      <c r="Q13" s="371"/>
      <c r="R13" s="371">
        <f>SUM(E13:Q13)</f>
        <v>536302</v>
      </c>
      <c r="S13" s="371">
        <v>10000</v>
      </c>
      <c r="T13" s="371"/>
      <c r="U13" s="367"/>
    </row>
    <row r="14" spans="1:21" s="368" customFormat="1" ht="24">
      <c r="A14" s="722" t="s">
        <v>1264</v>
      </c>
      <c r="B14" s="370">
        <f>SUM(C14+D14)</f>
        <v>200000</v>
      </c>
      <c r="C14" s="371">
        <v>200000</v>
      </c>
      <c r="D14" s="371"/>
      <c r="E14" s="371">
        <f t="shared" si="5"/>
        <v>200000</v>
      </c>
      <c r="F14" s="371"/>
      <c r="G14" s="371"/>
      <c r="H14" s="371"/>
      <c r="I14" s="371"/>
      <c r="J14" s="371"/>
      <c r="K14" s="371"/>
      <c r="L14" s="371"/>
      <c r="M14" s="371"/>
      <c r="N14" s="371"/>
      <c r="O14" s="371"/>
      <c r="P14" s="371"/>
      <c r="Q14" s="371"/>
      <c r="R14" s="371">
        <f>SUM(E14:Q14)</f>
        <v>200000</v>
      </c>
      <c r="S14" s="371">
        <f>C14</f>
        <v>200000</v>
      </c>
      <c r="T14" s="371"/>
      <c r="U14" s="367"/>
    </row>
    <row r="15" spans="1:21" s="368" customFormat="1">
      <c r="A15" s="722" t="s">
        <v>1894</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6">SUM(C17:D17)</f>
        <v>0</v>
      </c>
      <c r="C17" s="371"/>
      <c r="D17" s="371"/>
      <c r="E17" s="371">
        <f t="shared" ref="E17:E25" si="7">B17-SUM(F17:K17)</f>
        <v>0</v>
      </c>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6"/>
        <v>0</v>
      </c>
      <c r="C18" s="371"/>
      <c r="D18" s="371"/>
      <c r="E18" s="371">
        <f t="shared" si="7"/>
        <v>0</v>
      </c>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6"/>
        <v>0</v>
      </c>
      <c r="C19" s="371"/>
      <c r="D19" s="371"/>
      <c r="E19" s="371">
        <f t="shared" si="7"/>
        <v>0</v>
      </c>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6"/>
        <v>0</v>
      </c>
      <c r="C20" s="371"/>
      <c r="D20" s="371"/>
      <c r="E20" s="371">
        <f t="shared" si="7"/>
        <v>0</v>
      </c>
      <c r="F20" s="371"/>
      <c r="G20" s="371"/>
      <c r="H20" s="371"/>
      <c r="I20" s="371"/>
      <c r="J20" s="371"/>
      <c r="K20" s="371"/>
      <c r="L20" s="371"/>
      <c r="M20" s="371"/>
      <c r="N20" s="371"/>
      <c r="O20" s="371"/>
      <c r="P20" s="371"/>
      <c r="Q20" s="371"/>
      <c r="R20" s="371">
        <f t="shared" ref="R20:R27" si="8">SUM(E20:Q20)</f>
        <v>0</v>
      </c>
      <c r="S20" s="371"/>
      <c r="T20" s="371"/>
      <c r="U20" s="367"/>
    </row>
    <row r="21" spans="1:21" s="368" customFormat="1">
      <c r="A21" s="369" t="s">
        <v>1018</v>
      </c>
      <c r="B21" s="370">
        <f t="shared" si="6"/>
        <v>0</v>
      </c>
      <c r="C21" s="371"/>
      <c r="D21" s="371"/>
      <c r="E21" s="371">
        <f t="shared" si="7"/>
        <v>0</v>
      </c>
      <c r="F21" s="371"/>
      <c r="G21" s="371"/>
      <c r="H21" s="371"/>
      <c r="I21" s="371"/>
      <c r="J21" s="371"/>
      <c r="K21" s="371"/>
      <c r="L21" s="371"/>
      <c r="M21" s="371"/>
      <c r="N21" s="371"/>
      <c r="O21" s="371"/>
      <c r="P21" s="371"/>
      <c r="Q21" s="371"/>
      <c r="R21" s="371">
        <f t="shared" si="8"/>
        <v>0</v>
      </c>
      <c r="S21" s="371"/>
      <c r="T21" s="371"/>
      <c r="U21" s="367"/>
    </row>
    <row r="22" spans="1:21" s="368" customFormat="1">
      <c r="A22" s="369" t="s">
        <v>1019</v>
      </c>
      <c r="B22" s="370">
        <f t="shared" si="6"/>
        <v>0</v>
      </c>
      <c r="C22" s="371"/>
      <c r="D22" s="371"/>
      <c r="E22" s="371">
        <f t="shared" si="7"/>
        <v>0</v>
      </c>
      <c r="F22" s="371"/>
      <c r="G22" s="371"/>
      <c r="H22" s="371"/>
      <c r="I22" s="371"/>
      <c r="J22" s="371"/>
      <c r="K22" s="371"/>
      <c r="L22" s="371"/>
      <c r="M22" s="371"/>
      <c r="N22" s="371"/>
      <c r="O22" s="371"/>
      <c r="P22" s="371"/>
      <c r="Q22" s="371"/>
      <c r="R22" s="371">
        <f t="shared" si="8"/>
        <v>0</v>
      </c>
      <c r="S22" s="371"/>
      <c r="T22" s="371"/>
      <c r="U22" s="367"/>
    </row>
    <row r="23" spans="1:21" s="368" customFormat="1">
      <c r="A23" s="369" t="s">
        <v>1020</v>
      </c>
      <c r="B23" s="370">
        <f t="shared" si="6"/>
        <v>0</v>
      </c>
      <c r="C23" s="371"/>
      <c r="D23" s="371"/>
      <c r="E23" s="371">
        <f t="shared" si="7"/>
        <v>0</v>
      </c>
      <c r="F23" s="371"/>
      <c r="G23" s="371"/>
      <c r="H23" s="371"/>
      <c r="I23" s="371"/>
      <c r="J23" s="371"/>
      <c r="K23" s="371"/>
      <c r="L23" s="371"/>
      <c r="M23" s="371"/>
      <c r="N23" s="371"/>
      <c r="O23" s="371"/>
      <c r="P23" s="371"/>
      <c r="Q23" s="371"/>
      <c r="R23" s="371">
        <f t="shared" si="8"/>
        <v>0</v>
      </c>
      <c r="S23" s="371"/>
      <c r="T23" s="371"/>
      <c r="U23" s="367"/>
    </row>
    <row r="24" spans="1:21" s="368" customFormat="1">
      <c r="A24" s="380" t="s">
        <v>2239</v>
      </c>
      <c r="B24" s="370">
        <f t="shared" si="6"/>
        <v>0</v>
      </c>
      <c r="C24" s="371"/>
      <c r="D24" s="371"/>
      <c r="E24" s="371">
        <f t="shared" si="7"/>
        <v>0</v>
      </c>
      <c r="F24" s="371"/>
      <c r="G24" s="371"/>
      <c r="H24" s="371"/>
      <c r="I24" s="371"/>
      <c r="J24" s="371"/>
      <c r="K24" s="371"/>
      <c r="L24" s="371"/>
      <c r="M24" s="371"/>
      <c r="N24" s="371"/>
      <c r="O24" s="371"/>
      <c r="P24" s="371"/>
      <c r="Q24" s="371"/>
      <c r="R24" s="371">
        <f t="shared" si="8"/>
        <v>0</v>
      </c>
      <c r="S24" s="371"/>
      <c r="T24" s="371"/>
      <c r="U24" s="367"/>
    </row>
    <row r="25" spans="1:21" s="368" customFormat="1">
      <c r="A25" s="376" t="s">
        <v>592</v>
      </c>
      <c r="B25" s="370">
        <f t="shared" si="6"/>
        <v>0</v>
      </c>
      <c r="C25" s="371"/>
      <c r="D25" s="371"/>
      <c r="E25" s="371">
        <f t="shared" si="7"/>
        <v>0</v>
      </c>
      <c r="F25" s="371"/>
      <c r="G25" s="371"/>
      <c r="H25" s="371"/>
      <c r="I25" s="371"/>
      <c r="J25" s="371"/>
      <c r="K25" s="371"/>
      <c r="L25" s="371"/>
      <c r="M25" s="371"/>
      <c r="N25" s="371"/>
      <c r="O25" s="371"/>
      <c r="P25" s="371"/>
      <c r="Q25" s="371"/>
      <c r="R25" s="371">
        <f t="shared" si="8"/>
        <v>0</v>
      </c>
      <c r="S25" s="371"/>
      <c r="T25" s="371"/>
      <c r="U25" s="367"/>
    </row>
    <row r="26" spans="1:21" s="368" customFormat="1">
      <c r="A26" s="373" t="s">
        <v>248</v>
      </c>
      <c r="B26" s="370">
        <f t="shared" si="6"/>
        <v>0</v>
      </c>
      <c r="C26" s="370">
        <f>SUM(C17:C25)</f>
        <v>0</v>
      </c>
      <c r="D26" s="370">
        <f>SUM(D17:D25)</f>
        <v>0</v>
      </c>
      <c r="E26" s="370">
        <f>SUM(E17:E25)</f>
        <v>0</v>
      </c>
      <c r="F26" s="370">
        <f t="shared" ref="F26:T26" si="9">SUM(F17:F25)</f>
        <v>0</v>
      </c>
      <c r="G26" s="370">
        <f t="shared" si="9"/>
        <v>0</v>
      </c>
      <c r="H26" s="370">
        <f t="shared" si="9"/>
        <v>0</v>
      </c>
      <c r="I26" s="370">
        <f t="shared" si="9"/>
        <v>0</v>
      </c>
      <c r="J26" s="370">
        <f t="shared" si="9"/>
        <v>0</v>
      </c>
      <c r="K26" s="370">
        <f t="shared" si="9"/>
        <v>0</v>
      </c>
      <c r="L26" s="370">
        <f t="shared" si="9"/>
        <v>0</v>
      </c>
      <c r="M26" s="370">
        <f t="shared" si="9"/>
        <v>0</v>
      </c>
      <c r="N26" s="370">
        <f t="shared" si="9"/>
        <v>0</v>
      </c>
      <c r="O26" s="370">
        <f t="shared" si="9"/>
        <v>0</v>
      </c>
      <c r="P26" s="370">
        <f t="shared" si="9"/>
        <v>0</v>
      </c>
      <c r="Q26" s="370">
        <f t="shared" si="9"/>
        <v>0</v>
      </c>
      <c r="R26" s="370">
        <f>SUM(R17:R25)</f>
        <v>0</v>
      </c>
      <c r="S26" s="374">
        <f t="shared" si="9"/>
        <v>0</v>
      </c>
      <c r="T26" s="374">
        <f t="shared" si="9"/>
        <v>0</v>
      </c>
      <c r="U26" s="367"/>
    </row>
    <row r="27" spans="1:21" s="368" customFormat="1">
      <c r="A27" s="373" t="s">
        <v>1021</v>
      </c>
      <c r="B27" s="370">
        <f t="shared" si="6"/>
        <v>0</v>
      </c>
      <c r="C27" s="371"/>
      <c r="D27" s="371"/>
      <c r="E27" s="371">
        <f>B27-SUM(F27:K27)</f>
        <v>0</v>
      </c>
      <c r="F27" s="371"/>
      <c r="G27" s="371"/>
      <c r="H27" s="371"/>
      <c r="I27" s="371"/>
      <c r="J27" s="371"/>
      <c r="K27" s="371"/>
      <c r="L27" s="371"/>
      <c r="M27" s="371"/>
      <c r="N27" s="371"/>
      <c r="O27" s="371"/>
      <c r="P27" s="371"/>
      <c r="Q27" s="371"/>
      <c r="R27" s="371">
        <f t="shared" si="8"/>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10">SUM(C29+D29)</f>
        <v>940000</v>
      </c>
      <c r="C29" s="371">
        <v>940000</v>
      </c>
      <c r="D29" s="371"/>
      <c r="E29" s="371">
        <f t="shared" ref="E29:E37" si="11">B29-SUM(F29:K29)</f>
        <v>940000</v>
      </c>
      <c r="F29" s="371"/>
      <c r="G29" s="371"/>
      <c r="H29" s="371"/>
      <c r="I29" s="371"/>
      <c r="J29" s="371"/>
      <c r="K29" s="371"/>
      <c r="L29" s="371"/>
      <c r="M29" s="371"/>
      <c r="N29" s="371"/>
      <c r="O29" s="371"/>
      <c r="P29" s="371"/>
      <c r="Q29" s="371"/>
      <c r="R29" s="371">
        <f t="shared" ref="R29:R37" si="12">SUM(E29:Q29)</f>
        <v>940000</v>
      </c>
      <c r="S29" s="371">
        <f t="shared" ref="S29:S36" si="13">C29</f>
        <v>940000</v>
      </c>
      <c r="T29" s="371"/>
      <c r="U29" s="367"/>
    </row>
    <row r="30" spans="1:21" s="368" customFormat="1">
      <c r="A30" s="369" t="s">
        <v>1015</v>
      </c>
      <c r="B30" s="370">
        <f t="shared" si="10"/>
        <v>28527442</v>
      </c>
      <c r="C30" s="371">
        <f>4818550+1333544+22375348</f>
        <v>28527442</v>
      </c>
      <c r="D30" s="371"/>
      <c r="E30" s="371">
        <f t="shared" si="11"/>
        <v>455071</v>
      </c>
      <c r="F30" s="371">
        <f>F107</f>
        <v>3672371</v>
      </c>
      <c r="G30" s="371">
        <f>G107</f>
        <v>4400000</v>
      </c>
      <c r="H30" s="371">
        <f>H107</f>
        <v>20000000</v>
      </c>
      <c r="I30" s="371"/>
      <c r="J30" s="371"/>
      <c r="K30" s="371"/>
      <c r="L30" s="371"/>
      <c r="M30" s="371"/>
      <c r="N30" s="371"/>
      <c r="O30" s="371"/>
      <c r="P30" s="371"/>
      <c r="Q30" s="371"/>
      <c r="R30" s="371">
        <f t="shared" si="12"/>
        <v>28527442</v>
      </c>
      <c r="S30" s="371">
        <f t="shared" si="13"/>
        <v>28527442</v>
      </c>
      <c r="T30" s="371"/>
      <c r="U30" s="367"/>
    </row>
    <row r="31" spans="1:21" s="368" customFormat="1">
      <c r="A31" s="369" t="s">
        <v>1016</v>
      </c>
      <c r="B31" s="370">
        <f t="shared" si="10"/>
        <v>1848147</v>
      </c>
      <c r="C31" s="371">
        <v>1848147</v>
      </c>
      <c r="D31" s="371"/>
      <c r="E31" s="371">
        <f t="shared" si="11"/>
        <v>1848147</v>
      </c>
      <c r="F31" s="371"/>
      <c r="G31" s="371"/>
      <c r="H31" s="371"/>
      <c r="I31" s="371"/>
      <c r="J31" s="371"/>
      <c r="K31" s="371"/>
      <c r="L31" s="371"/>
      <c r="M31" s="371"/>
      <c r="N31" s="371"/>
      <c r="O31" s="371"/>
      <c r="P31" s="371"/>
      <c r="Q31" s="371"/>
      <c r="R31" s="371">
        <f t="shared" si="12"/>
        <v>1848147</v>
      </c>
      <c r="S31" s="371">
        <f t="shared" si="13"/>
        <v>1848147</v>
      </c>
      <c r="T31" s="371"/>
      <c r="U31" s="367"/>
    </row>
    <row r="32" spans="1:21" s="368" customFormat="1">
      <c r="A32" s="369" t="s">
        <v>1017</v>
      </c>
      <c r="B32" s="370">
        <f t="shared" si="10"/>
        <v>1232097.5</v>
      </c>
      <c r="C32" s="371">
        <f>2464195/2</f>
        <v>1232097.5</v>
      </c>
      <c r="D32" s="371"/>
      <c r="E32" s="371">
        <f t="shared" si="11"/>
        <v>1232097.5</v>
      </c>
      <c r="F32" s="371"/>
      <c r="G32" s="371"/>
      <c r="H32" s="371"/>
      <c r="I32" s="371"/>
      <c r="J32" s="371"/>
      <c r="K32" s="371"/>
      <c r="L32" s="371"/>
      <c r="M32" s="371"/>
      <c r="N32" s="371"/>
      <c r="O32" s="371"/>
      <c r="P32" s="371"/>
      <c r="Q32" s="371"/>
      <c r="R32" s="371">
        <f t="shared" si="12"/>
        <v>1232097.5</v>
      </c>
      <c r="S32" s="371">
        <f t="shared" si="13"/>
        <v>1232097.5</v>
      </c>
      <c r="T32" s="371"/>
      <c r="U32" s="367"/>
    </row>
    <row r="33" spans="1:21" s="368" customFormat="1">
      <c r="A33" s="369" t="s">
        <v>1018</v>
      </c>
      <c r="B33" s="370">
        <f t="shared" si="10"/>
        <v>1232097.5</v>
      </c>
      <c r="C33" s="371">
        <f>2464195-C32</f>
        <v>1232097.5</v>
      </c>
      <c r="D33" s="371"/>
      <c r="E33" s="371">
        <f t="shared" si="11"/>
        <v>1232097.5</v>
      </c>
      <c r="F33" s="371"/>
      <c r="G33" s="371"/>
      <c r="H33" s="371"/>
      <c r="I33" s="371"/>
      <c r="J33" s="371"/>
      <c r="K33" s="371"/>
      <c r="L33" s="371"/>
      <c r="M33" s="371"/>
      <c r="N33" s="371"/>
      <c r="O33" s="371"/>
      <c r="P33" s="371"/>
      <c r="Q33" s="371"/>
      <c r="R33" s="371">
        <f t="shared" si="12"/>
        <v>1232097.5</v>
      </c>
      <c r="S33" s="371">
        <f t="shared" si="13"/>
        <v>1232097.5</v>
      </c>
      <c r="T33" s="371"/>
      <c r="U33" s="367"/>
    </row>
    <row r="34" spans="1:21" s="368" customFormat="1">
      <c r="A34" s="369" t="s">
        <v>1019</v>
      </c>
      <c r="B34" s="370">
        <f t="shared" si="10"/>
        <v>0</v>
      </c>
      <c r="C34" s="371"/>
      <c r="D34" s="371"/>
      <c r="E34" s="371">
        <f t="shared" si="11"/>
        <v>0</v>
      </c>
      <c r="F34" s="371"/>
      <c r="G34" s="371"/>
      <c r="H34" s="371"/>
      <c r="I34" s="371"/>
      <c r="J34" s="371"/>
      <c r="K34" s="371"/>
      <c r="L34" s="371"/>
      <c r="M34" s="371"/>
      <c r="N34" s="371"/>
      <c r="O34" s="371"/>
      <c r="P34" s="371"/>
      <c r="Q34" s="371"/>
      <c r="R34" s="371">
        <f t="shared" si="12"/>
        <v>0</v>
      </c>
      <c r="S34" s="371">
        <f t="shared" si="13"/>
        <v>0</v>
      </c>
      <c r="T34" s="371"/>
      <c r="U34" s="367"/>
    </row>
    <row r="35" spans="1:21" s="368" customFormat="1">
      <c r="A35" s="369" t="s">
        <v>1020</v>
      </c>
      <c r="B35" s="370">
        <f t="shared" si="10"/>
        <v>351148</v>
      </c>
      <c r="C35" s="371">
        <v>351148</v>
      </c>
      <c r="D35" s="371"/>
      <c r="E35" s="371">
        <f t="shared" si="11"/>
        <v>351148</v>
      </c>
      <c r="F35" s="371"/>
      <c r="G35" s="371"/>
      <c r="H35" s="371"/>
      <c r="I35" s="371"/>
      <c r="J35" s="371"/>
      <c r="K35" s="371"/>
      <c r="L35" s="371"/>
      <c r="M35" s="371"/>
      <c r="N35" s="371"/>
      <c r="O35" s="371"/>
      <c r="P35" s="371"/>
      <c r="Q35" s="371"/>
      <c r="R35" s="371">
        <f t="shared" si="12"/>
        <v>351148</v>
      </c>
      <c r="S35" s="371">
        <f t="shared" si="13"/>
        <v>351148</v>
      </c>
      <c r="T35" s="371"/>
      <c r="U35" s="367"/>
    </row>
    <row r="36" spans="1:21" s="368" customFormat="1">
      <c r="A36" s="380" t="s">
        <v>2239</v>
      </c>
      <c r="B36" s="370">
        <f t="shared" si="10"/>
        <v>250000</v>
      </c>
      <c r="C36" s="371">
        <v>250000</v>
      </c>
      <c r="D36" s="371"/>
      <c r="E36" s="371">
        <f t="shared" si="11"/>
        <v>250000</v>
      </c>
      <c r="F36" s="371"/>
      <c r="G36" s="371"/>
      <c r="H36" s="371"/>
      <c r="I36" s="371"/>
      <c r="J36" s="371"/>
      <c r="K36" s="371"/>
      <c r="L36" s="371"/>
      <c r="M36" s="371"/>
      <c r="N36" s="371"/>
      <c r="O36" s="371"/>
      <c r="P36" s="371"/>
      <c r="Q36" s="371"/>
      <c r="R36" s="371">
        <f t="shared" si="12"/>
        <v>250000</v>
      </c>
      <c r="S36" s="371">
        <f t="shared" si="13"/>
        <v>250000</v>
      </c>
      <c r="T36" s="371"/>
      <c r="U36" s="367"/>
    </row>
    <row r="37" spans="1:21" s="368" customFormat="1">
      <c r="A37" s="376" t="s">
        <v>2517</v>
      </c>
      <c r="B37" s="370">
        <f t="shared" si="10"/>
        <v>55000</v>
      </c>
      <c r="C37" s="371">
        <v>55000</v>
      </c>
      <c r="D37" s="371"/>
      <c r="E37" s="371">
        <f t="shared" si="11"/>
        <v>55000</v>
      </c>
      <c r="F37" s="371"/>
      <c r="G37" s="371"/>
      <c r="H37" s="371"/>
      <c r="I37" s="371"/>
      <c r="J37" s="371"/>
      <c r="K37" s="371"/>
      <c r="L37" s="371"/>
      <c r="M37" s="371"/>
      <c r="N37" s="371"/>
      <c r="O37" s="371"/>
      <c r="P37" s="371"/>
      <c r="Q37" s="371"/>
      <c r="R37" s="371">
        <f t="shared" si="12"/>
        <v>55000</v>
      </c>
      <c r="S37" s="371"/>
      <c r="T37" s="371"/>
      <c r="U37" s="367"/>
    </row>
    <row r="38" spans="1:21" s="368" customFormat="1">
      <c r="A38" s="373" t="s">
        <v>1023</v>
      </c>
      <c r="B38" s="370">
        <f t="shared" si="10"/>
        <v>34435932</v>
      </c>
      <c r="C38" s="370">
        <f>SUM(C29:C37)</f>
        <v>34435932</v>
      </c>
      <c r="D38" s="370">
        <f>SUM(D29:D37)</f>
        <v>0</v>
      </c>
      <c r="E38" s="370">
        <f>SUM(E29:E37)</f>
        <v>6363561</v>
      </c>
      <c r="F38" s="370">
        <f t="shared" ref="F38:T38" si="14">SUM(F29:F37)</f>
        <v>3672371</v>
      </c>
      <c r="G38" s="370">
        <f t="shared" si="14"/>
        <v>4400000</v>
      </c>
      <c r="H38" s="370">
        <f t="shared" si="14"/>
        <v>20000000</v>
      </c>
      <c r="I38" s="370">
        <f t="shared" si="14"/>
        <v>0</v>
      </c>
      <c r="J38" s="370">
        <f t="shared" si="14"/>
        <v>0</v>
      </c>
      <c r="K38" s="370">
        <f t="shared" si="14"/>
        <v>0</v>
      </c>
      <c r="L38" s="370">
        <f t="shared" si="14"/>
        <v>0</v>
      </c>
      <c r="M38" s="370">
        <f t="shared" si="14"/>
        <v>0</v>
      </c>
      <c r="N38" s="370">
        <f t="shared" si="14"/>
        <v>0</v>
      </c>
      <c r="O38" s="370">
        <f t="shared" si="14"/>
        <v>0</v>
      </c>
      <c r="P38" s="370">
        <f t="shared" si="14"/>
        <v>0</v>
      </c>
      <c r="Q38" s="370">
        <f t="shared" si="14"/>
        <v>0</v>
      </c>
      <c r="R38" s="370">
        <f t="shared" si="14"/>
        <v>34435932</v>
      </c>
      <c r="S38" s="374">
        <f t="shared" si="14"/>
        <v>34380932</v>
      </c>
      <c r="T38" s="374">
        <f t="shared" si="14"/>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1000000</v>
      </c>
      <c r="C40" s="371">
        <v>1000000</v>
      </c>
      <c r="D40" s="371"/>
      <c r="E40" s="371">
        <f t="shared" ref="E40:E41" si="15">B40-SUM(F40:K40)</f>
        <v>1000000</v>
      </c>
      <c r="F40" s="371"/>
      <c r="G40" s="371"/>
      <c r="H40" s="371"/>
      <c r="I40" s="371"/>
      <c r="J40" s="371"/>
      <c r="K40" s="371"/>
      <c r="L40" s="371"/>
      <c r="M40" s="371"/>
      <c r="N40" s="371"/>
      <c r="O40" s="371"/>
      <c r="P40" s="371"/>
      <c r="Q40" s="371"/>
      <c r="R40" s="371">
        <f>SUM(E40:Q40)</f>
        <v>1000000</v>
      </c>
      <c r="S40" s="371">
        <f>C40</f>
        <v>1000000</v>
      </c>
      <c r="T40" s="371"/>
      <c r="U40" s="367"/>
    </row>
    <row r="41" spans="1:21" s="368" customFormat="1">
      <c r="A41" s="369" t="s">
        <v>1026</v>
      </c>
      <c r="B41" s="370">
        <f>SUM(C41+D41)</f>
        <v>260000</v>
      </c>
      <c r="C41" s="371">
        <f>1260000-C40</f>
        <v>260000</v>
      </c>
      <c r="D41" s="371"/>
      <c r="E41" s="371">
        <f t="shared" si="15"/>
        <v>260000</v>
      </c>
      <c r="F41" s="371"/>
      <c r="G41" s="371"/>
      <c r="H41" s="371"/>
      <c r="I41" s="371"/>
      <c r="J41" s="371"/>
      <c r="K41" s="371"/>
      <c r="L41" s="371"/>
      <c r="M41" s="371"/>
      <c r="N41" s="371"/>
      <c r="O41" s="371"/>
      <c r="P41" s="371"/>
      <c r="Q41" s="371"/>
      <c r="R41" s="371">
        <f>SUM(E41:Q41)</f>
        <v>260000</v>
      </c>
      <c r="S41" s="371">
        <f>C41</f>
        <v>260000</v>
      </c>
      <c r="T41" s="371"/>
      <c r="U41" s="367"/>
    </row>
    <row r="42" spans="1:21" s="368" customFormat="1">
      <c r="A42" s="373" t="s">
        <v>1027</v>
      </c>
      <c r="B42" s="370">
        <f>SUM(C42:D42)</f>
        <v>1260000</v>
      </c>
      <c r="C42" s="370">
        <f>SUM(C39:C41)</f>
        <v>1260000</v>
      </c>
      <c r="D42" s="370">
        <f>SUM(D39:D41)</f>
        <v>0</v>
      </c>
      <c r="E42" s="370">
        <f t="shared" ref="E42:T42" si="16">SUM(E40:E41)</f>
        <v>1260000</v>
      </c>
      <c r="F42" s="370">
        <f t="shared" si="16"/>
        <v>0</v>
      </c>
      <c r="G42" s="370">
        <f t="shared" si="16"/>
        <v>0</v>
      </c>
      <c r="H42" s="370">
        <f t="shared" si="16"/>
        <v>0</v>
      </c>
      <c r="I42" s="370">
        <f t="shared" si="16"/>
        <v>0</v>
      </c>
      <c r="J42" s="370">
        <f t="shared" si="16"/>
        <v>0</v>
      </c>
      <c r="K42" s="370">
        <f t="shared" si="16"/>
        <v>0</v>
      </c>
      <c r="L42" s="370">
        <f t="shared" si="16"/>
        <v>0</v>
      </c>
      <c r="M42" s="370">
        <f t="shared" si="16"/>
        <v>0</v>
      </c>
      <c r="N42" s="370">
        <f t="shared" si="16"/>
        <v>0</v>
      </c>
      <c r="O42" s="370">
        <f t="shared" si="16"/>
        <v>0</v>
      </c>
      <c r="P42" s="370">
        <f t="shared" si="16"/>
        <v>0</v>
      </c>
      <c r="Q42" s="370">
        <f t="shared" si="16"/>
        <v>0</v>
      </c>
      <c r="R42" s="370">
        <f t="shared" si="16"/>
        <v>1260000</v>
      </c>
      <c r="S42" s="374">
        <f t="shared" si="16"/>
        <v>1260000</v>
      </c>
      <c r="T42" s="374">
        <f t="shared" si="16"/>
        <v>0</v>
      </c>
      <c r="U42" s="367"/>
    </row>
    <row r="43" spans="1:21" s="368" customFormat="1">
      <c r="A43" s="373" t="s">
        <v>1028</v>
      </c>
      <c r="B43" s="370">
        <f>SUM(C43:D43)</f>
        <v>0</v>
      </c>
      <c r="C43" s="371"/>
      <c r="D43" s="371"/>
      <c r="E43" s="371">
        <f>B43-SUM(F43:K43)</f>
        <v>0</v>
      </c>
      <c r="F43" s="371">
        <v>0</v>
      </c>
      <c r="G43" s="371"/>
      <c r="H43" s="371"/>
      <c r="I43" s="371"/>
      <c r="J43" s="371"/>
      <c r="K43" s="371"/>
      <c r="L43" s="371"/>
      <c r="M43" s="371"/>
      <c r="N43" s="371"/>
      <c r="O43" s="371"/>
      <c r="P43" s="371"/>
      <c r="Q43" s="371"/>
      <c r="R43" s="371">
        <f>SUM(E43:Q43)</f>
        <v>0</v>
      </c>
      <c r="S43" s="371"/>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7">SUM(C45+D45)</f>
        <v>2165057</v>
      </c>
      <c r="C45" s="371">
        <f>2165059-2</f>
        <v>2165057</v>
      </c>
      <c r="D45" s="371"/>
      <c r="E45" s="371">
        <f t="shared" ref="E45:E52" si="18">B45-SUM(F45:K45)</f>
        <v>2165057</v>
      </c>
      <c r="F45" s="371"/>
      <c r="G45" s="371"/>
      <c r="H45" s="371"/>
      <c r="I45" s="371"/>
      <c r="J45" s="371"/>
      <c r="K45" s="371"/>
      <c r="L45" s="371"/>
      <c r="M45" s="371"/>
      <c r="N45" s="371"/>
      <c r="O45" s="371"/>
      <c r="P45" s="371"/>
      <c r="Q45" s="371"/>
      <c r="R45" s="371">
        <f t="shared" ref="R45:R52" si="19">SUM(E45:Q45)</f>
        <v>2165057</v>
      </c>
      <c r="S45" s="371">
        <f>1407995-1</f>
        <v>1407994</v>
      </c>
      <c r="T45" s="371"/>
      <c r="U45" s="367"/>
    </row>
    <row r="46" spans="1:21" s="368" customFormat="1">
      <c r="A46" s="369" t="s">
        <v>1031</v>
      </c>
      <c r="B46" s="370">
        <f t="shared" si="17"/>
        <v>507912</v>
      </c>
      <c r="C46" s="371">
        <v>507912</v>
      </c>
      <c r="D46" s="371"/>
      <c r="E46" s="371">
        <f t="shared" si="18"/>
        <v>507912</v>
      </c>
      <c r="F46" s="371"/>
      <c r="G46" s="371"/>
      <c r="H46" s="371"/>
      <c r="I46" s="371"/>
      <c r="J46" s="371"/>
      <c r="K46" s="371"/>
      <c r="L46" s="371"/>
      <c r="M46" s="371"/>
      <c r="N46" s="371"/>
      <c r="O46" s="371"/>
      <c r="P46" s="371"/>
      <c r="Q46" s="371"/>
      <c r="R46" s="371">
        <f t="shared" si="19"/>
        <v>507912</v>
      </c>
      <c r="S46" s="371">
        <v>330308</v>
      </c>
      <c r="T46" s="371"/>
      <c r="U46" s="367"/>
    </row>
    <row r="47" spans="1:21" s="368" customFormat="1" ht="12" customHeight="1">
      <c r="A47" s="369" t="s">
        <v>1032</v>
      </c>
      <c r="B47" s="370">
        <f t="shared" si="17"/>
        <v>0</v>
      </c>
      <c r="C47" s="371"/>
      <c r="D47" s="371"/>
      <c r="E47" s="371">
        <f t="shared" si="18"/>
        <v>0</v>
      </c>
      <c r="F47" s="371"/>
      <c r="G47" s="371"/>
      <c r="H47" s="371"/>
      <c r="I47" s="371"/>
      <c r="J47" s="371"/>
      <c r="K47" s="371"/>
      <c r="L47" s="371"/>
      <c r="M47" s="371"/>
      <c r="N47" s="371"/>
      <c r="O47" s="371"/>
      <c r="P47" s="371"/>
      <c r="Q47" s="371"/>
      <c r="R47" s="371">
        <f t="shared" si="19"/>
        <v>0</v>
      </c>
      <c r="S47" s="371"/>
      <c r="T47" s="371"/>
      <c r="U47" s="367"/>
    </row>
    <row r="48" spans="1:21" s="368" customFormat="1">
      <c r="A48" s="369" t="s">
        <v>1033</v>
      </c>
      <c r="B48" s="370">
        <f t="shared" si="17"/>
        <v>702296</v>
      </c>
      <c r="C48" s="371">
        <v>702296</v>
      </c>
      <c r="D48" s="371"/>
      <c r="E48" s="371">
        <f t="shared" si="18"/>
        <v>702296</v>
      </c>
      <c r="F48" s="371"/>
      <c r="G48" s="371"/>
      <c r="H48" s="371"/>
      <c r="I48" s="371"/>
      <c r="J48" s="371"/>
      <c r="K48" s="371"/>
      <c r="L48" s="371"/>
      <c r="M48" s="371"/>
      <c r="N48" s="371"/>
      <c r="O48" s="371"/>
      <c r="P48" s="371"/>
      <c r="Q48" s="371"/>
      <c r="R48" s="371">
        <f t="shared" si="19"/>
        <v>702296</v>
      </c>
      <c r="S48" s="371">
        <f>C48</f>
        <v>702296</v>
      </c>
      <c r="T48" s="371"/>
      <c r="U48" s="367"/>
    </row>
    <row r="49" spans="1:21" s="368" customFormat="1">
      <c r="A49" s="369" t="s">
        <v>1036</v>
      </c>
      <c r="B49" s="370">
        <f t="shared" si="17"/>
        <v>100000</v>
      </c>
      <c r="C49" s="371">
        <v>100000</v>
      </c>
      <c r="D49" s="371"/>
      <c r="E49" s="371">
        <f t="shared" si="18"/>
        <v>100000</v>
      </c>
      <c r="F49" s="371"/>
      <c r="G49" s="371"/>
      <c r="H49" s="371"/>
      <c r="I49" s="371"/>
      <c r="J49" s="371"/>
      <c r="K49" s="371"/>
      <c r="L49" s="371"/>
      <c r="M49" s="371"/>
      <c r="N49" s="371"/>
      <c r="O49" s="371"/>
      <c r="P49" s="371"/>
      <c r="Q49" s="371"/>
      <c r="R49" s="371">
        <f t="shared" si="19"/>
        <v>100000</v>
      </c>
      <c r="S49" s="371">
        <v>37500</v>
      </c>
      <c r="T49" s="371"/>
      <c r="U49" s="367"/>
    </row>
    <row r="50" spans="1:21" s="368" customFormat="1">
      <c r="A50" s="369" t="s">
        <v>1034</v>
      </c>
      <c r="B50" s="370">
        <f t="shared" si="17"/>
        <v>90000</v>
      </c>
      <c r="C50" s="371">
        <v>90000</v>
      </c>
      <c r="D50" s="371"/>
      <c r="E50" s="371">
        <f t="shared" si="18"/>
        <v>90000</v>
      </c>
      <c r="F50" s="371"/>
      <c r="G50" s="371"/>
      <c r="H50" s="371"/>
      <c r="I50" s="371"/>
      <c r="J50" s="371"/>
      <c r="K50" s="371"/>
      <c r="L50" s="371"/>
      <c r="M50" s="371"/>
      <c r="N50" s="371"/>
      <c r="O50" s="371"/>
      <c r="P50" s="371"/>
      <c r="Q50" s="371"/>
      <c r="R50" s="371">
        <f t="shared" si="19"/>
        <v>90000</v>
      </c>
      <c r="S50" s="371">
        <f>29700</f>
        <v>29700</v>
      </c>
      <c r="T50" s="371"/>
      <c r="U50" s="367"/>
    </row>
    <row r="51" spans="1:21" s="368" customFormat="1">
      <c r="A51" s="369" t="s">
        <v>1035</v>
      </c>
      <c r="B51" s="370">
        <f t="shared" si="17"/>
        <v>0</v>
      </c>
      <c r="C51" s="371"/>
      <c r="D51" s="371"/>
      <c r="E51" s="371">
        <f t="shared" si="18"/>
        <v>0</v>
      </c>
      <c r="F51" s="371"/>
      <c r="G51" s="371"/>
      <c r="H51" s="371"/>
      <c r="I51" s="371"/>
      <c r="J51" s="371"/>
      <c r="K51" s="371"/>
      <c r="L51" s="371"/>
      <c r="M51" s="371"/>
      <c r="N51" s="371"/>
      <c r="O51" s="371"/>
      <c r="P51" s="371"/>
      <c r="Q51" s="371"/>
      <c r="R51" s="371">
        <f t="shared" si="19"/>
        <v>0</v>
      </c>
      <c r="S51" s="371"/>
      <c r="T51" s="371"/>
      <c r="U51" s="367"/>
    </row>
    <row r="52" spans="1:21" s="368" customFormat="1">
      <c r="A52" s="376" t="s">
        <v>592</v>
      </c>
      <c r="B52" s="370">
        <f t="shared" si="17"/>
        <v>0</v>
      </c>
      <c r="C52" s="371"/>
      <c r="D52" s="371"/>
      <c r="E52" s="371">
        <f t="shared" si="18"/>
        <v>0</v>
      </c>
      <c r="F52" s="371"/>
      <c r="G52" s="371"/>
      <c r="H52" s="371"/>
      <c r="I52" s="371"/>
      <c r="J52" s="371"/>
      <c r="K52" s="371"/>
      <c r="L52" s="371"/>
      <c r="M52" s="371"/>
      <c r="N52" s="371"/>
      <c r="O52" s="371"/>
      <c r="P52" s="371"/>
      <c r="Q52" s="371"/>
      <c r="R52" s="371">
        <f t="shared" si="19"/>
        <v>0</v>
      </c>
      <c r="S52" s="371"/>
      <c r="T52" s="371"/>
      <c r="U52" s="367"/>
    </row>
    <row r="53" spans="1:21" s="378" customFormat="1">
      <c r="A53" s="373" t="s">
        <v>1037</v>
      </c>
      <c r="B53" s="374">
        <f>SUM(C53:D53)</f>
        <v>3565265</v>
      </c>
      <c r="C53" s="374">
        <f t="shared" ref="C53:T53" si="20">SUM(C45:C52)</f>
        <v>3565265</v>
      </c>
      <c r="D53" s="374">
        <f t="shared" si="20"/>
        <v>0</v>
      </c>
      <c r="E53" s="374">
        <f t="shared" si="20"/>
        <v>3565265</v>
      </c>
      <c r="F53" s="374">
        <f t="shared" si="20"/>
        <v>0</v>
      </c>
      <c r="G53" s="374">
        <f t="shared" si="20"/>
        <v>0</v>
      </c>
      <c r="H53" s="374">
        <f t="shared" si="20"/>
        <v>0</v>
      </c>
      <c r="I53" s="374">
        <f t="shared" si="20"/>
        <v>0</v>
      </c>
      <c r="J53" s="374">
        <f t="shared" si="20"/>
        <v>0</v>
      </c>
      <c r="K53" s="374">
        <f t="shared" si="20"/>
        <v>0</v>
      </c>
      <c r="L53" s="374">
        <f t="shared" si="20"/>
        <v>0</v>
      </c>
      <c r="M53" s="374">
        <f t="shared" si="20"/>
        <v>0</v>
      </c>
      <c r="N53" s="374">
        <f t="shared" si="20"/>
        <v>0</v>
      </c>
      <c r="O53" s="374">
        <f t="shared" si="20"/>
        <v>0</v>
      </c>
      <c r="P53" s="374">
        <f t="shared" si="20"/>
        <v>0</v>
      </c>
      <c r="Q53" s="374">
        <f t="shared" si="20"/>
        <v>0</v>
      </c>
      <c r="R53" s="370">
        <f t="shared" si="20"/>
        <v>3565265</v>
      </c>
      <c r="S53" s="374">
        <f t="shared" si="20"/>
        <v>2507798</v>
      </c>
      <c r="T53" s="374">
        <f t="shared" si="20"/>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21">SUM(C55+D55)</f>
        <v>36724</v>
      </c>
      <c r="C55" s="371">
        <v>36724</v>
      </c>
      <c r="D55" s="371"/>
      <c r="E55" s="371">
        <f t="shared" ref="E55:E60" si="22">B55-SUM(F55:K55)</f>
        <v>36724</v>
      </c>
      <c r="F55" s="371"/>
      <c r="G55" s="371"/>
      <c r="H55" s="371"/>
      <c r="I55" s="371"/>
      <c r="J55" s="371"/>
      <c r="K55" s="371"/>
      <c r="L55" s="371"/>
      <c r="M55" s="371"/>
      <c r="N55" s="371"/>
      <c r="O55" s="371"/>
      <c r="P55" s="371"/>
      <c r="Q55" s="371"/>
      <c r="R55" s="371">
        <f t="shared" ref="R55:R60" si="23">SUM(E55:Q55)</f>
        <v>36724</v>
      </c>
      <c r="S55" s="372"/>
      <c r="T55" s="372"/>
      <c r="U55" s="367"/>
    </row>
    <row r="56" spans="1:21" s="368" customFormat="1" ht="12" customHeight="1">
      <c r="A56" s="369" t="s">
        <v>1032</v>
      </c>
      <c r="B56" s="370">
        <f t="shared" si="21"/>
        <v>0</v>
      </c>
      <c r="C56" s="371"/>
      <c r="D56" s="371"/>
      <c r="E56" s="371">
        <f t="shared" si="22"/>
        <v>0</v>
      </c>
      <c r="F56" s="371"/>
      <c r="G56" s="371"/>
      <c r="H56" s="371"/>
      <c r="I56" s="371"/>
      <c r="J56" s="371"/>
      <c r="K56" s="371"/>
      <c r="L56" s="371"/>
      <c r="M56" s="371"/>
      <c r="N56" s="371"/>
      <c r="O56" s="371"/>
      <c r="P56" s="371"/>
      <c r="Q56" s="371"/>
      <c r="R56" s="371">
        <f t="shared" si="23"/>
        <v>0</v>
      </c>
      <c r="S56" s="372"/>
      <c r="T56" s="372"/>
      <c r="U56" s="367"/>
    </row>
    <row r="57" spans="1:21" s="368" customFormat="1">
      <c r="A57" s="369" t="s">
        <v>1036</v>
      </c>
      <c r="B57" s="370">
        <f t="shared" si="21"/>
        <v>0</v>
      </c>
      <c r="C57" s="371"/>
      <c r="D57" s="371"/>
      <c r="E57" s="371">
        <f t="shared" si="22"/>
        <v>0</v>
      </c>
      <c r="F57" s="371"/>
      <c r="G57" s="371"/>
      <c r="H57" s="371"/>
      <c r="I57" s="371"/>
      <c r="J57" s="371"/>
      <c r="K57" s="371"/>
      <c r="L57" s="371"/>
      <c r="M57" s="371"/>
      <c r="N57" s="371"/>
      <c r="O57" s="371"/>
      <c r="P57" s="371"/>
      <c r="Q57" s="371"/>
      <c r="R57" s="371">
        <f t="shared" si="23"/>
        <v>0</v>
      </c>
      <c r="S57" s="372"/>
      <c r="T57" s="372"/>
      <c r="U57" s="367"/>
    </row>
    <row r="58" spans="1:21" s="368" customFormat="1">
      <c r="A58" s="369" t="s">
        <v>1034</v>
      </c>
      <c r="B58" s="370">
        <f t="shared" si="21"/>
        <v>0</v>
      </c>
      <c r="C58" s="371"/>
      <c r="D58" s="371"/>
      <c r="E58" s="371">
        <f t="shared" si="22"/>
        <v>0</v>
      </c>
      <c r="F58" s="371"/>
      <c r="G58" s="371"/>
      <c r="H58" s="371"/>
      <c r="I58" s="371"/>
      <c r="J58" s="371"/>
      <c r="K58" s="371"/>
      <c r="L58" s="371"/>
      <c r="M58" s="371"/>
      <c r="N58" s="371"/>
      <c r="O58" s="371"/>
      <c r="P58" s="371"/>
      <c r="Q58" s="371"/>
      <c r="R58" s="371">
        <f t="shared" si="23"/>
        <v>0</v>
      </c>
      <c r="S58" s="372"/>
      <c r="T58" s="372"/>
      <c r="U58" s="367"/>
    </row>
    <row r="59" spans="1:21" s="368" customFormat="1">
      <c r="A59" s="369" t="s">
        <v>1035</v>
      </c>
      <c r="B59" s="370">
        <f t="shared" si="21"/>
        <v>0</v>
      </c>
      <c r="C59" s="371"/>
      <c r="D59" s="371"/>
      <c r="E59" s="371">
        <f t="shared" si="22"/>
        <v>0</v>
      </c>
      <c r="F59" s="371"/>
      <c r="G59" s="371"/>
      <c r="H59" s="371"/>
      <c r="I59" s="371"/>
      <c r="J59" s="371"/>
      <c r="K59" s="371"/>
      <c r="L59" s="371"/>
      <c r="M59" s="371"/>
      <c r="N59" s="371"/>
      <c r="O59" s="371"/>
      <c r="P59" s="371"/>
      <c r="Q59" s="371"/>
      <c r="R59" s="371">
        <f t="shared" si="23"/>
        <v>0</v>
      </c>
      <c r="S59" s="372"/>
      <c r="T59" s="372"/>
      <c r="U59" s="367"/>
    </row>
    <row r="60" spans="1:21" s="368" customFormat="1">
      <c r="A60" s="376" t="s">
        <v>592</v>
      </c>
      <c r="B60" s="370">
        <f t="shared" si="21"/>
        <v>0</v>
      </c>
      <c r="C60" s="371"/>
      <c r="D60" s="371"/>
      <c r="E60" s="371">
        <f t="shared" si="22"/>
        <v>0</v>
      </c>
      <c r="F60" s="371"/>
      <c r="G60" s="371"/>
      <c r="H60" s="371"/>
      <c r="I60" s="371"/>
      <c r="J60" s="371"/>
      <c r="K60" s="371"/>
      <c r="L60" s="371"/>
      <c r="M60" s="371"/>
      <c r="N60" s="371"/>
      <c r="O60" s="371"/>
      <c r="P60" s="371"/>
      <c r="Q60" s="371"/>
      <c r="R60" s="371">
        <f t="shared" si="23"/>
        <v>0</v>
      </c>
      <c r="S60" s="372"/>
      <c r="T60" s="372"/>
      <c r="U60" s="367"/>
    </row>
    <row r="61" spans="1:21" s="368" customFormat="1" ht="13.9" customHeight="1">
      <c r="A61" s="373" t="s">
        <v>549</v>
      </c>
      <c r="B61" s="370">
        <f>SUM(C61:D61)</f>
        <v>36724</v>
      </c>
      <c r="C61" s="370">
        <f t="shared" ref="C61:R61" si="24">SUM(C55:C60)</f>
        <v>36724</v>
      </c>
      <c r="D61" s="370">
        <f t="shared" si="24"/>
        <v>0</v>
      </c>
      <c r="E61" s="370">
        <f t="shared" si="24"/>
        <v>36724</v>
      </c>
      <c r="F61" s="370">
        <f t="shared" si="24"/>
        <v>0</v>
      </c>
      <c r="G61" s="370">
        <f t="shared" si="24"/>
        <v>0</v>
      </c>
      <c r="H61" s="370">
        <f t="shared" si="24"/>
        <v>0</v>
      </c>
      <c r="I61" s="370">
        <f t="shared" si="24"/>
        <v>0</v>
      </c>
      <c r="J61" s="370">
        <f t="shared" si="24"/>
        <v>0</v>
      </c>
      <c r="K61" s="370">
        <f t="shared" si="24"/>
        <v>0</v>
      </c>
      <c r="L61" s="370">
        <f t="shared" si="24"/>
        <v>0</v>
      </c>
      <c r="M61" s="370">
        <f t="shared" si="24"/>
        <v>0</v>
      </c>
      <c r="N61" s="370">
        <f t="shared" si="24"/>
        <v>0</v>
      </c>
      <c r="O61" s="370">
        <f t="shared" si="24"/>
        <v>0</v>
      </c>
      <c r="P61" s="370">
        <f t="shared" si="24"/>
        <v>0</v>
      </c>
      <c r="Q61" s="370">
        <f t="shared" si="24"/>
        <v>0</v>
      </c>
      <c r="R61" s="370">
        <f t="shared" si="24"/>
        <v>36724</v>
      </c>
      <c r="S61" s="372"/>
      <c r="T61" s="372"/>
      <c r="U61" s="367"/>
    </row>
    <row r="62" spans="1:21" s="368" customFormat="1">
      <c r="A62" s="379" t="s">
        <v>550</v>
      </c>
      <c r="B62" s="370">
        <f>SUM(C62:D62)</f>
        <v>43569223</v>
      </c>
      <c r="C62" s="370">
        <f t="shared" ref="C62:R62" si="25">SUM(C8+C11+C13+C14+C15+C26+C27+C38+C42+C43+C53+C61)</f>
        <v>43569223</v>
      </c>
      <c r="D62" s="370">
        <f t="shared" si="25"/>
        <v>0</v>
      </c>
      <c r="E62" s="370">
        <f t="shared" si="25"/>
        <v>15496852</v>
      </c>
      <c r="F62" s="370">
        <f t="shared" si="25"/>
        <v>3672371</v>
      </c>
      <c r="G62" s="370">
        <f t="shared" si="25"/>
        <v>4400000</v>
      </c>
      <c r="H62" s="370">
        <f t="shared" si="25"/>
        <v>20000000</v>
      </c>
      <c r="I62" s="370">
        <f t="shared" si="25"/>
        <v>0</v>
      </c>
      <c r="J62" s="370">
        <f t="shared" si="25"/>
        <v>0</v>
      </c>
      <c r="K62" s="370">
        <f t="shared" si="25"/>
        <v>0</v>
      </c>
      <c r="L62" s="370">
        <f t="shared" si="25"/>
        <v>0</v>
      </c>
      <c r="M62" s="370">
        <f t="shared" si="25"/>
        <v>0</v>
      </c>
      <c r="N62" s="370">
        <f t="shared" si="25"/>
        <v>0</v>
      </c>
      <c r="O62" s="370">
        <f t="shared" si="25"/>
        <v>0</v>
      </c>
      <c r="P62" s="370">
        <f t="shared" si="25"/>
        <v>0</v>
      </c>
      <c r="Q62" s="370">
        <f t="shared" si="25"/>
        <v>0</v>
      </c>
      <c r="R62" s="370">
        <f t="shared" si="25"/>
        <v>43569223</v>
      </c>
      <c r="S62" s="370">
        <f>SUM(S10+S13+S14+S15+S26+S27+S38+S42+S43+S53)</f>
        <v>39643730</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125000</v>
      </c>
      <c r="C64" s="371">
        <v>125000</v>
      </c>
      <c r="D64" s="371"/>
      <c r="E64" s="371">
        <f t="shared" ref="E64:E68" si="26">B64-SUM(F64:K64)</f>
        <v>125000</v>
      </c>
      <c r="F64" s="371"/>
      <c r="G64" s="371"/>
      <c r="H64" s="371"/>
      <c r="I64" s="371"/>
      <c r="J64" s="371"/>
      <c r="K64" s="371"/>
      <c r="L64" s="371"/>
      <c r="M64" s="371"/>
      <c r="N64" s="371"/>
      <c r="O64" s="371"/>
      <c r="P64" s="371"/>
      <c r="Q64" s="371"/>
      <c r="R64" s="371">
        <f>SUM(E64:Q64)</f>
        <v>125000</v>
      </c>
      <c r="S64" s="371">
        <f>55000</f>
        <v>55000</v>
      </c>
      <c r="T64" s="371"/>
      <c r="U64" s="367"/>
    </row>
    <row r="65" spans="1:21" s="368" customFormat="1" ht="24">
      <c r="A65" s="369" t="s">
        <v>2241</v>
      </c>
      <c r="B65" s="370">
        <f>SUM(C65+D65)</f>
        <v>250000</v>
      </c>
      <c r="C65" s="371">
        <v>250000</v>
      </c>
      <c r="D65" s="371"/>
      <c r="E65" s="371">
        <f t="shared" si="26"/>
        <v>250000</v>
      </c>
      <c r="F65" s="371"/>
      <c r="G65" s="371"/>
      <c r="H65" s="371"/>
      <c r="I65" s="371"/>
      <c r="J65" s="371"/>
      <c r="K65" s="371"/>
      <c r="L65" s="371"/>
      <c r="M65" s="371"/>
      <c r="N65" s="371"/>
      <c r="O65" s="371"/>
      <c r="P65" s="371"/>
      <c r="Q65" s="371"/>
      <c r="R65" s="371">
        <f>SUM(E65:Q65)</f>
        <v>250000</v>
      </c>
      <c r="S65" s="371">
        <f>C65</f>
        <v>250000</v>
      </c>
      <c r="T65" s="371"/>
      <c r="U65" s="367"/>
    </row>
    <row r="66" spans="1:21" s="368" customFormat="1" ht="24">
      <c r="A66" s="369" t="s">
        <v>2242</v>
      </c>
      <c r="B66" s="370">
        <f>SUM(C66+D66)</f>
        <v>0</v>
      </c>
      <c r="C66" s="371"/>
      <c r="D66" s="371"/>
      <c r="E66" s="371">
        <f t="shared" si="26"/>
        <v>0</v>
      </c>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f t="shared" si="26"/>
        <v>0</v>
      </c>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f t="shared" si="26"/>
        <v>0</v>
      </c>
      <c r="F68" s="371"/>
      <c r="G68" s="371"/>
      <c r="H68" s="371"/>
      <c r="I68" s="371"/>
      <c r="J68" s="371"/>
      <c r="K68" s="371"/>
      <c r="L68" s="371"/>
      <c r="M68" s="371"/>
      <c r="N68" s="371"/>
      <c r="O68" s="371"/>
      <c r="P68" s="371"/>
      <c r="Q68" s="371"/>
      <c r="R68" s="371">
        <f>SUM(E68:Q68)</f>
        <v>0</v>
      </c>
      <c r="S68" s="371"/>
      <c r="T68" s="371"/>
      <c r="U68" s="367"/>
    </row>
    <row r="69" spans="1:21" s="368" customFormat="1">
      <c r="A69" s="373" t="s">
        <v>2244</v>
      </c>
      <c r="B69" s="370">
        <f>SUM(C69:D69)</f>
        <v>375000</v>
      </c>
      <c r="C69" s="370">
        <f>SUM(C63:C68)</f>
        <v>375000</v>
      </c>
      <c r="D69" s="370">
        <f>SUM(D63:D68)</f>
        <v>0</v>
      </c>
      <c r="E69" s="370">
        <f t="shared" ref="E69:T69" si="27">SUM(E64:E68)</f>
        <v>375000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375000</v>
      </c>
      <c r="S69" s="374">
        <f t="shared" si="27"/>
        <v>305000</v>
      </c>
      <c r="T69" s="374">
        <f t="shared" si="2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 t="shared" ref="E71:E75" si="28">B71-SUM(F71:K71)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si="28"/>
        <v>0</v>
      </c>
      <c r="F72" s="371"/>
      <c r="G72" s="371"/>
      <c r="H72" s="371"/>
      <c r="I72" s="371"/>
      <c r="J72" s="371"/>
      <c r="K72" s="371"/>
      <c r="L72" s="371"/>
      <c r="M72" s="371"/>
      <c r="N72" s="371"/>
      <c r="O72" s="371"/>
      <c r="P72" s="371"/>
      <c r="Q72" s="371"/>
      <c r="R72" s="371">
        <f>SUM(E72:Q72)</f>
        <v>0</v>
      </c>
      <c r="S72" s="372"/>
      <c r="T72" s="372"/>
      <c r="U72" s="367"/>
    </row>
    <row r="73" spans="1:21" s="368" customFormat="1">
      <c r="A73" s="996" t="s">
        <v>1372</v>
      </c>
      <c r="B73" s="370">
        <f>SUM(C73+D73)</f>
        <v>0</v>
      </c>
      <c r="C73" s="371"/>
      <c r="D73" s="371"/>
      <c r="E73" s="371">
        <f t="shared" si="28"/>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514772</v>
      </c>
      <c r="C74" s="371">
        <v>514772</v>
      </c>
      <c r="D74" s="371"/>
      <c r="E74" s="371">
        <f t="shared" si="28"/>
        <v>514772</v>
      </c>
      <c r="F74" s="371"/>
      <c r="G74" s="371"/>
      <c r="H74" s="371"/>
      <c r="I74" s="371"/>
      <c r="J74" s="371"/>
      <c r="K74" s="371"/>
      <c r="L74" s="371"/>
      <c r="M74" s="371"/>
      <c r="N74" s="371"/>
      <c r="O74" s="371"/>
      <c r="P74" s="371"/>
      <c r="Q74" s="371"/>
      <c r="R74" s="371">
        <f>SUM(E74:Q74)</f>
        <v>514772</v>
      </c>
      <c r="S74" s="372"/>
      <c r="T74" s="372"/>
      <c r="U74" s="367"/>
    </row>
    <row r="75" spans="1:21" s="368" customFormat="1">
      <c r="A75" s="376" t="s">
        <v>2516</v>
      </c>
      <c r="B75" s="370">
        <f>SUM(C75+D75)</f>
        <v>373257</v>
      </c>
      <c r="C75" s="371">
        <f>158257+215000</f>
        <v>373257</v>
      </c>
      <c r="D75" s="371"/>
      <c r="E75" s="371">
        <f t="shared" si="28"/>
        <v>373257</v>
      </c>
      <c r="F75" s="371"/>
      <c r="G75" s="371"/>
      <c r="H75" s="371"/>
      <c r="I75" s="371"/>
      <c r="J75" s="371"/>
      <c r="K75" s="371"/>
      <c r="L75" s="371"/>
      <c r="M75" s="371"/>
      <c r="N75" s="371"/>
      <c r="O75" s="371"/>
      <c r="P75" s="371"/>
      <c r="Q75" s="371"/>
      <c r="R75" s="371">
        <f>SUM(E75:Q75)</f>
        <v>373257</v>
      </c>
      <c r="S75" s="372"/>
      <c r="T75" s="372"/>
      <c r="U75" s="367"/>
    </row>
    <row r="76" spans="1:21" s="368" customFormat="1">
      <c r="A76" s="373" t="s">
        <v>317</v>
      </c>
      <c r="B76" s="370">
        <f>SUM(C76:D76)</f>
        <v>888029</v>
      </c>
      <c r="C76" s="370">
        <f t="shared" ref="C76:Q76" si="29">SUM(C71:C75)</f>
        <v>888029</v>
      </c>
      <c r="D76" s="370">
        <f t="shared" si="29"/>
        <v>0</v>
      </c>
      <c r="E76" s="370">
        <f>SUM(E71:E75)</f>
        <v>888029</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888029</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2790854</v>
      </c>
      <c r="C78" s="371">
        <f>2790854</f>
        <v>2790854</v>
      </c>
      <c r="D78" s="371"/>
      <c r="E78" s="371">
        <f t="shared" ref="E78:E79" si="30">B78-SUM(F78:K78)</f>
        <v>2790854</v>
      </c>
      <c r="F78" s="371"/>
      <c r="G78" s="371"/>
      <c r="H78" s="371"/>
      <c r="I78" s="371"/>
      <c r="J78" s="371"/>
      <c r="K78" s="371"/>
      <c r="L78" s="371"/>
      <c r="M78" s="371"/>
      <c r="N78" s="371"/>
      <c r="O78" s="371"/>
      <c r="P78" s="371"/>
      <c r="Q78" s="371"/>
      <c r="R78" s="371">
        <f>SUM(E78:Q78)</f>
        <v>2790854</v>
      </c>
      <c r="S78" s="371">
        <f>C78</f>
        <v>2790854</v>
      </c>
      <c r="T78" s="371"/>
      <c r="U78" s="367"/>
    </row>
    <row r="79" spans="1:21" s="368" customFormat="1">
      <c r="A79" s="369" t="s">
        <v>597</v>
      </c>
      <c r="B79" s="370">
        <f>SUM(C79+D79)</f>
        <v>500000</v>
      </c>
      <c r="C79" s="371">
        <v>500000</v>
      </c>
      <c r="D79" s="371"/>
      <c r="E79" s="371">
        <f t="shared" si="30"/>
        <v>500000</v>
      </c>
      <c r="F79" s="371"/>
      <c r="G79" s="371"/>
      <c r="H79" s="371"/>
      <c r="I79" s="371"/>
      <c r="J79" s="371"/>
      <c r="K79" s="371"/>
      <c r="L79" s="371"/>
      <c r="M79" s="371"/>
      <c r="N79" s="371"/>
      <c r="O79" s="371"/>
      <c r="P79" s="371"/>
      <c r="Q79" s="371"/>
      <c r="R79" s="371">
        <f>SUM(E79:Q79)</f>
        <v>500000</v>
      </c>
      <c r="S79" s="371">
        <f>400000</f>
        <v>400000</v>
      </c>
      <c r="T79" s="371"/>
      <c r="U79" s="367"/>
    </row>
    <row r="80" spans="1:21" s="368" customFormat="1">
      <c r="A80" s="373" t="s">
        <v>1968</v>
      </c>
      <c r="B80" s="370">
        <f>SUM(C80:D80)</f>
        <v>3290854</v>
      </c>
      <c r="C80" s="1118">
        <f>SUM(C78:C79)</f>
        <v>3290854</v>
      </c>
      <c r="D80" s="1118">
        <f t="shared" ref="D80:R80" si="31">SUM(D78:D79)</f>
        <v>0</v>
      </c>
      <c r="E80" s="1118">
        <f t="shared" si="31"/>
        <v>3290854</v>
      </c>
      <c r="F80" s="1118">
        <f t="shared" si="31"/>
        <v>0</v>
      </c>
      <c r="G80" s="1118">
        <f t="shared" si="31"/>
        <v>0</v>
      </c>
      <c r="H80" s="1118">
        <f t="shared" si="31"/>
        <v>0</v>
      </c>
      <c r="I80" s="1118">
        <f t="shared" si="31"/>
        <v>0</v>
      </c>
      <c r="J80" s="1118">
        <f t="shared" si="31"/>
        <v>0</v>
      </c>
      <c r="K80" s="1118">
        <f t="shared" si="31"/>
        <v>0</v>
      </c>
      <c r="L80" s="1118">
        <f t="shared" si="31"/>
        <v>0</v>
      </c>
      <c r="M80" s="1118">
        <f t="shared" si="31"/>
        <v>0</v>
      </c>
      <c r="N80" s="1118">
        <f t="shared" si="31"/>
        <v>0</v>
      </c>
      <c r="O80" s="1118">
        <f t="shared" si="31"/>
        <v>0</v>
      </c>
      <c r="P80" s="1118">
        <f t="shared" si="31"/>
        <v>0</v>
      </c>
      <c r="Q80" s="1118">
        <f t="shared" si="31"/>
        <v>0</v>
      </c>
      <c r="R80" s="1118">
        <f t="shared" si="31"/>
        <v>3290854</v>
      </c>
      <c r="S80" s="1118">
        <f>SUM(S78:S79)</f>
        <v>3190854</v>
      </c>
      <c r="T80" s="1118">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135750</v>
      </c>
      <c r="C82" s="371">
        <v>135750</v>
      </c>
      <c r="D82" s="371"/>
      <c r="E82" s="371">
        <f t="shared" ref="E82:E94" si="32">B82-SUM(F82:K82)</f>
        <v>135750</v>
      </c>
      <c r="F82" s="371"/>
      <c r="G82" s="371"/>
      <c r="H82" s="371"/>
      <c r="I82" s="371"/>
      <c r="J82" s="371"/>
      <c r="K82" s="371"/>
      <c r="L82" s="371"/>
      <c r="M82" s="371"/>
      <c r="N82" s="371"/>
      <c r="O82" s="371"/>
      <c r="P82" s="371"/>
      <c r="Q82" s="371"/>
      <c r="R82" s="371">
        <f>SUM(E82:Q82)</f>
        <v>135750</v>
      </c>
      <c r="S82" s="372"/>
      <c r="T82" s="372"/>
      <c r="U82" s="367"/>
    </row>
    <row r="83" spans="1:21" s="368" customFormat="1">
      <c r="A83" s="369" t="s">
        <v>575</v>
      </c>
      <c r="B83" s="370">
        <f t="shared" ref="B83:B93" si="33">SUM(C83+D83)</f>
        <v>50000</v>
      </c>
      <c r="C83" s="371">
        <v>50000</v>
      </c>
      <c r="D83" s="371"/>
      <c r="E83" s="371">
        <f t="shared" si="32"/>
        <v>50000</v>
      </c>
      <c r="F83" s="371"/>
      <c r="G83" s="371"/>
      <c r="H83" s="371"/>
      <c r="I83" s="371"/>
      <c r="J83" s="371"/>
      <c r="K83" s="371"/>
      <c r="L83" s="371"/>
      <c r="M83" s="371"/>
      <c r="N83" s="371"/>
      <c r="O83" s="371"/>
      <c r="P83" s="371"/>
      <c r="Q83" s="371"/>
      <c r="R83" s="371">
        <f t="shared" ref="R83:R93" si="34">SUM(E83:Q83)</f>
        <v>50000</v>
      </c>
      <c r="S83" s="371">
        <f>C83</f>
        <v>50000</v>
      </c>
      <c r="T83" s="371"/>
      <c r="U83" s="367"/>
    </row>
    <row r="84" spans="1:21" s="368" customFormat="1">
      <c r="A84" s="369" t="s">
        <v>576</v>
      </c>
      <c r="B84" s="370">
        <f t="shared" si="33"/>
        <v>1915000</v>
      </c>
      <c r="C84" s="371">
        <v>1915000</v>
      </c>
      <c r="D84" s="371"/>
      <c r="E84" s="371">
        <f t="shared" si="32"/>
        <v>1915000</v>
      </c>
      <c r="F84" s="371"/>
      <c r="G84" s="371"/>
      <c r="H84" s="371"/>
      <c r="I84" s="371"/>
      <c r="J84" s="371"/>
      <c r="K84" s="371"/>
      <c r="L84" s="371"/>
      <c r="M84" s="371"/>
      <c r="N84" s="371"/>
      <c r="O84" s="371"/>
      <c r="P84" s="371"/>
      <c r="Q84" s="371"/>
      <c r="R84" s="371">
        <f t="shared" si="34"/>
        <v>1915000</v>
      </c>
      <c r="S84" s="371">
        <f>C84</f>
        <v>1915000</v>
      </c>
      <c r="T84" s="371"/>
      <c r="U84" s="367"/>
    </row>
    <row r="85" spans="1:21" s="368" customFormat="1">
      <c r="A85" s="369" t="s">
        <v>577</v>
      </c>
      <c r="B85" s="370">
        <f t="shared" si="33"/>
        <v>250000</v>
      </c>
      <c r="C85" s="371">
        <v>250000</v>
      </c>
      <c r="D85" s="371"/>
      <c r="E85" s="371">
        <f t="shared" si="32"/>
        <v>250000</v>
      </c>
      <c r="F85" s="371"/>
      <c r="G85" s="371"/>
      <c r="H85" s="371"/>
      <c r="I85" s="371"/>
      <c r="J85" s="371"/>
      <c r="K85" s="371"/>
      <c r="L85" s="371"/>
      <c r="M85" s="371"/>
      <c r="N85" s="371"/>
      <c r="O85" s="371"/>
      <c r="P85" s="371"/>
      <c r="Q85" s="371"/>
      <c r="R85" s="371">
        <f t="shared" si="34"/>
        <v>250000</v>
      </c>
      <c r="S85" s="371">
        <f>C85</f>
        <v>250000</v>
      </c>
      <c r="T85" s="371"/>
      <c r="U85" s="367"/>
    </row>
    <row r="86" spans="1:21" s="368" customFormat="1">
      <c r="A86" s="369" t="s">
        <v>578</v>
      </c>
      <c r="B86" s="370">
        <f t="shared" si="33"/>
        <v>0</v>
      </c>
      <c r="C86" s="371"/>
      <c r="D86" s="371"/>
      <c r="E86" s="371">
        <f t="shared" si="32"/>
        <v>0</v>
      </c>
      <c r="F86" s="371"/>
      <c r="G86" s="371"/>
      <c r="H86" s="371"/>
      <c r="I86" s="371"/>
      <c r="J86" s="371"/>
      <c r="K86" s="371"/>
      <c r="L86" s="371"/>
      <c r="M86" s="371"/>
      <c r="N86" s="371"/>
      <c r="O86" s="371"/>
      <c r="P86" s="371"/>
      <c r="Q86" s="371"/>
      <c r="R86" s="371">
        <f t="shared" si="34"/>
        <v>0</v>
      </c>
      <c r="S86" s="371"/>
      <c r="T86" s="371"/>
      <c r="U86" s="367"/>
    </row>
    <row r="87" spans="1:21" s="368" customFormat="1">
      <c r="A87" s="369" t="s">
        <v>579</v>
      </c>
      <c r="B87" s="370">
        <f t="shared" si="33"/>
        <v>50000</v>
      </c>
      <c r="C87" s="371">
        <v>50000</v>
      </c>
      <c r="D87" s="371"/>
      <c r="E87" s="371">
        <f t="shared" si="32"/>
        <v>50000</v>
      </c>
      <c r="F87" s="371"/>
      <c r="G87" s="371"/>
      <c r="H87" s="371"/>
      <c r="I87" s="371"/>
      <c r="J87" s="371"/>
      <c r="K87" s="371"/>
      <c r="L87" s="371"/>
      <c r="M87" s="371"/>
      <c r="N87" s="371"/>
      <c r="O87" s="371"/>
      <c r="P87" s="371"/>
      <c r="Q87" s="371"/>
      <c r="R87" s="371">
        <f t="shared" si="34"/>
        <v>50000</v>
      </c>
      <c r="S87" s="372"/>
      <c r="T87" s="372"/>
      <c r="U87" s="367"/>
    </row>
    <row r="88" spans="1:21" s="368" customFormat="1">
      <c r="A88" s="369" t="s">
        <v>580</v>
      </c>
      <c r="B88" s="370">
        <f t="shared" si="33"/>
        <v>145000</v>
      </c>
      <c r="C88" s="371">
        <v>145000</v>
      </c>
      <c r="D88" s="371"/>
      <c r="E88" s="371">
        <f t="shared" si="32"/>
        <v>145000</v>
      </c>
      <c r="F88" s="371"/>
      <c r="G88" s="371"/>
      <c r="H88" s="371"/>
      <c r="I88" s="371"/>
      <c r="J88" s="371"/>
      <c r="K88" s="371"/>
      <c r="L88" s="371"/>
      <c r="M88" s="371"/>
      <c r="N88" s="371"/>
      <c r="O88" s="371"/>
      <c r="P88" s="371"/>
      <c r="Q88" s="371"/>
      <c r="R88" s="371">
        <f t="shared" si="34"/>
        <v>145000</v>
      </c>
      <c r="S88" s="371">
        <f>C88</f>
        <v>145000</v>
      </c>
      <c r="T88" s="371"/>
      <c r="U88" s="367"/>
    </row>
    <row r="89" spans="1:21" s="368" customFormat="1">
      <c r="A89" s="369" t="s">
        <v>581</v>
      </c>
      <c r="B89" s="370">
        <f t="shared" si="33"/>
        <v>19204</v>
      </c>
      <c r="C89" s="371">
        <v>19204</v>
      </c>
      <c r="D89" s="371"/>
      <c r="E89" s="371">
        <f t="shared" si="32"/>
        <v>19204</v>
      </c>
      <c r="F89" s="371"/>
      <c r="G89" s="371"/>
      <c r="H89" s="371"/>
      <c r="I89" s="371"/>
      <c r="J89" s="371"/>
      <c r="K89" s="371"/>
      <c r="L89" s="371"/>
      <c r="M89" s="371"/>
      <c r="N89" s="371"/>
      <c r="O89" s="371"/>
      <c r="P89" s="371"/>
      <c r="Q89" s="371"/>
      <c r="R89" s="371">
        <f t="shared" si="34"/>
        <v>19204</v>
      </c>
      <c r="S89" s="371">
        <f>C89</f>
        <v>19204</v>
      </c>
      <c r="T89" s="371"/>
      <c r="U89" s="367"/>
    </row>
    <row r="90" spans="1:21" s="368" customFormat="1">
      <c r="A90" s="380" t="s">
        <v>1454</v>
      </c>
      <c r="B90" s="370">
        <f t="shared" si="33"/>
        <v>80000</v>
      </c>
      <c r="C90" s="371">
        <v>80000</v>
      </c>
      <c r="D90" s="371"/>
      <c r="E90" s="371">
        <f t="shared" si="32"/>
        <v>80000</v>
      </c>
      <c r="F90" s="371"/>
      <c r="G90" s="371"/>
      <c r="H90" s="371"/>
      <c r="I90" s="371"/>
      <c r="J90" s="371"/>
      <c r="K90" s="371"/>
      <c r="L90" s="371"/>
      <c r="M90" s="371"/>
      <c r="N90" s="371"/>
      <c r="O90" s="371"/>
      <c r="P90" s="371"/>
      <c r="Q90" s="371"/>
      <c r="R90" s="371">
        <f t="shared" si="34"/>
        <v>80000</v>
      </c>
      <c r="S90" s="371">
        <v>60000</v>
      </c>
      <c r="T90" s="371"/>
      <c r="U90" s="367"/>
    </row>
    <row r="91" spans="1:21" s="368" customFormat="1">
      <c r="A91" s="380" t="s">
        <v>1966</v>
      </c>
      <c r="B91" s="370">
        <f t="shared" si="33"/>
        <v>10000</v>
      </c>
      <c r="C91" s="371">
        <v>10000</v>
      </c>
      <c r="D91" s="371"/>
      <c r="E91" s="371">
        <f t="shared" si="32"/>
        <v>10000</v>
      </c>
      <c r="F91" s="371"/>
      <c r="G91" s="371"/>
      <c r="H91" s="371"/>
      <c r="I91" s="371"/>
      <c r="J91" s="371"/>
      <c r="K91" s="371"/>
      <c r="L91" s="371"/>
      <c r="M91" s="371"/>
      <c r="N91" s="371"/>
      <c r="O91" s="371"/>
      <c r="P91" s="371"/>
      <c r="Q91" s="371"/>
      <c r="R91" s="371">
        <f t="shared" si="34"/>
        <v>10000</v>
      </c>
      <c r="S91" s="371"/>
      <c r="T91" s="371"/>
      <c r="U91" s="367"/>
    </row>
    <row r="92" spans="1:21" s="368" customFormat="1">
      <c r="A92" s="376" t="s">
        <v>592</v>
      </c>
      <c r="B92" s="370">
        <f t="shared" si="33"/>
        <v>0</v>
      </c>
      <c r="C92" s="371"/>
      <c r="D92" s="371"/>
      <c r="E92" s="371">
        <f t="shared" si="32"/>
        <v>0</v>
      </c>
      <c r="F92" s="371"/>
      <c r="G92" s="371"/>
      <c r="H92" s="371"/>
      <c r="I92" s="371"/>
      <c r="J92" s="371"/>
      <c r="K92" s="371"/>
      <c r="L92" s="371"/>
      <c r="M92" s="371"/>
      <c r="N92" s="371"/>
      <c r="O92" s="371"/>
      <c r="P92" s="371"/>
      <c r="Q92" s="371"/>
      <c r="R92" s="371">
        <f t="shared" si="34"/>
        <v>0</v>
      </c>
      <c r="S92" s="371"/>
      <c r="T92" s="371"/>
      <c r="U92" s="367"/>
    </row>
    <row r="93" spans="1:21" s="368" customFormat="1">
      <c r="A93" s="376" t="s">
        <v>592</v>
      </c>
      <c r="B93" s="370">
        <f t="shared" si="33"/>
        <v>0</v>
      </c>
      <c r="C93" s="371"/>
      <c r="D93" s="371"/>
      <c r="E93" s="371">
        <f t="shared" si="32"/>
        <v>0</v>
      </c>
      <c r="F93" s="371"/>
      <c r="G93" s="371"/>
      <c r="H93" s="371"/>
      <c r="I93" s="371"/>
      <c r="J93" s="371"/>
      <c r="K93" s="371"/>
      <c r="L93" s="371"/>
      <c r="M93" s="371"/>
      <c r="N93" s="371"/>
      <c r="O93" s="371"/>
      <c r="P93" s="371"/>
      <c r="Q93" s="371"/>
      <c r="R93" s="371">
        <f t="shared" si="34"/>
        <v>0</v>
      </c>
      <c r="S93" s="371"/>
      <c r="T93" s="371"/>
      <c r="U93" s="367"/>
    </row>
    <row r="94" spans="1:21" s="368" customFormat="1">
      <c r="A94" s="376" t="s">
        <v>592</v>
      </c>
      <c r="B94" s="370">
        <f>SUM(C94+D94)</f>
        <v>0</v>
      </c>
      <c r="C94" s="371"/>
      <c r="D94" s="371"/>
      <c r="E94" s="371">
        <f t="shared" si="32"/>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2654954</v>
      </c>
      <c r="C95" s="370">
        <f t="shared" ref="C95:R95" si="35">SUM(C82:C94)</f>
        <v>2654954</v>
      </c>
      <c r="D95" s="370">
        <f t="shared" si="35"/>
        <v>0</v>
      </c>
      <c r="E95" s="370">
        <f t="shared" si="35"/>
        <v>2654954</v>
      </c>
      <c r="F95" s="370">
        <f t="shared" si="35"/>
        <v>0</v>
      </c>
      <c r="G95" s="370">
        <f t="shared" si="35"/>
        <v>0</v>
      </c>
      <c r="H95" s="370">
        <f t="shared" si="35"/>
        <v>0</v>
      </c>
      <c r="I95" s="370">
        <f t="shared" si="35"/>
        <v>0</v>
      </c>
      <c r="J95" s="370">
        <f t="shared" si="35"/>
        <v>0</v>
      </c>
      <c r="K95" s="370">
        <f t="shared" si="35"/>
        <v>0</v>
      </c>
      <c r="L95" s="370">
        <f t="shared" si="35"/>
        <v>0</v>
      </c>
      <c r="M95" s="370">
        <f t="shared" si="35"/>
        <v>0</v>
      </c>
      <c r="N95" s="370">
        <f t="shared" si="35"/>
        <v>0</v>
      </c>
      <c r="O95" s="370">
        <f t="shared" si="35"/>
        <v>0</v>
      </c>
      <c r="P95" s="370">
        <f t="shared" si="35"/>
        <v>0</v>
      </c>
      <c r="Q95" s="370">
        <f t="shared" si="35"/>
        <v>0</v>
      </c>
      <c r="R95" s="370">
        <f t="shared" si="35"/>
        <v>2654954</v>
      </c>
      <c r="S95" s="374">
        <f>SUM(S83:S86,S88:S94)</f>
        <v>2439204</v>
      </c>
      <c r="T95" s="370">
        <f>SUM(T83:T86,T88:T94)</f>
        <v>0</v>
      </c>
      <c r="U95" s="367"/>
    </row>
    <row r="96" spans="1:21" s="368" customFormat="1">
      <c r="A96" s="373" t="s">
        <v>583</v>
      </c>
      <c r="B96" s="370">
        <f>SUM(C96:D96)</f>
        <v>50778060</v>
      </c>
      <c r="C96" s="370">
        <f t="shared" ref="C96:R96" si="36">SUM(C62+C69+C76+C80+C95)</f>
        <v>50778060</v>
      </c>
      <c r="D96" s="370">
        <f t="shared" si="36"/>
        <v>0</v>
      </c>
      <c r="E96" s="370">
        <f t="shared" si="36"/>
        <v>22705689</v>
      </c>
      <c r="F96" s="370">
        <f t="shared" si="36"/>
        <v>3672371</v>
      </c>
      <c r="G96" s="370">
        <f t="shared" si="36"/>
        <v>4400000</v>
      </c>
      <c r="H96" s="370">
        <f t="shared" si="36"/>
        <v>20000000</v>
      </c>
      <c r="I96" s="370">
        <f t="shared" si="36"/>
        <v>0</v>
      </c>
      <c r="J96" s="370">
        <f t="shared" si="36"/>
        <v>0</v>
      </c>
      <c r="K96" s="370">
        <f t="shared" si="36"/>
        <v>0</v>
      </c>
      <c r="L96" s="370">
        <f t="shared" si="36"/>
        <v>0</v>
      </c>
      <c r="M96" s="370">
        <f t="shared" si="36"/>
        <v>0</v>
      </c>
      <c r="N96" s="370">
        <f t="shared" si="36"/>
        <v>0</v>
      </c>
      <c r="O96" s="370">
        <f t="shared" si="36"/>
        <v>0</v>
      </c>
      <c r="P96" s="370">
        <f t="shared" si="36"/>
        <v>0</v>
      </c>
      <c r="Q96" s="370">
        <f t="shared" si="36"/>
        <v>0</v>
      </c>
      <c r="R96" s="370">
        <f t="shared" si="36"/>
        <v>50778060</v>
      </c>
      <c r="S96" s="374">
        <f>SUM(+S62+S69+S80+S95)</f>
        <v>45578788</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 t="shared" ref="E98:E102" si="37">B98-SUM(F98:K98)</f>
        <v>2025067</v>
      </c>
      <c r="F98" s="371"/>
      <c r="G98" s="371"/>
      <c r="H98" s="371"/>
      <c r="I98" s="371">
        <f>I107</f>
        <v>168683</v>
      </c>
      <c r="J98" s="371">
        <f>J107</f>
        <v>6250</v>
      </c>
      <c r="K98" s="371"/>
      <c r="L98" s="371"/>
      <c r="M98" s="371"/>
      <c r="N98" s="371"/>
      <c r="O98" s="371"/>
      <c r="P98" s="371"/>
      <c r="Q98" s="371"/>
      <c r="R98" s="371">
        <f>SUM(E98:Q98)</f>
        <v>2200000</v>
      </c>
      <c r="S98" s="371">
        <f>C98</f>
        <v>2200000</v>
      </c>
      <c r="T98" s="371"/>
      <c r="U98" s="367"/>
    </row>
    <row r="99" spans="1:21" s="368" customFormat="1">
      <c r="A99" s="369" t="s">
        <v>2245</v>
      </c>
      <c r="B99" s="370">
        <f>SUM(C99+D99)</f>
        <v>0</v>
      </c>
      <c r="C99" s="371"/>
      <c r="D99" s="371"/>
      <c r="E99" s="371">
        <f t="shared" si="37"/>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f t="shared" si="37"/>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f t="shared" si="37"/>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f t="shared" si="37"/>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8">SUM(C98:C102)</f>
        <v>2200000</v>
      </c>
      <c r="D103" s="370">
        <f t="shared" si="38"/>
        <v>0</v>
      </c>
      <c r="E103" s="370">
        <f t="shared" si="38"/>
        <v>2025067</v>
      </c>
      <c r="F103" s="370">
        <f t="shared" si="38"/>
        <v>0</v>
      </c>
      <c r="G103" s="370">
        <f t="shared" si="38"/>
        <v>0</v>
      </c>
      <c r="H103" s="370">
        <f t="shared" si="38"/>
        <v>0</v>
      </c>
      <c r="I103" s="370">
        <f t="shared" si="38"/>
        <v>168683</v>
      </c>
      <c r="J103" s="370">
        <f t="shared" si="38"/>
        <v>6250</v>
      </c>
      <c r="K103" s="370">
        <f t="shared" si="38"/>
        <v>0</v>
      </c>
      <c r="L103" s="370">
        <f t="shared" si="38"/>
        <v>0</v>
      </c>
      <c r="M103" s="370">
        <f t="shared" si="38"/>
        <v>0</v>
      </c>
      <c r="N103" s="370">
        <f t="shared" si="38"/>
        <v>0</v>
      </c>
      <c r="O103" s="370">
        <f t="shared" si="38"/>
        <v>0</v>
      </c>
      <c r="P103" s="370">
        <f t="shared" si="38"/>
        <v>0</v>
      </c>
      <c r="Q103" s="370">
        <f t="shared" si="38"/>
        <v>0</v>
      </c>
      <c r="R103" s="370">
        <f t="shared" si="38"/>
        <v>2200000</v>
      </c>
      <c r="S103" s="374">
        <f t="shared" si="38"/>
        <v>2200000</v>
      </c>
      <c r="T103" s="374">
        <f t="shared" si="38"/>
        <v>0</v>
      </c>
      <c r="U103" s="367"/>
    </row>
    <row r="104" spans="1:21" s="368" customFormat="1">
      <c r="A104" s="373" t="s">
        <v>1282</v>
      </c>
      <c r="B104" s="374">
        <f>SUM(C104:D104)</f>
        <v>52978060</v>
      </c>
      <c r="C104" s="374">
        <f t="shared" ref="C104:R104" si="39">SUM(C96+C103)</f>
        <v>52978060</v>
      </c>
      <c r="D104" s="374">
        <f t="shared" si="39"/>
        <v>0</v>
      </c>
      <c r="E104" s="374">
        <f t="shared" si="39"/>
        <v>24730756</v>
      </c>
      <c r="F104" s="374">
        <f t="shared" si="39"/>
        <v>3672371</v>
      </c>
      <c r="G104" s="374">
        <f t="shared" si="39"/>
        <v>4400000</v>
      </c>
      <c r="H104" s="374">
        <f t="shared" si="39"/>
        <v>20000000</v>
      </c>
      <c r="I104" s="374">
        <f t="shared" si="39"/>
        <v>168683</v>
      </c>
      <c r="J104" s="374">
        <f t="shared" si="39"/>
        <v>6250</v>
      </c>
      <c r="K104" s="374">
        <f t="shared" si="39"/>
        <v>0</v>
      </c>
      <c r="L104" s="374">
        <f t="shared" si="39"/>
        <v>0</v>
      </c>
      <c r="M104" s="374">
        <f t="shared" si="39"/>
        <v>0</v>
      </c>
      <c r="N104" s="374">
        <f t="shared" si="39"/>
        <v>0</v>
      </c>
      <c r="O104" s="374">
        <f t="shared" si="39"/>
        <v>0</v>
      </c>
      <c r="P104" s="374">
        <f t="shared" si="39"/>
        <v>0</v>
      </c>
      <c r="Q104" s="374">
        <f t="shared" si="39"/>
        <v>0</v>
      </c>
      <c r="R104" s="370">
        <f t="shared" si="39"/>
        <v>52978060</v>
      </c>
      <c r="S104" s="374">
        <f>S96+S103</f>
        <v>47778788</v>
      </c>
      <c r="T104" s="374">
        <f>T96+T103</f>
        <v>0</v>
      </c>
      <c r="U104" s="367"/>
    </row>
    <row r="105" spans="1:21" s="383" customFormat="1">
      <c r="A105" s="1303"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47778788</v>
      </c>
      <c r="T106" s="388">
        <f>T104+T105</f>
        <v>0</v>
      </c>
      <c r="U106" s="386"/>
    </row>
    <row r="107" spans="1:21" s="389" customFormat="1">
      <c r="A107" s="387" t="s">
        <v>1226</v>
      </c>
      <c r="B107" s="382"/>
      <c r="C107" s="382"/>
      <c r="D107" s="382"/>
      <c r="E107" s="654">
        <f>Application!AO645</f>
        <v>24730756</v>
      </c>
      <c r="F107" s="654">
        <f>Application!AO632</f>
        <v>3672371</v>
      </c>
      <c r="G107" s="654">
        <f>Application!AO633</f>
        <v>4400000</v>
      </c>
      <c r="H107" s="654">
        <f>Application!AO634</f>
        <v>20000000</v>
      </c>
      <c r="I107" s="654">
        <f>Application!AO635</f>
        <v>168683</v>
      </c>
      <c r="J107" s="654">
        <f>Application!AO636</f>
        <v>6250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47" t="s">
        <v>1427</v>
      </c>
      <c r="E122" s="2247"/>
      <c r="F122" s="2247"/>
      <c r="U122" s="386"/>
    </row>
    <row r="123" spans="1:21" s="383" customFormat="1">
      <c r="A123" s="383" t="s">
        <v>1428</v>
      </c>
      <c r="B123" s="870"/>
      <c r="D123" s="2250" t="s">
        <v>1455</v>
      </c>
      <c r="E123" s="2251"/>
      <c r="F123" s="2251"/>
      <c r="G123" s="2251"/>
      <c r="H123" s="2251"/>
      <c r="I123" s="2251"/>
      <c r="J123" s="2251"/>
      <c r="K123" s="2251"/>
      <c r="L123" s="2251"/>
      <c r="M123" s="2251"/>
      <c r="N123" s="2251"/>
      <c r="O123" s="2251"/>
      <c r="P123" s="2251"/>
      <c r="Q123" s="2251"/>
      <c r="R123" s="2251"/>
      <c r="S123" s="2251"/>
      <c r="U123" s="386"/>
    </row>
    <row r="124" spans="1:21" s="383" customFormat="1" ht="12.75">
      <c r="A124" s="873" t="s">
        <v>1429</v>
      </c>
      <c r="B124" s="870"/>
      <c r="C124" s="873"/>
      <c r="D124" s="2251"/>
      <c r="E124" s="2251"/>
      <c r="F124" s="2251"/>
      <c r="G124" s="2251"/>
      <c r="H124" s="2251"/>
      <c r="I124" s="2251"/>
      <c r="J124" s="2251"/>
      <c r="K124" s="2251"/>
      <c r="L124" s="2251"/>
      <c r="M124" s="2251"/>
      <c r="N124" s="2251"/>
      <c r="O124" s="2251"/>
      <c r="P124" s="2251"/>
      <c r="Q124" s="2251"/>
      <c r="R124" s="2251"/>
      <c r="S124" s="2251"/>
      <c r="U124" s="386"/>
    </row>
    <row r="125" spans="1:21" s="383" customFormat="1" ht="12.75">
      <c r="A125" s="873" t="s">
        <v>1430</v>
      </c>
      <c r="B125" s="870"/>
      <c r="C125" s="873"/>
      <c r="D125" s="2251"/>
      <c r="E125" s="2251"/>
      <c r="F125" s="2251"/>
      <c r="G125" s="2251"/>
      <c r="H125" s="2251"/>
      <c r="I125" s="2251"/>
      <c r="J125" s="2251"/>
      <c r="K125" s="2251"/>
      <c r="L125" s="2251"/>
      <c r="M125" s="2251"/>
      <c r="N125" s="2251"/>
      <c r="O125" s="2251"/>
      <c r="P125" s="2251"/>
      <c r="Q125" s="2251"/>
      <c r="R125" s="2251"/>
      <c r="S125" s="2251"/>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44"/>
      <c r="E128" s="2244"/>
      <c r="F128" s="2244"/>
      <c r="G128" s="2244"/>
      <c r="H128" s="2244"/>
      <c r="I128" s="873"/>
      <c r="J128" s="2245"/>
      <c r="K128" s="2245"/>
      <c r="L128" s="873"/>
      <c r="M128" s="873"/>
      <c r="N128" s="873"/>
      <c r="O128" s="873"/>
      <c r="P128" s="873"/>
      <c r="Q128" s="873"/>
      <c r="R128" s="873"/>
      <c r="S128" s="873"/>
      <c r="U128" s="386"/>
    </row>
    <row r="129" spans="1:21" s="383" customFormat="1" ht="12.75">
      <c r="A129" s="873" t="s">
        <v>548</v>
      </c>
      <c r="B129" s="870"/>
      <c r="C129" s="873"/>
      <c r="D129" s="2246" t="s">
        <v>1434</v>
      </c>
      <c r="E129" s="2246"/>
      <c r="F129" s="2246"/>
      <c r="G129" s="2246"/>
      <c r="H129" s="2246"/>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856"/>
      <c r="E131" s="1856"/>
      <c r="F131" s="1856"/>
      <c r="G131" s="1856"/>
      <c r="H131" s="1856"/>
      <c r="I131" s="873"/>
      <c r="J131" s="1856"/>
      <c r="K131" s="1856"/>
      <c r="L131" s="1856"/>
      <c r="M131" s="1856"/>
      <c r="N131" s="873"/>
      <c r="O131" s="873"/>
      <c r="P131" s="873"/>
      <c r="Q131" s="873"/>
      <c r="R131" s="873"/>
      <c r="S131" s="873"/>
      <c r="U131" s="386"/>
    </row>
    <row r="132" spans="1:21" s="383" customFormat="1" ht="12.75">
      <c r="A132" s="875"/>
      <c r="B132" s="873"/>
      <c r="C132" s="873"/>
      <c r="D132" s="2252" t="s">
        <v>1437</v>
      </c>
      <c r="E132" s="2252"/>
      <c r="F132" s="2252"/>
      <c r="G132" s="2252"/>
      <c r="H132" s="2252"/>
      <c r="I132" s="873"/>
      <c r="J132" s="2252" t="s">
        <v>1438</v>
      </c>
      <c r="K132" s="2252"/>
      <c r="L132" s="2252"/>
      <c r="M132" s="225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53"/>
      <c r="B138" s="2254"/>
      <c r="C138" s="2254"/>
      <c r="D138" s="565"/>
      <c r="E138" s="2245"/>
      <c r="F138" s="2245"/>
      <c r="G138" s="873"/>
      <c r="H138" s="873"/>
      <c r="I138" s="873"/>
      <c r="J138" s="873"/>
      <c r="K138" s="873"/>
      <c r="L138" s="873"/>
      <c r="M138" s="873"/>
      <c r="N138" s="873"/>
      <c r="O138" s="873"/>
      <c r="P138" s="873"/>
      <c r="Q138" s="873"/>
      <c r="R138" s="873"/>
      <c r="S138" s="873"/>
    </row>
    <row r="139" spans="1:21" ht="12" customHeight="1">
      <c r="A139" s="2248" t="s">
        <v>1441</v>
      </c>
      <c r="B139" s="2249"/>
      <c r="C139" s="224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63" stopIfTrue="1">
      <formula>T9&gt;C9</formula>
    </cfRule>
  </conditionalFormatting>
  <conditionalFormatting sqref="T10">
    <cfRule type="expression" dxfId="136" priority="262" stopIfTrue="1">
      <formula>(T10+S10)&gt;C10</formula>
    </cfRule>
  </conditionalFormatting>
  <conditionalFormatting sqref="R8">
    <cfRule type="cellIs" dxfId="135" priority="242" stopIfTrue="1" operator="notEqual">
      <formula>$B8</formula>
    </cfRule>
    <cfRule type="cellIs" priority="245" stopIfTrue="1" operator="notEqual">
      <formula>$B8</formula>
    </cfRule>
  </conditionalFormatting>
  <conditionalFormatting sqref="R4:R7 R45:R52 R56:R60 R82:R94 R98:R102">
    <cfRule type="cellIs" dxfId="134" priority="244" stopIfTrue="1" operator="notEqual">
      <formula>$B4</formula>
    </cfRule>
  </conditionalFormatting>
  <conditionalFormatting sqref="R9:R10">
    <cfRule type="cellIs" dxfId="133" priority="243" stopIfTrue="1" operator="notEqual">
      <formula>$B9</formula>
    </cfRule>
  </conditionalFormatting>
  <conditionalFormatting sqref="R11:R12">
    <cfRule type="cellIs" dxfId="132" priority="240" stopIfTrue="1" operator="notEqual">
      <formula>$B11</formula>
    </cfRule>
    <cfRule type="cellIs" priority="241" stopIfTrue="1" operator="notEqual">
      <formula>$B11</formula>
    </cfRule>
  </conditionalFormatting>
  <conditionalFormatting sqref="R13:R15">
    <cfRule type="cellIs" dxfId="131" priority="239" stopIfTrue="1" operator="notEqual">
      <formula>$B13</formula>
    </cfRule>
  </conditionalFormatting>
  <conditionalFormatting sqref="R26">
    <cfRule type="cellIs" dxfId="130" priority="237" stopIfTrue="1" operator="notEqual">
      <formula>$B26</formula>
    </cfRule>
    <cfRule type="cellIs" priority="238" stopIfTrue="1" operator="notEqual">
      <formula>$B26</formula>
    </cfRule>
  </conditionalFormatting>
  <conditionalFormatting sqref="R17:R25">
    <cfRule type="cellIs" dxfId="129" priority="236" stopIfTrue="1" operator="notEqual">
      <formula>$B17</formula>
    </cfRule>
  </conditionalFormatting>
  <conditionalFormatting sqref="R27">
    <cfRule type="cellIs" dxfId="128" priority="235" stopIfTrue="1" operator="notEqual">
      <formula>$B27</formula>
    </cfRule>
  </conditionalFormatting>
  <conditionalFormatting sqref="R38">
    <cfRule type="cellIs" dxfId="127" priority="233" stopIfTrue="1" operator="notEqual">
      <formula>$B38</formula>
    </cfRule>
    <cfRule type="cellIs" priority="234" stopIfTrue="1" operator="notEqual">
      <formula>$B38</formula>
    </cfRule>
  </conditionalFormatting>
  <conditionalFormatting sqref="R29:R37">
    <cfRule type="cellIs" dxfId="126" priority="232" stopIfTrue="1" operator="notEqual">
      <formula>$B29</formula>
    </cfRule>
  </conditionalFormatting>
  <conditionalFormatting sqref="R42">
    <cfRule type="cellIs" dxfId="125" priority="230" stopIfTrue="1" operator="notEqual">
      <formula>$B42</formula>
    </cfRule>
    <cfRule type="cellIs" priority="231" stopIfTrue="1" operator="notEqual">
      <formula>$B42</formula>
    </cfRule>
  </conditionalFormatting>
  <conditionalFormatting sqref="R40:R41">
    <cfRule type="cellIs" dxfId="124" priority="229" stopIfTrue="1" operator="notEqual">
      <formula>$B40</formula>
    </cfRule>
  </conditionalFormatting>
  <conditionalFormatting sqref="R43">
    <cfRule type="cellIs" dxfId="123" priority="228" stopIfTrue="1" operator="notEqual">
      <formula>$B43</formula>
    </cfRule>
  </conditionalFormatting>
  <conditionalFormatting sqref="R53">
    <cfRule type="cellIs" dxfId="122" priority="225" stopIfTrue="1" operator="notEqual">
      <formula>$B53</formula>
    </cfRule>
    <cfRule type="cellIs" priority="226" stopIfTrue="1" operator="notEqual">
      <formula>$B53</formula>
    </cfRule>
  </conditionalFormatting>
  <conditionalFormatting sqref="R55">
    <cfRule type="cellIs" dxfId="121" priority="223" stopIfTrue="1" operator="notEqual">
      <formula>$B55</formula>
    </cfRule>
  </conditionalFormatting>
  <conditionalFormatting sqref="R61:R62">
    <cfRule type="cellIs" dxfId="120" priority="221" stopIfTrue="1" operator="notEqual">
      <formula>$B61</formula>
    </cfRule>
    <cfRule type="cellIs" priority="222" stopIfTrue="1" operator="notEqual">
      <formula>$B61</formula>
    </cfRule>
  </conditionalFormatting>
  <conditionalFormatting sqref="R64:R68">
    <cfRule type="cellIs" dxfId="119" priority="220" stopIfTrue="1" operator="notEqual">
      <formula>$B64</formula>
    </cfRule>
  </conditionalFormatting>
  <conditionalFormatting sqref="R69">
    <cfRule type="cellIs" dxfId="118" priority="218" stopIfTrue="1" operator="notEqual">
      <formula>$B69</formula>
    </cfRule>
    <cfRule type="cellIs" priority="219" stopIfTrue="1" operator="notEqual">
      <formula>$B69</formula>
    </cfRule>
  </conditionalFormatting>
  <conditionalFormatting sqref="R71:R75">
    <cfRule type="cellIs" dxfId="117" priority="217" stopIfTrue="1" operator="notEqual">
      <formula>$B71</formula>
    </cfRule>
  </conditionalFormatting>
  <conditionalFormatting sqref="R76">
    <cfRule type="cellIs" dxfId="116" priority="215" stopIfTrue="1" operator="notEqual">
      <formula>$B76</formula>
    </cfRule>
    <cfRule type="cellIs" priority="216" stopIfTrue="1" operator="notEqual">
      <formula>$B76</formula>
    </cfRule>
  </conditionalFormatting>
  <conditionalFormatting sqref="R78:R79">
    <cfRule type="cellIs" dxfId="115" priority="214" stopIfTrue="1" operator="notEqual">
      <formula>$B78</formula>
    </cfRule>
  </conditionalFormatting>
  <conditionalFormatting sqref="R95:R96">
    <cfRule type="cellIs" dxfId="114" priority="211" stopIfTrue="1" operator="notEqual">
      <formula>$B95</formula>
    </cfRule>
    <cfRule type="cellIs" priority="212" stopIfTrue="1" operator="notEqual">
      <formula>$B95</formula>
    </cfRule>
  </conditionalFormatting>
  <conditionalFormatting sqref="R103:R104">
    <cfRule type="cellIs" dxfId="113" priority="208" stopIfTrue="1" operator="notEqual">
      <formula>$B103</formula>
    </cfRule>
    <cfRule type="cellIs" priority="209" stopIfTrue="1" operator="notEqual">
      <formula>$B103</formula>
    </cfRule>
  </conditionalFormatting>
  <conditionalFormatting sqref="E104:Q104">
    <cfRule type="cellIs" dxfId="112" priority="207" stopIfTrue="1" operator="notEqual">
      <formula>E$107</formula>
    </cfRule>
  </conditionalFormatting>
  <conditionalFormatting sqref="S43">
    <cfRule type="expression" dxfId="111" priority="100" stopIfTrue="1">
      <formula>(S43+T43)&gt;C43</formula>
    </cfRule>
  </conditionalFormatting>
  <conditionalFormatting sqref="S10">
    <cfRule type="expression" dxfId="110" priority="143" stopIfTrue="1">
      <formula>(S10+T10)&gt;C10</formula>
    </cfRule>
  </conditionalFormatting>
  <conditionalFormatting sqref="S23:S24">
    <cfRule type="expression" dxfId="109" priority="124" stopIfTrue="1">
      <formula>(S23+T23)&gt;C23</formula>
    </cfRule>
  </conditionalFormatting>
  <conditionalFormatting sqref="T13">
    <cfRule type="expression" dxfId="108" priority="142" stopIfTrue="1">
      <formula>(T13+S13)&gt;C13</formula>
    </cfRule>
  </conditionalFormatting>
  <conditionalFormatting sqref="T14">
    <cfRule type="expression" dxfId="107" priority="141" stopIfTrue="1">
      <formula>(T14+S14)&gt;C14</formula>
    </cfRule>
  </conditionalFormatting>
  <conditionalFormatting sqref="T17">
    <cfRule type="expression" dxfId="106" priority="140" stopIfTrue="1">
      <formula>(T17+S17)&gt;C17</formula>
    </cfRule>
  </conditionalFormatting>
  <conditionalFormatting sqref="T18">
    <cfRule type="expression" dxfId="105" priority="139" stopIfTrue="1">
      <formula>(T18+S18)&gt;C18</formula>
    </cfRule>
  </conditionalFormatting>
  <conditionalFormatting sqref="T19">
    <cfRule type="expression" dxfId="104" priority="138" stopIfTrue="1">
      <formula>(T19+S19)&gt;C19</formula>
    </cfRule>
  </conditionalFormatting>
  <conditionalFormatting sqref="T20">
    <cfRule type="expression" dxfId="103" priority="137" stopIfTrue="1">
      <formula>(T20+S20)&gt;C20</formula>
    </cfRule>
  </conditionalFormatting>
  <conditionalFormatting sqref="T21">
    <cfRule type="expression" dxfId="102" priority="136" stopIfTrue="1">
      <formula>(T21+S21)&gt;C21</formula>
    </cfRule>
  </conditionalFormatting>
  <conditionalFormatting sqref="T22">
    <cfRule type="expression" dxfId="101" priority="135" stopIfTrue="1">
      <formula>(T22+S22)&gt;C22</formula>
    </cfRule>
  </conditionalFormatting>
  <conditionalFormatting sqref="T23:T24">
    <cfRule type="expression" dxfId="100" priority="134" stopIfTrue="1">
      <formula>(T23+S23)&gt;C23</formula>
    </cfRule>
  </conditionalFormatting>
  <conditionalFormatting sqref="T25">
    <cfRule type="expression" dxfId="99" priority="133" stopIfTrue="1">
      <formula>(T25+S25)&gt;C25</formula>
    </cfRule>
  </conditionalFormatting>
  <conditionalFormatting sqref="S17">
    <cfRule type="expression" dxfId="98" priority="130" stopIfTrue="1">
      <formula>(S17+T17)&gt;C17</formula>
    </cfRule>
  </conditionalFormatting>
  <conditionalFormatting sqref="S18">
    <cfRule type="expression" dxfId="97" priority="129" stopIfTrue="1">
      <formula>(S18+T18)&gt;C18</formula>
    </cfRule>
  </conditionalFormatting>
  <conditionalFormatting sqref="S19">
    <cfRule type="expression" dxfId="96" priority="128" stopIfTrue="1">
      <formula>(S19+T19)&gt;C19</formula>
    </cfRule>
  </conditionalFormatting>
  <conditionalFormatting sqref="S20">
    <cfRule type="expression" dxfId="95" priority="127" stopIfTrue="1">
      <formula>(S20+T20)&gt;C20</formula>
    </cfRule>
  </conditionalFormatting>
  <conditionalFormatting sqref="S21">
    <cfRule type="expression" dxfId="94" priority="126" stopIfTrue="1">
      <formula>(S21+T21)&gt;C21</formula>
    </cfRule>
  </conditionalFormatting>
  <conditionalFormatting sqref="S22">
    <cfRule type="expression" dxfId="93" priority="125" stopIfTrue="1">
      <formula>(S22+T22)&gt;C22</formula>
    </cfRule>
  </conditionalFormatting>
  <conditionalFormatting sqref="S25">
    <cfRule type="expression" dxfId="92" priority="123" stopIfTrue="1">
      <formula>(S25+T25)&gt;C25</formula>
    </cfRule>
  </conditionalFormatting>
  <conditionalFormatting sqref="S27">
    <cfRule type="expression" dxfId="91" priority="122" stopIfTrue="1">
      <formula>(S27+T27)&gt;C27</formula>
    </cfRule>
  </conditionalFormatting>
  <conditionalFormatting sqref="T27">
    <cfRule type="expression" dxfId="90" priority="121" stopIfTrue="1">
      <formula>(T27+S27)&gt;C27</formula>
    </cfRule>
  </conditionalFormatting>
  <conditionalFormatting sqref="T29">
    <cfRule type="expression" dxfId="89" priority="112" stopIfTrue="1">
      <formula>(T29+S29)&gt;C29</formula>
    </cfRule>
  </conditionalFormatting>
  <conditionalFormatting sqref="T30">
    <cfRule type="expression" dxfId="88" priority="111" stopIfTrue="1">
      <formula>(T30+S30)&gt;C30</formula>
    </cfRule>
  </conditionalFormatting>
  <conditionalFormatting sqref="T31">
    <cfRule type="expression" dxfId="87" priority="110" stopIfTrue="1">
      <formula>(T31+S31)&gt;C31</formula>
    </cfRule>
  </conditionalFormatting>
  <conditionalFormatting sqref="T32">
    <cfRule type="expression" dxfId="86" priority="109" stopIfTrue="1">
      <formula>(T32+S32)&gt;C32</formula>
    </cfRule>
  </conditionalFormatting>
  <conditionalFormatting sqref="T33">
    <cfRule type="expression" dxfId="85" priority="108" stopIfTrue="1">
      <formula>(T33+S33)&gt;C33</formula>
    </cfRule>
  </conditionalFormatting>
  <conditionalFormatting sqref="T34">
    <cfRule type="expression" dxfId="84" priority="107" stopIfTrue="1">
      <formula>(T34+S34)&gt;C34</formula>
    </cfRule>
  </conditionalFormatting>
  <conditionalFormatting sqref="T35:T36">
    <cfRule type="expression" dxfId="83" priority="106" stopIfTrue="1">
      <formula>(T35+S35)&gt;C35</formula>
    </cfRule>
  </conditionalFormatting>
  <conditionalFormatting sqref="T37">
    <cfRule type="expression" dxfId="82" priority="105" stopIfTrue="1">
      <formula>(T37+S37)&gt;C37</formula>
    </cfRule>
  </conditionalFormatting>
  <conditionalFormatting sqref="T40">
    <cfRule type="expression" dxfId="81" priority="104" stopIfTrue="1">
      <formula>(T40+S40)&gt;C40</formula>
    </cfRule>
  </conditionalFormatting>
  <conditionalFormatting sqref="T41">
    <cfRule type="expression" dxfId="80" priority="103" stopIfTrue="1">
      <formula>(T41+S41)&gt;C41</formula>
    </cfRule>
  </conditionalFormatting>
  <conditionalFormatting sqref="T43">
    <cfRule type="expression" dxfId="79" priority="99" stopIfTrue="1">
      <formula>(T43+S43)&gt;C43</formula>
    </cfRule>
  </conditionalFormatting>
  <conditionalFormatting sqref="T45">
    <cfRule type="expression" dxfId="78" priority="89" stopIfTrue="1">
      <formula>(T45+S45)&gt;C45</formula>
    </cfRule>
  </conditionalFormatting>
  <conditionalFormatting sqref="T46">
    <cfRule type="expression" dxfId="77" priority="88" stopIfTrue="1">
      <formula>(T46+S46)&gt;C46</formula>
    </cfRule>
  </conditionalFormatting>
  <conditionalFormatting sqref="T47">
    <cfRule type="expression" dxfId="76" priority="87" stopIfTrue="1">
      <formula>(T47+S47)&gt;C47</formula>
    </cfRule>
  </conditionalFormatting>
  <conditionalFormatting sqref="T48">
    <cfRule type="expression" dxfId="75" priority="86" stopIfTrue="1">
      <formula>(T48+S48)&gt;C48</formula>
    </cfRule>
  </conditionalFormatting>
  <conditionalFormatting sqref="T49">
    <cfRule type="expression" dxfId="74" priority="85" stopIfTrue="1">
      <formula>(T49+S49)&gt;C49</formula>
    </cfRule>
  </conditionalFormatting>
  <conditionalFormatting sqref="T50">
    <cfRule type="expression" dxfId="73" priority="84" stopIfTrue="1">
      <formula>(T50+S50)&gt;C50</formula>
    </cfRule>
  </conditionalFormatting>
  <conditionalFormatting sqref="T51">
    <cfRule type="expression" dxfId="72" priority="83" stopIfTrue="1">
      <formula>(T51+S51)&gt;C51</formula>
    </cfRule>
  </conditionalFormatting>
  <conditionalFormatting sqref="T52">
    <cfRule type="expression" dxfId="71" priority="81" stopIfTrue="1">
      <formula>(T52+S52)&gt;C52</formula>
    </cfRule>
  </conditionalFormatting>
  <conditionalFormatting sqref="T64:T67">
    <cfRule type="expression" dxfId="70" priority="80" stopIfTrue="1">
      <formula>(T64+S64)&gt;C64</formula>
    </cfRule>
  </conditionalFormatting>
  <conditionalFormatting sqref="T68">
    <cfRule type="expression" dxfId="69" priority="79" stopIfTrue="1">
      <formula>(T68+S68)&gt;C68</formula>
    </cfRule>
  </conditionalFormatting>
  <conditionalFormatting sqref="S67">
    <cfRule type="expression" dxfId="68" priority="78" stopIfTrue="1">
      <formula>(S67+T67)&gt;C67</formula>
    </cfRule>
  </conditionalFormatting>
  <conditionalFormatting sqref="S68">
    <cfRule type="expression" dxfId="67" priority="77" stopIfTrue="1">
      <formula>(S68+T68)&gt;C68</formula>
    </cfRule>
  </conditionalFormatting>
  <conditionalFormatting sqref="T78">
    <cfRule type="expression" dxfId="66" priority="76" stopIfTrue="1">
      <formula>(T78+S78)&gt;C78</formula>
    </cfRule>
  </conditionalFormatting>
  <conditionalFormatting sqref="T79">
    <cfRule type="expression" dxfId="65" priority="75" stopIfTrue="1">
      <formula>(T79+S79)&gt;C79</formula>
    </cfRule>
  </conditionalFormatting>
  <conditionalFormatting sqref="S85">
    <cfRule type="expression" dxfId="64" priority="70" stopIfTrue="1">
      <formula>(S85+T85)&gt;C85</formula>
    </cfRule>
  </conditionalFormatting>
  <conditionalFormatting sqref="S86">
    <cfRule type="expression" dxfId="63" priority="69" stopIfTrue="1">
      <formula>(S86+T86)&gt;C86</formula>
    </cfRule>
  </conditionalFormatting>
  <conditionalFormatting sqref="T83">
    <cfRule type="expression" dxfId="62" priority="68" stopIfTrue="1">
      <formula>(T83+S83)&gt;C83</formula>
    </cfRule>
  </conditionalFormatting>
  <conditionalFormatting sqref="T84">
    <cfRule type="expression" dxfId="61" priority="67" stopIfTrue="1">
      <formula>(T84+S84)&gt;C84</formula>
    </cfRule>
  </conditionalFormatting>
  <conditionalFormatting sqref="T85">
    <cfRule type="expression" dxfId="60" priority="66" stopIfTrue="1">
      <formula>(T85+S85)&gt;C85</formula>
    </cfRule>
  </conditionalFormatting>
  <conditionalFormatting sqref="T86">
    <cfRule type="expression" dxfId="59" priority="65" stopIfTrue="1">
      <formula>(T86+S86)&gt;C86</formula>
    </cfRule>
  </conditionalFormatting>
  <conditionalFormatting sqref="S91">
    <cfRule type="expression" dxfId="58" priority="61" stopIfTrue="1">
      <formula>(S91+T91)&gt;C91</formula>
    </cfRule>
  </conditionalFormatting>
  <conditionalFormatting sqref="S92">
    <cfRule type="expression" dxfId="57" priority="60" stopIfTrue="1">
      <formula>(S92+T92)&gt;C92</formula>
    </cfRule>
  </conditionalFormatting>
  <conditionalFormatting sqref="S93">
    <cfRule type="expression" dxfId="56" priority="59" stopIfTrue="1">
      <formula>(S93+T93)&gt;C93</formula>
    </cfRule>
  </conditionalFormatting>
  <conditionalFormatting sqref="S94">
    <cfRule type="expression" dxfId="55" priority="56" stopIfTrue="1">
      <formula>(S94+T94)&gt;C94</formula>
    </cfRule>
  </conditionalFormatting>
  <conditionalFormatting sqref="T88">
    <cfRule type="expression" dxfId="54" priority="55" stopIfTrue="1">
      <formula>(T88+S88)&gt;C88</formula>
    </cfRule>
  </conditionalFormatting>
  <conditionalFormatting sqref="T89">
    <cfRule type="expression" dxfId="53" priority="54" stopIfTrue="1">
      <formula>(T89+S89)&gt;C89</formula>
    </cfRule>
  </conditionalFormatting>
  <conditionalFormatting sqref="T90">
    <cfRule type="expression" dxfId="52" priority="53" stopIfTrue="1">
      <formula>(T90+S90)&gt;C90</formula>
    </cfRule>
  </conditionalFormatting>
  <conditionalFormatting sqref="T91">
    <cfRule type="expression" dxfId="51" priority="52" stopIfTrue="1">
      <formula>(T91+S91)&gt;C91</formula>
    </cfRule>
  </conditionalFormatting>
  <conditionalFormatting sqref="T92">
    <cfRule type="expression" dxfId="50" priority="51" stopIfTrue="1">
      <formula>(T92+S92)&gt;C92</formula>
    </cfRule>
  </conditionalFormatting>
  <conditionalFormatting sqref="T93">
    <cfRule type="expression" dxfId="49" priority="50" stopIfTrue="1">
      <formula>(T93+S93)&gt;C93</formula>
    </cfRule>
  </conditionalFormatting>
  <conditionalFormatting sqref="T94">
    <cfRule type="expression" dxfId="48" priority="47" stopIfTrue="1">
      <formula>(T94+S94)&gt;C94</formula>
    </cfRule>
  </conditionalFormatting>
  <conditionalFormatting sqref="S99">
    <cfRule type="expression" dxfId="47" priority="41" stopIfTrue="1">
      <formula>(S99+T99)&gt;C99</formula>
    </cfRule>
  </conditionalFormatting>
  <conditionalFormatting sqref="S100">
    <cfRule type="expression" dxfId="46" priority="39" stopIfTrue="1">
      <formula>(S100+T100)&gt;C100</formula>
    </cfRule>
  </conditionalFormatting>
  <conditionalFormatting sqref="S101">
    <cfRule type="expression" dxfId="45" priority="38" stopIfTrue="1">
      <formula>(S101+T101)&gt;C101</formula>
    </cfRule>
  </conditionalFormatting>
  <conditionalFormatting sqref="S102">
    <cfRule type="expression" dxfId="44" priority="37" stopIfTrue="1">
      <formula>(S102+T102)&gt;C102</formula>
    </cfRule>
  </conditionalFormatting>
  <conditionalFormatting sqref="T98">
    <cfRule type="expression" dxfId="43" priority="36" stopIfTrue="1">
      <formula>(T98+S98)&gt;C98</formula>
    </cfRule>
  </conditionalFormatting>
  <conditionalFormatting sqref="T99">
    <cfRule type="expression" dxfId="42" priority="35" stopIfTrue="1">
      <formula>(T99+S99)&gt;C99</formula>
    </cfRule>
  </conditionalFormatting>
  <conditionalFormatting sqref="T100">
    <cfRule type="expression" dxfId="41" priority="33" stopIfTrue="1">
      <formula>(T100+S100)&gt;C100</formula>
    </cfRule>
  </conditionalFormatting>
  <conditionalFormatting sqref="T101">
    <cfRule type="expression" dxfId="40" priority="32" stopIfTrue="1">
      <formula>(T101+S101)&gt;C101</formula>
    </cfRule>
  </conditionalFormatting>
  <conditionalFormatting sqref="T102">
    <cfRule type="expression" dxfId="39" priority="31" stopIfTrue="1">
      <formula>(T102+S102)&gt;C102</formula>
    </cfRule>
  </conditionalFormatting>
  <conditionalFormatting sqref="C10">
    <cfRule type="expression" dxfId="38" priority="30">
      <formula>"(S10+T10)&gt;C10 "</formula>
    </cfRule>
  </conditionalFormatting>
  <conditionalFormatting sqref="S13">
    <cfRule type="expression" dxfId="37" priority="29" stopIfTrue="1">
      <formula>(S13+T13)&gt;C13</formula>
    </cfRule>
  </conditionalFormatting>
  <conditionalFormatting sqref="S41">
    <cfRule type="expression" dxfId="36" priority="24" stopIfTrue="1">
      <formula>(S41+T41)&gt;C41</formula>
    </cfRule>
  </conditionalFormatting>
  <conditionalFormatting sqref="S37">
    <cfRule type="expression" dxfId="35" priority="26" stopIfTrue="1">
      <formula>(S37+T37)&gt;C37</formula>
    </cfRule>
  </conditionalFormatting>
  <conditionalFormatting sqref="S40">
    <cfRule type="expression" dxfId="34" priority="25" stopIfTrue="1">
      <formula>(S40+T40)&gt;C40</formula>
    </cfRule>
  </conditionalFormatting>
  <conditionalFormatting sqref="S47">
    <cfRule type="expression" dxfId="33" priority="23" stopIfTrue="1">
      <formula>(S47+T47)&gt;C47</formula>
    </cfRule>
  </conditionalFormatting>
  <conditionalFormatting sqref="S51">
    <cfRule type="expression" dxfId="32" priority="22" stopIfTrue="1">
      <formula>(S51+T51)&gt;C51</formula>
    </cfRule>
  </conditionalFormatting>
  <conditionalFormatting sqref="S45">
    <cfRule type="expression" dxfId="31" priority="21" stopIfTrue="1">
      <formula>(S45+T45)&gt;C45</formula>
    </cfRule>
  </conditionalFormatting>
  <conditionalFormatting sqref="S46">
    <cfRule type="expression" dxfId="30" priority="20" stopIfTrue="1">
      <formula>(S46+T46)&gt;C46</formula>
    </cfRule>
  </conditionalFormatting>
  <conditionalFormatting sqref="S50">
    <cfRule type="expression" dxfId="29" priority="17" stopIfTrue="1">
      <formula>(S50+T50)&gt;C50</formula>
    </cfRule>
  </conditionalFormatting>
  <conditionalFormatting sqref="S49">
    <cfRule type="expression" dxfId="28" priority="18" stopIfTrue="1">
      <formula>(S49+T49)&gt;C49</formula>
    </cfRule>
  </conditionalFormatting>
  <conditionalFormatting sqref="S52">
    <cfRule type="expression" dxfId="27" priority="16" stopIfTrue="1">
      <formula>(S52+T52)&gt;C52</formula>
    </cfRule>
  </conditionalFormatting>
  <conditionalFormatting sqref="S66">
    <cfRule type="expression" dxfId="26" priority="15" stopIfTrue="1">
      <formula>(S66+T66)&gt;C66</formula>
    </cfRule>
  </conditionalFormatting>
  <conditionalFormatting sqref="S64">
    <cfRule type="expression" dxfId="25" priority="13" stopIfTrue="1">
      <formula>(S64+T64)&gt;C64</formula>
    </cfRule>
  </conditionalFormatting>
  <conditionalFormatting sqref="S78">
    <cfRule type="expression" dxfId="24" priority="12" stopIfTrue="1">
      <formula>(S78+T78)&gt;C78</formula>
    </cfRule>
  </conditionalFormatting>
  <conditionalFormatting sqref="S79">
    <cfRule type="expression" dxfId="23" priority="11" stopIfTrue="1">
      <formula>(S79+T79)&gt;C79</formula>
    </cfRule>
  </conditionalFormatting>
  <conditionalFormatting sqref="S84">
    <cfRule type="expression" dxfId="22" priority="10" stopIfTrue="1">
      <formula>(S84+T84)&gt;C84</formula>
    </cfRule>
  </conditionalFormatting>
  <conditionalFormatting sqref="S83">
    <cfRule type="expression" dxfId="21" priority="9" stopIfTrue="1">
      <formula>(S83+T83)&gt;C83</formula>
    </cfRule>
  </conditionalFormatting>
  <conditionalFormatting sqref="S88">
    <cfRule type="expression" dxfId="20" priority="8" stopIfTrue="1">
      <formula>(S88+T88)&gt;C88</formula>
    </cfRule>
  </conditionalFormatting>
  <conditionalFormatting sqref="S89">
    <cfRule type="expression" dxfId="19" priority="7" stopIfTrue="1">
      <formula>(S89+T89)&gt;C89</formula>
    </cfRule>
  </conditionalFormatting>
  <conditionalFormatting sqref="S90">
    <cfRule type="expression" dxfId="18" priority="6" stopIfTrue="1">
      <formula>(S90+T90)&gt;C90</formula>
    </cfRule>
  </conditionalFormatting>
  <conditionalFormatting sqref="S98">
    <cfRule type="expression" dxfId="17" priority="5" stopIfTrue="1">
      <formula>(S98+T98)&gt;C98</formula>
    </cfRule>
  </conditionalFormatting>
  <conditionalFormatting sqref="S14">
    <cfRule type="expression" dxfId="16" priority="4" stopIfTrue="1">
      <formula>(S14+T14)&gt;C14</formula>
    </cfRule>
  </conditionalFormatting>
  <conditionalFormatting sqref="S29:S36">
    <cfRule type="expression" dxfId="15" priority="3" stopIfTrue="1">
      <formula>(S29+T29)&gt;C29</formula>
    </cfRule>
  </conditionalFormatting>
  <conditionalFormatting sqref="S48">
    <cfRule type="expression" dxfId="14" priority="2" stopIfTrue="1">
      <formula>(S48+T48)&gt;C48</formula>
    </cfRule>
  </conditionalFormatting>
  <conditionalFormatting sqref="S65">
    <cfRule type="expression" dxfId="13" priority="1" stopIfTrue="1">
      <formula>(S65+T65)&gt;C65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67"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5" t="s">
        <v>2059</v>
      </c>
      <c r="B1" s="2256"/>
      <c r="C1" s="2256"/>
      <c r="D1" s="2256"/>
      <c r="E1" s="2256"/>
      <c r="F1" s="2256"/>
      <c r="G1" s="2256"/>
      <c r="H1" s="2256"/>
      <c r="I1" s="2256"/>
      <c r="J1" s="2257"/>
      <c r="K1" s="913"/>
    </row>
    <row r="2" spans="1:11" s="932" customFormat="1" ht="72">
      <c r="A2" s="930"/>
      <c r="B2" s="362" t="s">
        <v>1507</v>
      </c>
      <c r="C2" s="362" t="s">
        <v>2060</v>
      </c>
      <c r="D2" s="432" t="s">
        <v>2061</v>
      </c>
      <c r="E2" s="362" t="s">
        <v>1511</v>
      </c>
      <c r="F2" s="362" t="s">
        <v>2062</v>
      </c>
      <c r="G2" s="362" t="s">
        <v>2063</v>
      </c>
      <c r="H2" s="362" t="s">
        <v>1510</v>
      </c>
      <c r="I2" s="362" t="s">
        <v>2064</v>
      </c>
      <c r="J2" s="1081" t="s">
        <v>2065</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2200000</v>
      </c>
      <c r="C4" s="920"/>
      <c r="D4" s="920"/>
      <c r="E4" s="921"/>
      <c r="F4" s="921"/>
      <c r="G4" s="921"/>
      <c r="H4" s="921"/>
      <c r="I4" s="921"/>
      <c r="J4" s="921"/>
      <c r="K4" s="914"/>
    </row>
    <row r="5" spans="1:11" s="383" customFormat="1" ht="13.5">
      <c r="A5" s="481" t="s">
        <v>75</v>
      </c>
      <c r="B5" s="919">
        <f>'Sources and Uses Budget'!C5</f>
        <v>50000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2250000</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1285000</v>
      </c>
      <c r="C10" s="920"/>
      <c r="D10" s="920"/>
      <c r="E10" s="919">
        <f>'Sources and Uses Budget'!S10</f>
        <v>1285000</v>
      </c>
      <c r="F10" s="920"/>
      <c r="G10" s="920"/>
      <c r="H10" s="919">
        <f>'Sources and Uses Budget'!T10</f>
        <v>0</v>
      </c>
      <c r="I10" s="920"/>
      <c r="J10" s="920"/>
      <c r="K10" s="914"/>
    </row>
    <row r="11" spans="1:11" s="383" customFormat="1">
      <c r="A11" s="373" t="s">
        <v>646</v>
      </c>
      <c r="B11" s="919">
        <f>'Sources and Uses Budget'!C11</f>
        <v>1285000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3535000</v>
      </c>
      <c r="C12" s="919">
        <f>SUM(C8+C11)</f>
        <v>0</v>
      </c>
      <c r="D12" s="919">
        <f>SUM(D8+D11)</f>
        <v>0</v>
      </c>
      <c r="E12" s="921"/>
      <c r="F12" s="921"/>
      <c r="G12" s="921"/>
      <c r="H12" s="921"/>
      <c r="I12" s="921"/>
      <c r="J12" s="921"/>
      <c r="K12" s="914"/>
    </row>
    <row r="13" spans="1:11" s="383" customFormat="1">
      <c r="A13" s="721" t="s">
        <v>1229</v>
      </c>
      <c r="B13" s="919">
        <f>'Sources and Uses Budget'!C13</f>
        <v>536302</v>
      </c>
      <c r="C13" s="920"/>
      <c r="D13" s="920"/>
      <c r="E13" s="919">
        <f>'Sources and Uses Budget'!S13</f>
        <v>10000</v>
      </c>
      <c r="F13" s="920"/>
      <c r="G13" s="920"/>
      <c r="H13" s="919">
        <f>'Sources and Uses Budget'!T13</f>
        <v>0</v>
      </c>
      <c r="I13" s="920"/>
      <c r="J13" s="920"/>
      <c r="K13" s="914"/>
    </row>
    <row r="14" spans="1:11" s="383" customFormat="1" ht="24">
      <c r="A14" s="722" t="s">
        <v>1264</v>
      </c>
      <c r="B14" s="919">
        <f>'Sources and Uses Budget'!C14</f>
        <v>200000</v>
      </c>
      <c r="C14" s="920"/>
      <c r="D14" s="920"/>
      <c r="E14" s="919">
        <f>'Sources and Uses Budget'!S14</f>
        <v>200000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940000</v>
      </c>
      <c r="C28" s="920"/>
      <c r="D28" s="920"/>
      <c r="E28" s="919">
        <f>'Sources and Uses Budget'!S29</f>
        <v>940000</v>
      </c>
      <c r="F28" s="920"/>
      <c r="G28" s="920"/>
      <c r="H28" s="919">
        <f>'Sources and Uses Budget'!T29</f>
        <v>0</v>
      </c>
      <c r="I28" s="920"/>
      <c r="J28" s="920"/>
      <c r="K28" s="914"/>
    </row>
    <row r="29" spans="1:11" s="383" customFormat="1">
      <c r="A29" s="369" t="s">
        <v>1015</v>
      </c>
      <c r="B29" s="919">
        <f>'Sources and Uses Budget'!C30</f>
        <v>28527442</v>
      </c>
      <c r="C29" s="920"/>
      <c r="D29" s="920"/>
      <c r="E29" s="919">
        <f>'Sources and Uses Budget'!S30</f>
        <v>28527442</v>
      </c>
      <c r="F29" s="920"/>
      <c r="G29" s="920"/>
      <c r="H29" s="919">
        <f>'Sources and Uses Budget'!T30</f>
        <v>0</v>
      </c>
      <c r="I29" s="920"/>
      <c r="J29" s="920"/>
      <c r="K29" s="914"/>
    </row>
    <row r="30" spans="1:11" s="383" customFormat="1">
      <c r="A30" s="369" t="s">
        <v>1016</v>
      </c>
      <c r="B30" s="919">
        <f>'Sources and Uses Budget'!C31</f>
        <v>1848147</v>
      </c>
      <c r="C30" s="920"/>
      <c r="D30" s="920"/>
      <c r="E30" s="919">
        <f>'Sources and Uses Budget'!S31</f>
        <v>1848147</v>
      </c>
      <c r="F30" s="920"/>
      <c r="G30" s="920"/>
      <c r="H30" s="919">
        <f>'Sources and Uses Budget'!T31</f>
        <v>0</v>
      </c>
      <c r="I30" s="920"/>
      <c r="J30" s="920"/>
      <c r="K30" s="914"/>
    </row>
    <row r="31" spans="1:11" s="383" customFormat="1">
      <c r="A31" s="369" t="s">
        <v>1017</v>
      </c>
      <c r="B31" s="919">
        <f>'Sources and Uses Budget'!C32</f>
        <v>1232097.5</v>
      </c>
      <c r="C31" s="920"/>
      <c r="D31" s="920"/>
      <c r="E31" s="919">
        <f>'Sources and Uses Budget'!S32</f>
        <v>1232097.5</v>
      </c>
      <c r="F31" s="920"/>
      <c r="G31" s="920"/>
      <c r="H31" s="919">
        <f>'Sources and Uses Budget'!T32</f>
        <v>0</v>
      </c>
      <c r="I31" s="920"/>
      <c r="J31" s="920"/>
      <c r="K31" s="914"/>
    </row>
    <row r="32" spans="1:11" s="383" customFormat="1">
      <c r="A32" s="369" t="s">
        <v>1018</v>
      </c>
      <c r="B32" s="919">
        <f>'Sources and Uses Budget'!C33</f>
        <v>1232097.5</v>
      </c>
      <c r="C32" s="920"/>
      <c r="D32" s="920"/>
      <c r="E32" s="919">
        <f>'Sources and Uses Budget'!S33</f>
        <v>1232097.5</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351148</v>
      </c>
      <c r="C34" s="920"/>
      <c r="D34" s="920"/>
      <c r="E34" s="919">
        <f>'Sources and Uses Budget'!S35</f>
        <v>351148</v>
      </c>
      <c r="F34" s="920"/>
      <c r="G34" s="920"/>
      <c r="H34" s="919">
        <f>'Sources and Uses Budget'!T35</f>
        <v>0</v>
      </c>
      <c r="I34" s="920"/>
      <c r="J34" s="920"/>
      <c r="K34" s="914"/>
    </row>
    <row r="35" spans="1:11" s="1494" customFormat="1">
      <c r="A35" s="722" t="str">
        <f>'Sources and Uses Budget'!$A36</f>
        <v>Third-party Construction Management</v>
      </c>
      <c r="B35" s="919">
        <f>'Sources and Uses Budget'!C36</f>
        <v>250000</v>
      </c>
      <c r="C35" s="920"/>
      <c r="D35" s="920"/>
      <c r="E35" s="919">
        <f>'Sources and Uses Budget'!S36</f>
        <v>250000</v>
      </c>
      <c r="F35" s="920"/>
      <c r="G35" s="920"/>
      <c r="H35" s="919">
        <f>'Sources and Uses Budget'!T36</f>
        <v>0</v>
      </c>
      <c r="I35" s="920"/>
      <c r="J35" s="920"/>
      <c r="K35" s="914"/>
    </row>
    <row r="36" spans="1:11" s="383" customFormat="1">
      <c r="A36" s="722" t="str">
        <f>'Sources and Uses Budget'!$A37</f>
        <v>Relocation</v>
      </c>
      <c r="B36" s="919">
        <f>'Sources and Uses Budget'!C37</f>
        <v>55000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34435932</v>
      </c>
      <c r="C37" s="919">
        <f>SUM(C28:C36)</f>
        <v>0</v>
      </c>
      <c r="D37" s="919">
        <f>SUM(D28:D36)</f>
        <v>0</v>
      </c>
      <c r="E37" s="919">
        <f>'Sources and Uses Budget'!S38</f>
        <v>34380932</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1000000</v>
      </c>
      <c r="C39" s="920"/>
      <c r="D39" s="920"/>
      <c r="E39" s="919">
        <f>'Sources and Uses Budget'!S40</f>
        <v>1000000</v>
      </c>
      <c r="F39" s="920"/>
      <c r="G39" s="920"/>
      <c r="H39" s="919">
        <f>'Sources and Uses Budget'!T40</f>
        <v>0</v>
      </c>
      <c r="I39" s="920"/>
      <c r="J39" s="920"/>
      <c r="K39" s="914"/>
    </row>
    <row r="40" spans="1:11" s="383" customFormat="1">
      <c r="A40" s="369" t="s">
        <v>1026</v>
      </c>
      <c r="B40" s="919">
        <f>'Sources and Uses Budget'!C41</f>
        <v>260000</v>
      </c>
      <c r="C40" s="920"/>
      <c r="D40" s="920"/>
      <c r="E40" s="919">
        <f>'Sources and Uses Budget'!S41</f>
        <v>260000</v>
      </c>
      <c r="F40" s="920"/>
      <c r="G40" s="920"/>
      <c r="H40" s="919">
        <f>'Sources and Uses Budget'!T41</f>
        <v>0</v>
      </c>
      <c r="I40" s="920"/>
      <c r="J40" s="920"/>
      <c r="K40" s="914"/>
    </row>
    <row r="41" spans="1:11" s="383" customFormat="1">
      <c r="A41" s="373" t="s">
        <v>1027</v>
      </c>
      <c r="B41" s="919">
        <f>'Sources and Uses Budget'!C42</f>
        <v>1260000</v>
      </c>
      <c r="C41" s="919">
        <f>SUM(C38:C40)</f>
        <v>0</v>
      </c>
      <c r="D41" s="919">
        <f>SUM(D38:D40)</f>
        <v>0</v>
      </c>
      <c r="E41" s="919">
        <f>'Sources and Uses Budget'!S42</f>
        <v>1260000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0</v>
      </c>
      <c r="C42" s="920"/>
      <c r="D42" s="920"/>
      <c r="E42" s="919">
        <f>'Sources and Uses Budget'!S43</f>
        <v>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2165057</v>
      </c>
      <c r="C44" s="920"/>
      <c r="D44" s="920"/>
      <c r="E44" s="919">
        <f>'Sources and Uses Budget'!S45</f>
        <v>1407994</v>
      </c>
      <c r="F44" s="920"/>
      <c r="G44" s="920"/>
      <c r="H44" s="919">
        <f>'Sources and Uses Budget'!T45</f>
        <v>0</v>
      </c>
      <c r="I44" s="920"/>
      <c r="J44" s="920"/>
      <c r="K44" s="914"/>
    </row>
    <row r="45" spans="1:11" s="383" customFormat="1">
      <c r="A45" s="369" t="s">
        <v>1031</v>
      </c>
      <c r="B45" s="919">
        <f>'Sources and Uses Budget'!C46</f>
        <v>507912</v>
      </c>
      <c r="C45" s="920"/>
      <c r="D45" s="920"/>
      <c r="E45" s="919">
        <f>'Sources and Uses Budget'!S46</f>
        <v>330308</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702296</v>
      </c>
      <c r="C47" s="920"/>
      <c r="D47" s="920"/>
      <c r="E47" s="919">
        <f>'Sources and Uses Budget'!S48</f>
        <v>702296</v>
      </c>
      <c r="F47" s="920"/>
      <c r="G47" s="920"/>
      <c r="H47" s="919">
        <f>'Sources and Uses Budget'!T48</f>
        <v>0</v>
      </c>
      <c r="I47" s="920"/>
      <c r="J47" s="920"/>
      <c r="K47" s="914"/>
    </row>
    <row r="48" spans="1:11" s="383" customFormat="1">
      <c r="A48" s="369" t="s">
        <v>1036</v>
      </c>
      <c r="B48" s="919">
        <f>'Sources and Uses Budget'!C49</f>
        <v>100000</v>
      </c>
      <c r="C48" s="920"/>
      <c r="D48" s="920"/>
      <c r="E48" s="919">
        <f>'Sources and Uses Budget'!S49</f>
        <v>37500</v>
      </c>
      <c r="F48" s="920"/>
      <c r="G48" s="920"/>
      <c r="H48" s="919">
        <f>'Sources and Uses Budget'!T49</f>
        <v>0</v>
      </c>
      <c r="I48" s="920"/>
      <c r="J48" s="920"/>
      <c r="K48" s="914"/>
    </row>
    <row r="49" spans="1:11" s="383" customFormat="1">
      <c r="A49" s="369" t="s">
        <v>1034</v>
      </c>
      <c r="B49" s="919">
        <f>'Sources and Uses Budget'!C50</f>
        <v>90000</v>
      </c>
      <c r="C49" s="920"/>
      <c r="D49" s="920"/>
      <c r="E49" s="919">
        <f>'Sources and Uses Budget'!S50</f>
        <v>29700</v>
      </c>
      <c r="F49" s="920"/>
      <c r="G49" s="920"/>
      <c r="H49" s="919">
        <f>'Sources and Uses Budget'!T50</f>
        <v>0</v>
      </c>
      <c r="I49" s="920"/>
      <c r="J49" s="920"/>
      <c r="K49" s="914"/>
    </row>
    <row r="50" spans="1:11" s="383" customFormat="1">
      <c r="A50" s="369" t="s">
        <v>1035</v>
      </c>
      <c r="B50" s="919">
        <f>'Sources and Uses Budget'!C51</f>
        <v>0</v>
      </c>
      <c r="C50" s="920"/>
      <c r="D50" s="920"/>
      <c r="E50" s="919">
        <f>'Sources and Uses Budget'!S51</f>
        <v>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3565265</v>
      </c>
      <c r="C52" s="922">
        <f>SUM(C44:C51)</f>
        <v>0</v>
      </c>
      <c r="D52" s="922">
        <f>SUM(D44:D51)</f>
        <v>0</v>
      </c>
      <c r="E52" s="919">
        <f>'Sources and Uses Budget'!S53</f>
        <v>2507798</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36724</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9" customHeight="1">
      <c r="A60" s="373" t="s">
        <v>549</v>
      </c>
      <c r="B60" s="919">
        <f>'Sources and Uses Budget'!C61</f>
        <v>36724</v>
      </c>
      <c r="C60" s="919">
        <f>SUM(C54:C59)</f>
        <v>0</v>
      </c>
      <c r="D60" s="919">
        <f>SUM(D54:D59)</f>
        <v>0</v>
      </c>
      <c r="E60" s="921"/>
      <c r="F60" s="921"/>
      <c r="G60" s="921"/>
      <c r="H60" s="921"/>
      <c r="I60" s="921"/>
      <c r="J60" s="921"/>
      <c r="K60" s="914"/>
    </row>
    <row r="61" spans="1:11" s="383" customFormat="1">
      <c r="A61" s="379" t="s">
        <v>550</v>
      </c>
      <c r="B61" s="919">
        <f>'Sources and Uses Budget'!C62</f>
        <v>43569223</v>
      </c>
      <c r="C61" s="919">
        <f>SUM(C8+C11+C13+C14+C15+C25+C26+C37+C41+C42+C52+C60)</f>
        <v>0</v>
      </c>
      <c r="D61" s="919">
        <f>SUM(D8+D11+D13+D14+D15+D25+D26+D37+D41+D42+D52+D60)</f>
        <v>0</v>
      </c>
      <c r="E61" s="919">
        <f>'Sources and Uses Budget'!S62</f>
        <v>39643730</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125000</v>
      </c>
      <c r="C63" s="920"/>
      <c r="D63" s="920"/>
      <c r="E63" s="919">
        <f>'Sources and Uses Budget'!S64</f>
        <v>55000</v>
      </c>
      <c r="F63" s="920"/>
      <c r="G63" s="920"/>
      <c r="H63" s="919">
        <f>'Sources and Uses Budget'!T64</f>
        <v>0</v>
      </c>
      <c r="I63" s="920"/>
      <c r="J63" s="920"/>
      <c r="K63" s="914"/>
    </row>
    <row r="64" spans="1:11" s="1372" customFormat="1" ht="24">
      <c r="A64" s="369" t="s">
        <v>2241</v>
      </c>
      <c r="B64" s="919">
        <f>'Sources and Uses Budget'!C65</f>
        <v>250000</v>
      </c>
      <c r="C64" s="920"/>
      <c r="D64" s="920"/>
      <c r="E64" s="919">
        <f>'Sources and Uses Budget'!S65</f>
        <v>250000</v>
      </c>
      <c r="F64" s="920"/>
      <c r="G64" s="920"/>
      <c r="H64" s="919">
        <f>'Sources and Uses Budget'!T65</f>
        <v>0</v>
      </c>
      <c r="I64" s="920"/>
      <c r="J64" s="920"/>
      <c r="K64" s="914"/>
    </row>
    <row r="65" spans="1:11" s="1372"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72"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2244</v>
      </c>
      <c r="B68" s="919">
        <f>'Sources and Uses Budget'!C69</f>
        <v>375000</v>
      </c>
      <c r="C68" s="919">
        <f>SUM(C62:C67)</f>
        <v>0</v>
      </c>
      <c r="D68" s="919">
        <f>SUM(D62:D67)</f>
        <v>0</v>
      </c>
      <c r="E68" s="919">
        <f>'Sources and Uses Budget'!S69</f>
        <v>305000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6" t="s">
        <v>1372</v>
      </c>
      <c r="B72" s="919">
        <f>'Sources and Uses Budget'!C73</f>
        <v>0</v>
      </c>
      <c r="C72" s="920"/>
      <c r="D72" s="920"/>
      <c r="E72" s="921"/>
      <c r="F72" s="921"/>
      <c r="G72" s="921"/>
      <c r="H72" s="921"/>
      <c r="I72" s="921"/>
      <c r="J72" s="921"/>
      <c r="K72" s="914"/>
    </row>
    <row r="73" spans="1:11" s="383" customFormat="1">
      <c r="A73" s="369" t="s">
        <v>316</v>
      </c>
      <c r="B73" s="919">
        <f>'Sources and Uses Budget'!C74</f>
        <v>514772</v>
      </c>
      <c r="C73" s="920"/>
      <c r="D73" s="920"/>
      <c r="E73" s="921"/>
      <c r="F73" s="921"/>
      <c r="G73" s="921"/>
      <c r="H73" s="921"/>
      <c r="I73" s="921"/>
      <c r="J73" s="921"/>
      <c r="K73" s="914"/>
    </row>
    <row r="74" spans="1:11" s="383" customFormat="1">
      <c r="A74" s="722" t="str">
        <f>'Sources and Uses Budget'!$A75</f>
        <v>Transition &amp; Services Reserves</v>
      </c>
      <c r="B74" s="919">
        <f>'Sources and Uses Budget'!C75</f>
        <v>373257</v>
      </c>
      <c r="C74" s="920"/>
      <c r="D74" s="920"/>
      <c r="E74" s="921"/>
      <c r="F74" s="921"/>
      <c r="G74" s="921"/>
      <c r="H74" s="921"/>
      <c r="I74" s="921"/>
      <c r="J74" s="921"/>
      <c r="K74" s="914"/>
    </row>
    <row r="75" spans="1:11" s="383" customFormat="1">
      <c r="A75" s="373" t="s">
        <v>317</v>
      </c>
      <c r="B75" s="919">
        <f>'Sources and Uses Budget'!C76</f>
        <v>888029</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2790854</v>
      </c>
      <c r="C77" s="920"/>
      <c r="D77" s="920"/>
      <c r="E77" s="919">
        <f>'Sources and Uses Budget'!S78</f>
        <v>2790854</v>
      </c>
      <c r="F77" s="920"/>
      <c r="G77" s="920"/>
      <c r="H77" s="919">
        <f>'Sources and Uses Budget'!T78</f>
        <v>0</v>
      </c>
      <c r="I77" s="920"/>
      <c r="J77" s="920"/>
      <c r="K77" s="914"/>
    </row>
    <row r="78" spans="1:11" s="1087" customFormat="1">
      <c r="A78" s="369" t="s">
        <v>597</v>
      </c>
      <c r="B78" s="919">
        <f>'Sources and Uses Budget'!C79</f>
        <v>500000</v>
      </c>
      <c r="C78" s="920"/>
      <c r="D78" s="920"/>
      <c r="E78" s="919">
        <f>'Sources and Uses Budget'!S79</f>
        <v>400000</v>
      </c>
      <c r="F78" s="920"/>
      <c r="G78" s="920"/>
      <c r="H78" s="919">
        <f>'Sources and Uses Budget'!T79</f>
        <v>0</v>
      </c>
      <c r="I78" s="920"/>
      <c r="J78" s="920"/>
      <c r="K78" s="914"/>
    </row>
    <row r="79" spans="1:11" s="383" customFormat="1">
      <c r="A79" s="373" t="s">
        <v>1968</v>
      </c>
      <c r="B79" s="919">
        <f>'Sources and Uses Budget'!C80</f>
        <v>3290854</v>
      </c>
      <c r="C79" s="1119">
        <f>SUM(C77:C78)</f>
        <v>0</v>
      </c>
      <c r="D79" s="1119">
        <f>SUM(D77:D78)</f>
        <v>0</v>
      </c>
      <c r="E79" s="919">
        <f>'Sources and Uses Budget'!S80</f>
        <v>3190854</v>
      </c>
      <c r="F79" s="1119">
        <f>SUM(F77:F78)</f>
        <v>0</v>
      </c>
      <c r="G79" s="1119">
        <f>SUM(G77:G78)</f>
        <v>0</v>
      </c>
      <c r="H79" s="919">
        <f>'Sources and Uses Budget'!T80</f>
        <v>0</v>
      </c>
      <c r="I79" s="1119">
        <f>SUM(I77:I78)</f>
        <v>0</v>
      </c>
      <c r="J79" s="1119">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135750</v>
      </c>
      <c r="C81" s="920"/>
      <c r="D81" s="920"/>
      <c r="E81" s="921"/>
      <c r="F81" s="921"/>
      <c r="G81" s="921"/>
      <c r="H81" s="921"/>
      <c r="I81" s="921"/>
      <c r="J81" s="921"/>
      <c r="K81" s="914"/>
    </row>
    <row r="82" spans="1:11" s="383" customFormat="1">
      <c r="A82" s="369" t="s">
        <v>575</v>
      </c>
      <c r="B82" s="919">
        <f>'Sources and Uses Budget'!C83</f>
        <v>50000</v>
      </c>
      <c r="C82" s="920"/>
      <c r="D82" s="920"/>
      <c r="E82" s="919">
        <f>'Sources and Uses Budget'!S83</f>
        <v>50000</v>
      </c>
      <c r="F82" s="920"/>
      <c r="G82" s="920"/>
      <c r="H82" s="919">
        <f>'Sources and Uses Budget'!T83</f>
        <v>0</v>
      </c>
      <c r="I82" s="920"/>
      <c r="J82" s="920"/>
      <c r="K82" s="914"/>
    </row>
    <row r="83" spans="1:11" s="383" customFormat="1">
      <c r="A83" s="369" t="s">
        <v>576</v>
      </c>
      <c r="B83" s="919">
        <f>'Sources and Uses Budget'!C84</f>
        <v>1915000</v>
      </c>
      <c r="C83" s="920"/>
      <c r="D83" s="920"/>
      <c r="E83" s="919">
        <f>'Sources and Uses Budget'!S84</f>
        <v>1915000</v>
      </c>
      <c r="F83" s="920"/>
      <c r="G83" s="920"/>
      <c r="H83" s="919">
        <f>'Sources and Uses Budget'!T84</f>
        <v>0</v>
      </c>
      <c r="I83" s="920"/>
      <c r="J83" s="920"/>
      <c r="K83" s="914"/>
    </row>
    <row r="84" spans="1:11" s="383" customFormat="1">
      <c r="A84" s="369" t="s">
        <v>577</v>
      </c>
      <c r="B84" s="919">
        <f>'Sources and Uses Budget'!C85</f>
        <v>250000</v>
      </c>
      <c r="C84" s="920"/>
      <c r="D84" s="920"/>
      <c r="E84" s="919">
        <f>'Sources and Uses Budget'!S85</f>
        <v>250000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50000</v>
      </c>
      <c r="C86" s="920"/>
      <c r="D86" s="920"/>
      <c r="E86" s="921"/>
      <c r="F86" s="921"/>
      <c r="G86" s="921"/>
      <c r="H86" s="921"/>
      <c r="I86" s="921"/>
      <c r="J86" s="921"/>
      <c r="K86" s="914"/>
    </row>
    <row r="87" spans="1:11" s="383" customFormat="1">
      <c r="A87" s="369" t="s">
        <v>580</v>
      </c>
      <c r="B87" s="919">
        <f>'Sources and Uses Budget'!C88</f>
        <v>145000</v>
      </c>
      <c r="C87" s="920"/>
      <c r="D87" s="920"/>
      <c r="E87" s="919">
        <f>'Sources and Uses Budget'!S88</f>
        <v>145000</v>
      </c>
      <c r="F87" s="920"/>
      <c r="G87" s="920"/>
      <c r="H87" s="919">
        <f>'Sources and Uses Budget'!T88</f>
        <v>0</v>
      </c>
      <c r="I87" s="920"/>
      <c r="J87" s="920"/>
      <c r="K87" s="914"/>
    </row>
    <row r="88" spans="1:11" s="383" customFormat="1">
      <c r="A88" s="369" t="s">
        <v>581</v>
      </c>
      <c r="B88" s="919">
        <f>'Sources and Uses Budget'!C89</f>
        <v>19204</v>
      </c>
      <c r="C88" s="920"/>
      <c r="D88" s="920"/>
      <c r="E88" s="919">
        <f>'Sources and Uses Budget'!S89</f>
        <v>19204</v>
      </c>
      <c r="F88" s="920"/>
      <c r="G88" s="920"/>
      <c r="H88" s="919">
        <f>'Sources and Uses Budget'!T89</f>
        <v>0</v>
      </c>
      <c r="I88" s="920"/>
      <c r="J88" s="920"/>
      <c r="K88" s="914"/>
    </row>
    <row r="89" spans="1:11" s="383" customFormat="1">
      <c r="A89" s="722" t="s">
        <v>1454</v>
      </c>
      <c r="B89" s="919">
        <f>'Sources and Uses Budget'!C90</f>
        <v>80000</v>
      </c>
      <c r="C89" s="920"/>
      <c r="D89" s="920"/>
      <c r="E89" s="919">
        <f>'Sources and Uses Budget'!S90</f>
        <v>60000</v>
      </c>
      <c r="F89" s="920"/>
      <c r="G89" s="920"/>
      <c r="H89" s="919">
        <f>'Sources and Uses Budget'!T90</f>
        <v>0</v>
      </c>
      <c r="I89" s="920"/>
      <c r="J89" s="920"/>
      <c r="K89" s="914"/>
    </row>
    <row r="90" spans="1:11" s="383" customFormat="1">
      <c r="A90" s="722" t="s">
        <v>1966</v>
      </c>
      <c r="B90" s="919">
        <f>'Sources and Uses Budget'!C91</f>
        <v>10000</v>
      </c>
      <c r="C90" s="920"/>
      <c r="D90" s="920"/>
      <c r="E90" s="919">
        <f>'Sources and Uses Budget'!S91</f>
        <v>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2654954</v>
      </c>
      <c r="C94" s="919">
        <f>SUM(C81:C93)</f>
        <v>0</v>
      </c>
      <c r="D94" s="919">
        <f>SUM(D81:D93)</f>
        <v>0</v>
      </c>
      <c r="E94" s="919">
        <f>'Sources and Uses Budget'!S95</f>
        <v>2439204</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50778060</v>
      </c>
      <c r="C95" s="919">
        <f>SUM(C61+C68+C75+C79+C94)</f>
        <v>0</v>
      </c>
      <c r="D95" s="919">
        <f>SUM(D61+D68+D75+D79+D94)</f>
        <v>0</v>
      </c>
      <c r="E95" s="919">
        <f>'Sources and Uses Budget'!S96</f>
        <v>45578788</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52978060</v>
      </c>
      <c r="C103" s="922">
        <f>SUM(C95+C102)</f>
        <v>0</v>
      </c>
      <c r="D103" s="922">
        <f>SUM(D95+D102)</f>
        <v>0</v>
      </c>
      <c r="E103" s="919">
        <f>'Sources and Uses Budget'!S104</f>
        <v>47778788</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47778788</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15" zoomScaleNormal="115" zoomScaleSheetLayoutView="100" workbookViewId="0">
      <selection activeCell="AB58" sqref="AB58:AF58"/>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300" t="s">
        <v>1972</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3.5"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0" t="s">
        <v>2070</v>
      </c>
      <c r="AA6" s="2"/>
    </row>
    <row r="7" spans="1:40" ht="13.7" customHeight="1">
      <c r="B7" s="9"/>
      <c r="C7" s="10"/>
      <c r="D7" s="10"/>
      <c r="E7" s="10"/>
      <c r="F7" s="10"/>
      <c r="G7" s="10"/>
      <c r="H7" s="10"/>
      <c r="I7" s="10"/>
      <c r="J7" s="10"/>
      <c r="K7" s="10"/>
      <c r="L7" s="10"/>
      <c r="M7" s="10"/>
      <c r="N7" s="10"/>
      <c r="O7" s="10"/>
      <c r="P7" s="10"/>
      <c r="Q7" s="10"/>
      <c r="R7" s="10"/>
      <c r="S7" s="10"/>
      <c r="T7" s="2277" t="str">
        <f>IF(T25=100%,'Sources and Basis Breakdown'!G2,'Sources and Basis Breakdown'!F2)</f>
        <v>70% PVC for New Const/
Rehabilitation
NON-DDA/
NON-QCT Building(s)</v>
      </c>
      <c r="U7" s="2277"/>
      <c r="V7" s="2277"/>
      <c r="W7" s="2277"/>
      <c r="X7" s="2277"/>
      <c r="Y7" s="2277" t="str">
        <f>IF(T25=100%," ",'Sources and Basis Breakdown'!G2)</f>
        <v xml:space="preserve"> </v>
      </c>
      <c r="Z7" s="2277"/>
      <c r="AA7" s="2277"/>
      <c r="AB7" s="2277"/>
      <c r="AC7" s="2277"/>
      <c r="AD7" s="2277" t="str">
        <f>IF(T25=100%,'Sources and Basis Breakdown'!J2,'Sources and Basis Breakdown'!I2)</f>
        <v>30% PVC for Acquisition
NON-DDA/
NON-QCT Building(s)</v>
      </c>
      <c r="AE7" s="2277"/>
      <c r="AF7" s="2277"/>
      <c r="AG7" s="2277"/>
      <c r="AH7" s="2277"/>
      <c r="AI7" s="2277" t="str">
        <f>IF(T25=100%," ",'Sources and Basis Breakdown'!J2)</f>
        <v xml:space="preserve"> </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4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566</v>
      </c>
      <c r="C11" s="2275"/>
      <c r="D11" s="2275"/>
      <c r="E11" s="2275"/>
      <c r="F11" s="2275"/>
      <c r="G11" s="2275"/>
      <c r="H11" s="2275"/>
      <c r="I11" s="2275"/>
      <c r="J11" s="2275"/>
      <c r="K11" s="2275"/>
      <c r="L11" s="2275"/>
      <c r="M11" s="2275"/>
      <c r="N11" s="2275"/>
      <c r="O11" s="2275"/>
      <c r="P11" s="2275"/>
      <c r="Q11" s="2275"/>
      <c r="R11" s="2275"/>
      <c r="S11" s="2276"/>
      <c r="T11" s="2317">
        <f>IF('Sources and Basis Breakdown'!F105=0,'Sources and Basis Breakdown'!E105,'Sources and Basis Breakdown'!F105)</f>
        <v>47778788</v>
      </c>
      <c r="U11" s="2305"/>
      <c r="V11" s="2305"/>
      <c r="W11" s="2305"/>
      <c r="X11" s="2305"/>
      <c r="Y11" s="2304">
        <f>IF(Y7=" ",0,IF('Sources and Basis Breakdown'!G105+'Sources and Basis Breakdown'!F105='Sources and Basis Breakdown'!E105,'Sources and Basis Breakdown'!G105,0))</f>
        <v>0</v>
      </c>
      <c r="Z11" s="2305"/>
      <c r="AA11" s="2305"/>
      <c r="AB11" s="2305"/>
      <c r="AC11" s="2305"/>
      <c r="AD11" s="2305">
        <f>IF('Sources and Basis Breakdown'!I105=0,'Sources and Basis Breakdown'!H105,'Sources and Basis Breakdown'!I105)</f>
        <v>0</v>
      </c>
      <c r="AE11" s="2305"/>
      <c r="AF11" s="2305"/>
      <c r="AG11" s="2305"/>
      <c r="AH11" s="2305"/>
      <c r="AI11" s="2305">
        <f>IF(AI7=" ",0,IF('Sources and Basis Breakdown'!I105+'Sources and Basis Breakdown'!J105='Sources and Basis Breakdown'!H105,'Sources and Basis Breakdown'!J105,0))</f>
        <v>0</v>
      </c>
      <c r="AJ11" s="2305"/>
      <c r="AK11" s="2305"/>
      <c r="AL11" s="2305"/>
      <c r="AM11" s="2305"/>
    </row>
    <row r="12" spans="1:40" ht="12.75">
      <c r="B12" s="2310" t="s">
        <v>496</v>
      </c>
      <c r="C12" s="2311"/>
      <c r="D12" s="2311"/>
      <c r="E12" s="2311"/>
      <c r="F12" s="2311"/>
      <c r="G12" s="2311"/>
      <c r="H12" s="2311"/>
      <c r="I12" s="2311"/>
      <c r="J12" s="2311"/>
      <c r="K12" s="2311"/>
      <c r="L12" s="2311"/>
      <c r="M12" s="2311"/>
      <c r="N12" s="2311"/>
      <c r="O12" s="2311"/>
      <c r="P12" s="2311"/>
      <c r="Q12" s="2311"/>
      <c r="R12" s="2311"/>
      <c r="S12" s="2312"/>
      <c r="T12" s="2307"/>
      <c r="U12" s="2308"/>
      <c r="V12" s="2308"/>
      <c r="W12" s="2308"/>
      <c r="X12" s="2309"/>
      <c r="Y12" s="2307"/>
      <c r="Z12" s="2308"/>
      <c r="AA12" s="2308"/>
      <c r="AB12" s="2308"/>
      <c r="AC12" s="2309"/>
      <c r="AD12" s="2307"/>
      <c r="AE12" s="2308"/>
      <c r="AF12" s="2308"/>
      <c r="AG12" s="2308"/>
      <c r="AH12" s="2309"/>
      <c r="AI12" s="2307"/>
      <c r="AJ12" s="2308"/>
      <c r="AK12" s="2308"/>
      <c r="AL12" s="2308"/>
      <c r="AM12" s="2309"/>
    </row>
    <row r="13" spans="1:40" ht="12.75">
      <c r="B13" s="11"/>
      <c r="C13" s="2313" t="s">
        <v>1929</v>
      </c>
      <c r="D13" s="2314"/>
      <c r="E13" s="2314"/>
      <c r="F13" s="2314"/>
      <c r="G13" s="2314"/>
      <c r="H13" s="2314"/>
      <c r="I13" s="2314"/>
      <c r="J13" s="2314"/>
      <c r="K13" s="2314"/>
      <c r="L13" s="2314"/>
      <c r="M13" s="2314"/>
      <c r="N13" s="2314"/>
      <c r="O13" s="2314"/>
      <c r="P13" s="2314"/>
      <c r="Q13" s="2314"/>
      <c r="R13" s="2314"/>
      <c r="S13" s="2315"/>
      <c r="T13" s="2306"/>
      <c r="U13" s="2303"/>
      <c r="V13" s="2303"/>
      <c r="W13" s="2303"/>
      <c r="X13" s="2303"/>
      <c r="Y13" s="2306"/>
      <c r="Z13" s="2303"/>
      <c r="AA13" s="2303"/>
      <c r="AB13" s="2303"/>
      <c r="AC13" s="2303"/>
      <c r="AD13" s="2303"/>
      <c r="AE13" s="2303"/>
      <c r="AF13" s="2303"/>
      <c r="AG13" s="2303"/>
      <c r="AH13" s="2303"/>
      <c r="AI13" s="2303"/>
      <c r="AJ13" s="2303"/>
      <c r="AK13" s="2303"/>
      <c r="AL13" s="2303"/>
      <c r="AM13" s="2303"/>
    </row>
    <row r="14" spans="1:40" ht="12.75">
      <c r="B14" s="11"/>
      <c r="C14" s="2314" t="s">
        <v>841</v>
      </c>
      <c r="D14" s="2314"/>
      <c r="E14" s="2314"/>
      <c r="F14" s="2314"/>
      <c r="G14" s="2314"/>
      <c r="H14" s="2314"/>
      <c r="I14" s="2314"/>
      <c r="J14" s="2314"/>
      <c r="K14" s="2314"/>
      <c r="L14" s="2314"/>
      <c r="M14" s="2314"/>
      <c r="N14" s="2314"/>
      <c r="O14" s="2314"/>
      <c r="P14" s="2314"/>
      <c r="Q14" s="2314"/>
      <c r="R14" s="2314"/>
      <c r="S14" s="2315"/>
      <c r="T14" s="1774"/>
      <c r="U14" s="1791"/>
      <c r="V14" s="1791"/>
      <c r="W14" s="1791"/>
      <c r="X14" s="1791"/>
      <c r="Y14" s="1774"/>
      <c r="Z14" s="1791"/>
      <c r="AA14" s="1791"/>
      <c r="AB14" s="1791"/>
      <c r="AC14" s="1791"/>
      <c r="AD14" s="1791"/>
      <c r="AE14" s="1791"/>
      <c r="AF14" s="1791"/>
      <c r="AG14" s="1791"/>
      <c r="AH14" s="1791"/>
      <c r="AI14" s="1791"/>
      <c r="AJ14" s="1791"/>
      <c r="AK14" s="1791"/>
      <c r="AL14" s="1791"/>
      <c r="AM14" s="1791"/>
    </row>
    <row r="15" spans="1:40" ht="12.75">
      <c r="B15" s="11"/>
      <c r="C15" s="2314" t="s">
        <v>842</v>
      </c>
      <c r="D15" s="2314"/>
      <c r="E15" s="2314"/>
      <c r="F15" s="2314"/>
      <c r="G15" s="2314"/>
      <c r="H15" s="2314"/>
      <c r="I15" s="2314"/>
      <c r="J15" s="2314"/>
      <c r="K15" s="2314"/>
      <c r="L15" s="2314"/>
      <c r="M15" s="2314"/>
      <c r="N15" s="2314"/>
      <c r="O15" s="2314"/>
      <c r="P15" s="2314"/>
      <c r="Q15" s="2314"/>
      <c r="R15" s="2314"/>
      <c r="S15" s="2315"/>
      <c r="T15" s="1774"/>
      <c r="U15" s="1791"/>
      <c r="V15" s="1791"/>
      <c r="W15" s="1791"/>
      <c r="X15" s="1791"/>
      <c r="Y15" s="1774"/>
      <c r="Z15" s="1791"/>
      <c r="AA15" s="1791"/>
      <c r="AB15" s="1791"/>
      <c r="AC15" s="1791"/>
      <c r="AD15" s="1791"/>
      <c r="AE15" s="1791"/>
      <c r="AF15" s="1791"/>
      <c r="AG15" s="1791"/>
      <c r="AH15" s="1791"/>
      <c r="AI15" s="1791"/>
      <c r="AJ15" s="1791"/>
      <c r="AK15" s="1791"/>
      <c r="AL15" s="1791"/>
      <c r="AM15" s="1791"/>
    </row>
    <row r="16" spans="1:40" ht="12.75">
      <c r="B16" s="11"/>
      <c r="C16" s="2313" t="s">
        <v>1117</v>
      </c>
      <c r="D16" s="2313"/>
      <c r="E16" s="2313"/>
      <c r="F16" s="2313"/>
      <c r="G16" s="2313"/>
      <c r="H16" s="2313"/>
      <c r="I16" s="2313"/>
      <c r="J16" s="2313"/>
      <c r="K16" s="2313"/>
      <c r="L16" s="2313"/>
      <c r="M16" s="2313"/>
      <c r="N16" s="2313"/>
      <c r="O16" s="2313"/>
      <c r="P16" s="2313"/>
      <c r="Q16" s="2313"/>
      <c r="R16" s="2313"/>
      <c r="S16" s="2316"/>
      <c r="T16" s="1774"/>
      <c r="U16" s="1791"/>
      <c r="V16" s="1791"/>
      <c r="W16" s="1791"/>
      <c r="X16" s="1791"/>
      <c r="Y16" s="1774"/>
      <c r="Z16" s="1791"/>
      <c r="AA16" s="1791"/>
      <c r="AB16" s="1791"/>
      <c r="AC16" s="1791"/>
      <c r="AD16" s="1791"/>
      <c r="AE16" s="1791"/>
      <c r="AF16" s="1791"/>
      <c r="AG16" s="1791"/>
      <c r="AH16" s="1791"/>
      <c r="AI16" s="1791"/>
      <c r="AJ16" s="1791"/>
      <c r="AK16" s="1791"/>
      <c r="AL16" s="1791"/>
      <c r="AM16" s="1791"/>
    </row>
    <row r="17" spans="1:39" ht="12.75">
      <c r="B17" s="11"/>
      <c r="C17" s="2314" t="s">
        <v>843</v>
      </c>
      <c r="D17" s="2314"/>
      <c r="E17" s="2314"/>
      <c r="F17" s="2314"/>
      <c r="G17" s="2314"/>
      <c r="H17" s="2314"/>
      <c r="I17" s="2314"/>
      <c r="J17" s="2314"/>
      <c r="K17" s="2314"/>
      <c r="L17" s="2314"/>
      <c r="M17" s="2314"/>
      <c r="N17" s="2314"/>
      <c r="O17" s="2314"/>
      <c r="P17" s="2314"/>
      <c r="Q17" s="2314"/>
      <c r="R17" s="2314"/>
      <c r="S17" s="2315"/>
      <c r="T17" s="1774"/>
      <c r="U17" s="1791"/>
      <c r="V17" s="1791"/>
      <c r="W17" s="1791"/>
      <c r="X17" s="1791"/>
      <c r="Y17" s="1774"/>
      <c r="Z17" s="1791"/>
      <c r="AA17" s="1791"/>
      <c r="AB17" s="1791"/>
      <c r="AC17" s="1791"/>
      <c r="AD17" s="1791"/>
      <c r="AE17" s="1791"/>
      <c r="AF17" s="1791"/>
      <c r="AG17" s="1791"/>
      <c r="AH17" s="1791"/>
      <c r="AI17" s="1791"/>
      <c r="AJ17" s="1791"/>
      <c r="AK17" s="1791"/>
      <c r="AL17" s="1791"/>
      <c r="AM17" s="1791"/>
    </row>
    <row r="18" spans="1:39" ht="12.75">
      <c r="B18" s="929"/>
      <c r="C18" s="1969" t="s">
        <v>1347</v>
      </c>
      <c r="D18" s="1969"/>
      <c r="E18" s="1969"/>
      <c r="F18" s="1969"/>
      <c r="G18" s="1969"/>
      <c r="H18" s="1969"/>
      <c r="I18" s="1969"/>
      <c r="J18" s="1969"/>
      <c r="K18" s="1969"/>
      <c r="L18" s="1969"/>
      <c r="M18" s="1969"/>
      <c r="N18" s="1969"/>
      <c r="O18" s="1969"/>
      <c r="P18" s="1969"/>
      <c r="Q18" s="1969"/>
      <c r="R18" s="1969"/>
      <c r="S18" s="1970"/>
      <c r="T18" s="1772"/>
      <c r="U18" s="1773"/>
      <c r="V18" s="1773"/>
      <c r="W18" s="1773"/>
      <c r="X18" s="1774"/>
      <c r="Y18" s="1774"/>
      <c r="Z18" s="1791"/>
      <c r="AA18" s="1791"/>
      <c r="AB18" s="1791"/>
      <c r="AC18" s="1791"/>
      <c r="AD18" s="1791"/>
      <c r="AE18" s="1791"/>
      <c r="AF18" s="1791"/>
      <c r="AG18" s="1791"/>
      <c r="AH18" s="1791"/>
      <c r="AI18" s="1791"/>
      <c r="AJ18" s="1791"/>
      <c r="AK18" s="1791"/>
      <c r="AL18" s="1791"/>
      <c r="AM18" s="1791"/>
    </row>
    <row r="19" spans="1:39" ht="12.75">
      <c r="B19" s="768"/>
      <c r="C19" s="1969" t="s">
        <v>1347</v>
      </c>
      <c r="D19" s="1969"/>
      <c r="E19" s="1969"/>
      <c r="F19" s="1969"/>
      <c r="G19" s="1969"/>
      <c r="H19" s="1969"/>
      <c r="I19" s="1969"/>
      <c r="J19" s="1969"/>
      <c r="K19" s="1969"/>
      <c r="L19" s="1969"/>
      <c r="M19" s="1969"/>
      <c r="N19" s="1969"/>
      <c r="O19" s="1969"/>
      <c r="P19" s="1969"/>
      <c r="Q19" s="1969"/>
      <c r="R19" s="1969"/>
      <c r="S19" s="1970"/>
      <c r="T19" s="1774"/>
      <c r="U19" s="1791"/>
      <c r="V19" s="1791"/>
      <c r="W19" s="1791"/>
      <c r="X19" s="1791"/>
      <c r="Y19" s="1774"/>
      <c r="Z19" s="1791"/>
      <c r="AA19" s="1791"/>
      <c r="AB19" s="1791"/>
      <c r="AC19" s="1791"/>
      <c r="AD19" s="1791"/>
      <c r="AE19" s="1791"/>
      <c r="AF19" s="1791"/>
      <c r="AG19" s="1791"/>
      <c r="AH19" s="1791"/>
      <c r="AI19" s="1791"/>
      <c r="AJ19" s="1791"/>
      <c r="AK19" s="1791"/>
      <c r="AL19" s="1791"/>
      <c r="AM19" s="1791"/>
    </row>
    <row r="20" spans="1:39" ht="12.75">
      <c r="B20" s="2274" t="s">
        <v>844</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1928</v>
      </c>
      <c r="C21" s="2275"/>
      <c r="D21" s="2275"/>
      <c r="E21" s="2275"/>
      <c r="F21" s="2275"/>
      <c r="G21" s="2275"/>
      <c r="H21" s="2275"/>
      <c r="I21" s="2275"/>
      <c r="J21" s="2275"/>
      <c r="K21" s="2275"/>
      <c r="L21" s="2275"/>
      <c r="M21" s="2275"/>
      <c r="N21" s="2275"/>
      <c r="O21" s="2275"/>
      <c r="P21" s="2275"/>
      <c r="Q21" s="2275"/>
      <c r="R21" s="2275"/>
      <c r="S21" s="2276"/>
      <c r="T21" s="1774">
        <v>22015000</v>
      </c>
      <c r="U21" s="1791"/>
      <c r="V21" s="1791"/>
      <c r="W21" s="1791"/>
      <c r="X21" s="1791"/>
      <c r="Y21" s="1774"/>
      <c r="Z21" s="1791"/>
      <c r="AA21" s="1791"/>
      <c r="AB21" s="1791"/>
      <c r="AC21" s="1791"/>
      <c r="AD21" s="1791"/>
      <c r="AE21" s="1791"/>
      <c r="AF21" s="1791"/>
      <c r="AG21" s="1791"/>
      <c r="AH21" s="1791"/>
      <c r="AI21" s="1772"/>
      <c r="AJ21" s="1773"/>
      <c r="AK21" s="1773"/>
      <c r="AL21" s="1773"/>
      <c r="AM21" s="1774"/>
    </row>
    <row r="22" spans="1:39" ht="12.75">
      <c r="B22" s="2274" t="s">
        <v>845</v>
      </c>
      <c r="C22" s="2275"/>
      <c r="D22" s="2275"/>
      <c r="E22" s="2275"/>
      <c r="F22" s="2275"/>
      <c r="G22" s="2275"/>
      <c r="H22" s="2275"/>
      <c r="I22" s="2275"/>
      <c r="J22" s="2275"/>
      <c r="K22" s="2275"/>
      <c r="L22" s="2275"/>
      <c r="M22" s="2275"/>
      <c r="N22" s="2275"/>
      <c r="O22" s="2275"/>
      <c r="P22" s="2275"/>
      <c r="Q22" s="2275"/>
      <c r="R22" s="2275"/>
      <c r="S22" s="2276"/>
      <c r="T22" s="2318">
        <f>(T20+T21)*-1</f>
        <v>-22015000</v>
      </c>
      <c r="U22" s="2319"/>
      <c r="V22" s="2319"/>
      <c r="W22" s="2319"/>
      <c r="X22" s="2319"/>
      <c r="Y22" s="2318">
        <f>(Y20+Y21)*-1</f>
        <v>0</v>
      </c>
      <c r="Z22" s="2319"/>
      <c r="AA22" s="2319"/>
      <c r="AB22" s="2319"/>
      <c r="AC22" s="2319"/>
      <c r="AD22" s="2318">
        <f>(AD20+AD21)*-1</f>
        <v>0</v>
      </c>
      <c r="AE22" s="2319"/>
      <c r="AF22" s="2319"/>
      <c r="AG22" s="2319"/>
      <c r="AH22" s="2319"/>
      <c r="AI22" s="2327">
        <f>(AI20+AI21)*-1</f>
        <v>0</v>
      </c>
      <c r="AJ22" s="2328"/>
      <c r="AK22" s="2328"/>
      <c r="AL22" s="2328"/>
      <c r="AM22" s="2318"/>
    </row>
    <row r="23" spans="1:39" ht="12.75">
      <c r="A23" s="2"/>
      <c r="B23" s="2335" t="s">
        <v>2173</v>
      </c>
      <c r="C23" s="2336"/>
      <c r="D23" s="2336"/>
      <c r="E23" s="2336"/>
      <c r="F23" s="2336"/>
      <c r="G23" s="2336"/>
      <c r="H23" s="2336"/>
      <c r="I23" s="2336"/>
      <c r="J23" s="2336"/>
      <c r="K23" s="2336"/>
      <c r="L23" s="2336"/>
      <c r="M23" s="2336"/>
      <c r="N23" s="2336"/>
      <c r="O23" s="2336"/>
      <c r="P23" s="2336"/>
      <c r="Q23" s="2336"/>
      <c r="R23" s="2336"/>
      <c r="S23" s="2337"/>
      <c r="T23" s="2269">
        <f>T11+T22</f>
        <v>25763788</v>
      </c>
      <c r="U23" s="2270"/>
      <c r="V23" s="2270"/>
      <c r="W23" s="2270"/>
      <c r="X23" s="2270"/>
      <c r="Y23" s="2269">
        <f>Y11+Y22</f>
        <v>0</v>
      </c>
      <c r="Z23" s="2270"/>
      <c r="AA23" s="2270"/>
      <c r="AB23" s="2270"/>
      <c r="AC23" s="2270"/>
      <c r="AD23" s="2269">
        <f>IF(AD11=AD21,0,AD11)</f>
        <v>0</v>
      </c>
      <c r="AE23" s="2270"/>
      <c r="AF23" s="2270"/>
      <c r="AG23" s="2270"/>
      <c r="AH23" s="2270"/>
      <c r="AI23" s="2269">
        <f>IF(AI11=AI21,0,AI11)</f>
        <v>0</v>
      </c>
      <c r="AJ23" s="2270"/>
      <c r="AK23" s="2270"/>
      <c r="AL23" s="2270"/>
      <c r="AM23" s="2270"/>
    </row>
    <row r="24" spans="1:39" ht="12.75">
      <c r="B24" s="2274" t="s">
        <v>1348</v>
      </c>
      <c r="C24" s="2275"/>
      <c r="D24" s="2275"/>
      <c r="E24" s="2275"/>
      <c r="F24" s="2275"/>
      <c r="G24" s="2275"/>
      <c r="H24" s="2275"/>
      <c r="I24" s="2275"/>
      <c r="J24" s="2275"/>
      <c r="K24" s="2275"/>
      <c r="L24" s="2275"/>
      <c r="M24" s="2275"/>
      <c r="N24" s="2275"/>
      <c r="O24" s="2275"/>
      <c r="P24" s="2275"/>
      <c r="Q24" s="2275"/>
      <c r="R24" s="2275"/>
      <c r="S24" s="2276"/>
      <c r="T24" s="2338">
        <f>Application!AJ1002</f>
        <v>46217720</v>
      </c>
      <c r="U24" s="2339"/>
      <c r="V24" s="2339"/>
      <c r="W24" s="2339"/>
      <c r="X24" s="2339"/>
      <c r="Y24" s="2339"/>
      <c r="Z24" s="2339"/>
      <c r="AA24" s="2339"/>
      <c r="AB24" s="2339"/>
      <c r="AC24" s="2339"/>
      <c r="AD24" s="2339"/>
      <c r="AE24" s="2339"/>
      <c r="AF24" s="2339"/>
      <c r="AG24" s="2339"/>
      <c r="AH24" s="2339"/>
      <c r="AI24" s="2339"/>
      <c r="AJ24" s="2339"/>
      <c r="AK24" s="2339"/>
      <c r="AL24" s="2339"/>
      <c r="AM24" s="2269"/>
    </row>
    <row r="25" spans="1:39" ht="12.75">
      <c r="B25" s="2329" t="s">
        <v>2175</v>
      </c>
      <c r="C25" s="2330"/>
      <c r="D25" s="2330"/>
      <c r="E25" s="2330"/>
      <c r="F25" s="2330"/>
      <c r="G25" s="2330"/>
      <c r="H25" s="2330"/>
      <c r="I25" s="2330"/>
      <c r="J25" s="2330"/>
      <c r="K25" s="2330"/>
      <c r="L25" s="2330"/>
      <c r="M25" s="2330"/>
      <c r="N25" s="2330"/>
      <c r="O25" s="2330"/>
      <c r="P25" s="2330"/>
      <c r="Q25" s="2330"/>
      <c r="R25" s="2330"/>
      <c r="S25" s="2331"/>
      <c r="T25" s="2320">
        <f>IF(OR(AND(Application!T193="no",Application!T194="no",Application!T196="no",Application!Y211="no"),Application!T195="yes"),1,1.3)</f>
        <v>1</v>
      </c>
      <c r="U25" s="2321"/>
      <c r="V25" s="2321"/>
      <c r="W25" s="2321"/>
      <c r="X25" s="2321"/>
      <c r="Y25" s="2320">
        <v>1</v>
      </c>
      <c r="Z25" s="2321"/>
      <c r="AA25" s="2321"/>
      <c r="AB25" s="2321"/>
      <c r="AC25" s="2324"/>
      <c r="AD25" s="2320">
        <v>1</v>
      </c>
      <c r="AE25" s="2321"/>
      <c r="AF25" s="2321"/>
      <c r="AG25" s="2321"/>
      <c r="AH25" s="2324"/>
      <c r="AI25" s="2320">
        <v>1</v>
      </c>
      <c r="AJ25" s="2321"/>
      <c r="AK25" s="2321"/>
      <c r="AL25" s="2321"/>
      <c r="AM25" s="2324"/>
    </row>
    <row r="26" spans="1:39" ht="12.75">
      <c r="B26" s="2274" t="s">
        <v>847</v>
      </c>
      <c r="C26" s="2275"/>
      <c r="D26" s="2275"/>
      <c r="E26" s="2275"/>
      <c r="F26" s="2275"/>
      <c r="G26" s="2275"/>
      <c r="H26" s="2275"/>
      <c r="I26" s="2275"/>
      <c r="J26" s="2275"/>
      <c r="K26" s="2275"/>
      <c r="L26" s="2275"/>
      <c r="M26" s="2275"/>
      <c r="N26" s="2275"/>
      <c r="O26" s="2275"/>
      <c r="P26" s="2275"/>
      <c r="Q26" s="2275"/>
      <c r="R26" s="2275"/>
      <c r="S26" s="2276"/>
      <c r="T26" s="2325">
        <f>T23*T25</f>
        <v>25763788</v>
      </c>
      <c r="U26" s="2326"/>
      <c r="V26" s="2326"/>
      <c r="W26" s="2326"/>
      <c r="X26" s="2326"/>
      <c r="Y26" s="2325">
        <f>Y23*Y25</f>
        <v>0</v>
      </c>
      <c r="Z26" s="2326"/>
      <c r="AA26" s="2326"/>
      <c r="AB26" s="2326"/>
      <c r="AC26" s="2326"/>
      <c r="AD26" s="2325">
        <f>AD23*AD25</f>
        <v>0</v>
      </c>
      <c r="AE26" s="2326"/>
      <c r="AF26" s="2326"/>
      <c r="AG26" s="2326"/>
      <c r="AH26" s="2326"/>
      <c r="AI26" s="2325">
        <f>AI23*AI25</f>
        <v>0</v>
      </c>
      <c r="AJ26" s="2326"/>
      <c r="AK26" s="2326"/>
      <c r="AL26" s="2326"/>
      <c r="AM26" s="2326"/>
    </row>
    <row r="27" spans="1:39" ht="12.75">
      <c r="A27" s="7"/>
      <c r="B27" s="2332" t="s">
        <v>978</v>
      </c>
      <c r="C27" s="2333"/>
      <c r="D27" s="2333"/>
      <c r="E27" s="2333"/>
      <c r="F27" s="2333"/>
      <c r="G27" s="2333"/>
      <c r="H27" s="2333"/>
      <c r="I27" s="2333"/>
      <c r="J27" s="2333"/>
      <c r="K27" s="2333"/>
      <c r="L27" s="2333"/>
      <c r="M27" s="2333"/>
      <c r="N27" s="2333"/>
      <c r="O27" s="2333"/>
      <c r="P27" s="2333"/>
      <c r="Q27" s="2333"/>
      <c r="R27" s="2333"/>
      <c r="S27" s="2334"/>
      <c r="T27" s="2322">
        <f>Application!AG438</f>
        <v>1</v>
      </c>
      <c r="U27" s="2323"/>
      <c r="V27" s="2323"/>
      <c r="W27" s="2323"/>
      <c r="X27" s="2323"/>
      <c r="Y27" s="2322">
        <f>Application!AG438</f>
        <v>1</v>
      </c>
      <c r="Z27" s="2323"/>
      <c r="AA27" s="2323"/>
      <c r="AB27" s="2323"/>
      <c r="AC27" s="2323"/>
      <c r="AD27" s="2322">
        <f>Application!AG438</f>
        <v>1</v>
      </c>
      <c r="AE27" s="2323"/>
      <c r="AF27" s="2323"/>
      <c r="AG27" s="2323"/>
      <c r="AH27" s="2323"/>
      <c r="AI27" s="2322">
        <f>Application!AG438</f>
        <v>1</v>
      </c>
      <c r="AJ27" s="2323"/>
      <c r="AK27" s="2323"/>
      <c r="AL27" s="2323"/>
      <c r="AM27" s="2323"/>
    </row>
    <row r="28" spans="1:39" ht="12.75" customHeight="1">
      <c r="A28" s="6"/>
      <c r="B28" s="2274" t="s">
        <v>925</v>
      </c>
      <c r="C28" s="2275"/>
      <c r="D28" s="2275"/>
      <c r="E28" s="2275"/>
      <c r="F28" s="2275"/>
      <c r="G28" s="2275"/>
      <c r="H28" s="2275"/>
      <c r="I28" s="2275"/>
      <c r="J28" s="2275"/>
      <c r="K28" s="2275"/>
      <c r="L28" s="2275"/>
      <c r="M28" s="2275"/>
      <c r="N28" s="2275"/>
      <c r="O28" s="2275"/>
      <c r="P28" s="2275"/>
      <c r="Q28" s="2275"/>
      <c r="R28" s="2275"/>
      <c r="S28" s="2276"/>
      <c r="T28" s="1785">
        <f>IF(ISERROR((T26*T27)),0,(T26*T27))</f>
        <v>25763788</v>
      </c>
      <c r="U28" s="2291"/>
      <c r="V28" s="2291"/>
      <c r="W28" s="2291"/>
      <c r="X28" s="2291"/>
      <c r="Y28" s="1785">
        <f>IF(ISERROR((Y26*Y27)),0,(Y26*Y27))</f>
        <v>0</v>
      </c>
      <c r="Z28" s="2291"/>
      <c r="AA28" s="2291"/>
      <c r="AB28" s="2291"/>
      <c r="AC28" s="2291"/>
      <c r="AD28" s="1785">
        <f>IF(ISERROR((AD26*AD27)),0,(AD26*AD27))</f>
        <v>0</v>
      </c>
      <c r="AE28" s="2291"/>
      <c r="AF28" s="2291"/>
      <c r="AG28" s="2291"/>
      <c r="AH28" s="2291"/>
      <c r="AI28" s="1785">
        <f>IF(ISERROR((AI26*AI27)),0,(AI26*AI27))</f>
        <v>0</v>
      </c>
      <c r="AJ28" s="2291"/>
      <c r="AK28" s="2291"/>
      <c r="AL28" s="2291"/>
      <c r="AM28" s="2291"/>
    </row>
    <row r="29" spans="1:39" ht="12.75">
      <c r="B29" s="2274" t="s">
        <v>689</v>
      </c>
      <c r="C29" s="2275"/>
      <c r="D29" s="2275"/>
      <c r="E29" s="2275"/>
      <c r="F29" s="2275"/>
      <c r="G29" s="2275"/>
      <c r="H29" s="2275"/>
      <c r="I29" s="2275"/>
      <c r="J29" s="2275"/>
      <c r="K29" s="2275"/>
      <c r="L29" s="2275"/>
      <c r="M29" s="2275"/>
      <c r="N29" s="2275"/>
      <c r="O29" s="2275"/>
      <c r="P29" s="2275"/>
      <c r="Q29" s="2275"/>
      <c r="R29" s="2275"/>
      <c r="S29" s="2276"/>
      <c r="T29" s="2338">
        <f>T28+Y28+AD28+AI28</f>
        <v>25763788</v>
      </c>
      <c r="U29" s="2339"/>
      <c r="V29" s="2339"/>
      <c r="W29" s="2339"/>
      <c r="X29" s="2339"/>
      <c r="Y29" s="2339"/>
      <c r="Z29" s="2339"/>
      <c r="AA29" s="2339"/>
      <c r="AB29" s="2339"/>
      <c r="AC29" s="2339"/>
      <c r="AD29" s="2339"/>
      <c r="AE29" s="2339"/>
      <c r="AF29" s="2339"/>
      <c r="AG29" s="2339"/>
      <c r="AH29" s="2339"/>
      <c r="AI29" s="2339"/>
      <c r="AJ29" s="2339"/>
      <c r="AK29" s="2339"/>
      <c r="AL29" s="2339"/>
      <c r="AM29" s="2269"/>
    </row>
    <row r="30" spans="1:39" ht="12.75" customHeight="1">
      <c r="B30" s="2299" t="s">
        <v>2174</v>
      </c>
      <c r="C30" s="2299"/>
      <c r="D30" s="2299"/>
      <c r="E30" s="2299"/>
      <c r="F30" s="2299"/>
      <c r="G30" s="2299"/>
      <c r="H30" s="2299"/>
      <c r="I30" s="2299"/>
      <c r="J30" s="2299"/>
      <c r="K30" s="2299"/>
      <c r="L30" s="2299"/>
      <c r="M30" s="2299"/>
      <c r="N30" s="2299"/>
      <c r="O30" s="2299"/>
      <c r="P30" s="2299"/>
      <c r="Q30" s="2299"/>
      <c r="R30" s="2299"/>
      <c r="S30" s="2299"/>
      <c r="T30" s="2299"/>
      <c r="U30" s="2299"/>
      <c r="V30" s="2299"/>
      <c r="W30" s="2299"/>
      <c r="X30" s="2299"/>
      <c r="Y30" s="2299"/>
      <c r="Z30" s="2299"/>
      <c r="AA30" s="2299"/>
      <c r="AB30" s="2299"/>
      <c r="AC30" s="2299"/>
      <c r="AD30" s="2299"/>
      <c r="AE30" s="2299"/>
      <c r="AF30" s="2299"/>
      <c r="AG30" s="2299"/>
      <c r="AH30" s="2299"/>
      <c r="AI30" s="2299"/>
      <c r="AJ30" s="2299"/>
      <c r="AK30" s="2299"/>
      <c r="AL30" s="2299"/>
      <c r="AM30" s="2299"/>
    </row>
    <row r="31" spans="1:39" ht="12.75">
      <c r="B31" s="2258" t="s">
        <v>2178</v>
      </c>
      <c r="C31" s="2258"/>
      <c r="D31" s="2258"/>
      <c r="E31" s="2258"/>
      <c r="F31" s="2258"/>
      <c r="G31" s="2258"/>
      <c r="H31" s="2258"/>
      <c r="I31" s="2258"/>
      <c r="J31" s="2258"/>
      <c r="K31" s="2258"/>
      <c r="L31" s="225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1810</v>
      </c>
      <c r="Z35" s="2277"/>
      <c r="AA35" s="2277"/>
      <c r="AB35" s="2277"/>
      <c r="AC35" s="2277"/>
      <c r="AD35" s="2259" t="s">
        <v>46</v>
      </c>
      <c r="AE35" s="2259"/>
      <c r="AF35" s="2259"/>
      <c r="AG35" s="2259"/>
      <c r="AH35" s="225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4" ht="12.75" customHeight="1">
      <c r="A38" s="6"/>
      <c r="B38" s="2274" t="s">
        <v>925</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25763788</v>
      </c>
      <c r="Z38" s="2270"/>
      <c r="AA38" s="2270"/>
      <c r="AB38" s="2270"/>
      <c r="AC38" s="2270"/>
      <c r="AD38" s="2270">
        <f>IF(T24&gt;=(T23+Y23+AD23+AI23),AD28+AI28,0)</f>
        <v>0</v>
      </c>
      <c r="AE38" s="2270"/>
      <c r="AF38" s="2270"/>
      <c r="AG38" s="2270"/>
      <c r="AH38" s="2270"/>
    </row>
    <row r="39" spans="1:44" ht="12.75">
      <c r="B39" s="2274" t="s">
        <v>2051</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v>0.04</v>
      </c>
      <c r="AE39" s="2268"/>
      <c r="AF39" s="2268"/>
      <c r="AG39" s="2268"/>
      <c r="AH39" s="2268"/>
    </row>
    <row r="40" spans="1:44"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2318741</v>
      </c>
      <c r="Z40" s="2270"/>
      <c r="AA40" s="2270"/>
      <c r="AB40" s="2270"/>
      <c r="AC40" s="2270"/>
      <c r="AD40" s="2269">
        <f>ROUND(AD38*AD39,0)</f>
        <v>0</v>
      </c>
      <c r="AE40" s="2270"/>
      <c r="AF40" s="2270"/>
      <c r="AG40" s="2270"/>
      <c r="AH40" s="2270"/>
    </row>
    <row r="41" spans="1:44" ht="12.75">
      <c r="B41" s="2274" t="s">
        <v>683</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IF(Application!Y211="No",'Basis &amp; Credits'!AR42,AR43)</f>
        <v>2318741</v>
      </c>
      <c r="Z41" s="2272"/>
      <c r="AA41" s="2272"/>
      <c r="AB41" s="2272"/>
      <c r="AC41" s="2272"/>
      <c r="AD41" s="2272"/>
      <c r="AE41" s="2272"/>
      <c r="AF41" s="2272"/>
      <c r="AG41" s="2272"/>
      <c r="AH41" s="2273"/>
    </row>
    <row r="42" spans="1:44" ht="12.75" customHeight="1">
      <c r="A42" s="6"/>
      <c r="B42" s="2290" t="s">
        <v>2052</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9"/>
      <c r="AJ42" s="949"/>
      <c r="AK42" s="949"/>
      <c r="AL42" s="949"/>
      <c r="AM42" s="949"/>
      <c r="AN42" s="949"/>
      <c r="AR42" s="2">
        <f>IF((Y40+AD40)&gt;2500000,2500000,Y40+AD40)</f>
        <v>2318741</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2318741</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65">
        <f>'Sources and Uses Budget'!B104-'Sources and Uses Budget'!$B$15</f>
        <v>52978060</v>
      </c>
      <c r="AC46" s="2266"/>
      <c r="AD46" s="2266"/>
      <c r="AE46" s="2266"/>
      <c r="AF46" s="2267"/>
    </row>
    <row r="47" spans="1:44" ht="12.75" customHeight="1">
      <c r="D47" s="6" t="s">
        <v>919</v>
      </c>
      <c r="AB47" s="2265">
        <f>Application!AO644-MIN('Sources and Uses Budget'!B15,Application!AG388)</f>
        <v>28247304</v>
      </c>
      <c r="AC47" s="2266"/>
      <c r="AD47" s="2266"/>
      <c r="AE47" s="2266"/>
      <c r="AF47" s="2267"/>
    </row>
    <row r="48" spans="1:44" ht="12.75">
      <c r="D48" s="6" t="s">
        <v>422</v>
      </c>
      <c r="AB48" s="2265">
        <f>AB46-AB47</f>
        <v>24730756</v>
      </c>
      <c r="AC48" s="2266"/>
      <c r="AD48" s="2266"/>
      <c r="AE48" s="2266"/>
      <c r="AF48" s="2267"/>
    </row>
    <row r="49" spans="1:40" ht="12.75">
      <c r="D49" s="6" t="s">
        <v>958</v>
      </c>
      <c r="X49" s="2"/>
      <c r="Y49" s="2"/>
      <c r="Z49" s="2"/>
      <c r="AA49" s="409"/>
      <c r="AB49" s="2296">
        <f>1854992.8/2318741</f>
        <v>0.8</v>
      </c>
      <c r="AC49" s="2297"/>
      <c r="AD49" s="2297"/>
      <c r="AE49" s="2297"/>
      <c r="AF49" s="2298"/>
    </row>
    <row r="50" spans="1:40" s="515" customFormat="1" ht="15" customHeight="1">
      <c r="A50" s="2"/>
      <c r="B50" s="2"/>
      <c r="C50" s="2"/>
      <c r="D50" s="272"/>
      <c r="E50" s="2295" t="s">
        <v>2238</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8"/>
      <c r="AB50" s="778"/>
      <c r="AC50" s="778"/>
      <c r="AD50" s="778"/>
      <c r="AE50" s="778"/>
      <c r="AF50" s="778"/>
      <c r="AG50" s="2"/>
      <c r="AH50" s="2"/>
      <c r="AI50" s="2"/>
      <c r="AJ50" s="2"/>
      <c r="AK50" s="2"/>
      <c r="AL50" s="2"/>
      <c r="AM50" s="2"/>
      <c r="AN50" s="2"/>
    </row>
    <row r="51" spans="1:40" s="515"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5">
        <f>ROUND(IF(ISERROR((AB48/AB49)),0,(AB48/AB49)),0)</f>
        <v>30913445</v>
      </c>
      <c r="AC53" s="2266"/>
      <c r="AD53" s="2266"/>
      <c r="AE53" s="2266"/>
      <c r="AF53" s="2267"/>
    </row>
    <row r="54" spans="1:40" ht="12.75" customHeight="1">
      <c r="D54" s="6" t="s">
        <v>621</v>
      </c>
      <c r="AB54" s="2265">
        <f>(AB53/10)</f>
        <v>3091344.5</v>
      </c>
      <c r="AC54" s="2266"/>
      <c r="AD54" s="2266"/>
      <c r="AE54" s="2266"/>
      <c r="AF54" s="2267"/>
    </row>
    <row r="55" spans="1:40" ht="12.75">
      <c r="D55" s="6" t="s">
        <v>379</v>
      </c>
      <c r="AB55" s="2292">
        <f>(IF((Y41&lt;AB54),Y41,AB54))</f>
        <v>2318741</v>
      </c>
      <c r="AC55" s="2293"/>
      <c r="AD55" s="2293"/>
      <c r="AE55" s="2293"/>
      <c r="AF55" s="2294"/>
    </row>
    <row r="56" spans="1:40" ht="12.75">
      <c r="D56" s="6" t="s">
        <v>118</v>
      </c>
      <c r="AB56" s="2265">
        <f>ROUND((10*AB55*AB49),0)</f>
        <v>18549928</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6180828</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I59" s="1100"/>
      <c r="N59" s="23"/>
      <c r="AB59" s="425"/>
      <c r="AC59" s="425"/>
      <c r="AD59" s="425"/>
      <c r="AE59" s="425"/>
      <c r="AF59" s="425"/>
    </row>
    <row r="60" spans="1:40" ht="12.75" customHeight="1" thickBot="1">
      <c r="A60" s="2260" t="s">
        <v>1976</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7"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4" t="s">
        <v>331</v>
      </c>
      <c r="Z62" s="2264"/>
      <c r="AA62" s="2264"/>
      <c r="AB62" s="2264"/>
      <c r="AC62" s="2264"/>
      <c r="AD62" s="2264" t="s">
        <v>46</v>
      </c>
      <c r="AE62" s="2264"/>
      <c r="AF62" s="2264"/>
      <c r="AG62" s="2264"/>
      <c r="AH62" s="2264"/>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91">
        <f>IF(AND(Application!T193="No",Application!T194="No"),T28,IF(OR(AND(T25=1.3,Application!T196="Yes",Application!D214="Special Needs"),T25=1),(T23*T27)+Y28,Y28))</f>
        <v>25763788</v>
      </c>
      <c r="Z63" s="2287"/>
      <c r="AA63" s="2287"/>
      <c r="AB63" s="2287"/>
      <c r="AC63" s="2287"/>
      <c r="AD63" s="1790">
        <f>IF(AND(T25=1.3,Application!D214="At-Risk"),AI28,IF(Application!D214&lt;&gt;"At-Risk",0,AD28))</f>
        <v>0</v>
      </c>
      <c r="AE63" s="2287"/>
      <c r="AF63" s="2287"/>
      <c r="AG63" s="2287"/>
      <c r="AH63" s="2287"/>
    </row>
    <row r="64" spans="1:40" ht="15" customHeight="1">
      <c r="C64" s="6"/>
      <c r="E64" s="2261" t="s">
        <v>1425</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4"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3">
        <f>IF(Application!W198="Yes",95%, 30%)</f>
        <v>0.3</v>
      </c>
      <c r="Z66" s="2283"/>
      <c r="AA66" s="2283"/>
      <c r="AB66" s="2283"/>
      <c r="AC66" s="2283"/>
      <c r="AD66" s="2283">
        <f>IF(Application!W198="Yes",95%, 13%)</f>
        <v>0.13</v>
      </c>
      <c r="AE66" s="2283"/>
      <c r="AF66" s="2283"/>
      <c r="AG66" s="2283"/>
      <c r="AH66" s="2283"/>
    </row>
    <row r="67" spans="1:40" ht="12.75">
      <c r="C67" s="6"/>
      <c r="D67" s="6" t="s">
        <v>1045</v>
      </c>
      <c r="Y67" s="1790">
        <f>ROUND(Y63*Y66,0)</f>
        <v>7729136</v>
      </c>
      <c r="Z67" s="2287"/>
      <c r="AA67" s="2287"/>
      <c r="AB67" s="2287"/>
      <c r="AC67" s="2287"/>
      <c r="AD67" s="1790" t="str">
        <f>IF(OR(Application!D211="At-Risk",Application!D211="At-Risk/Located in Rural Census Tract",Application!D214="At-Risk"),ROUND(AD63*AD66,0),"$0")</f>
        <v>$0</v>
      </c>
      <c r="AE67" s="2288"/>
      <c r="AF67" s="2288"/>
      <c r="AG67" s="2288"/>
      <c r="AH67" s="2288"/>
    </row>
    <row r="68" spans="1:40" ht="12.75" customHeight="1">
      <c r="C68" s="6"/>
      <c r="E68" s="1347" t="s">
        <v>2179</v>
      </c>
      <c r="F68" s="1349"/>
      <c r="G68" s="1346"/>
      <c r="H68" s="1346"/>
      <c r="I68" s="1346"/>
      <c r="J68" s="1346"/>
      <c r="K68" s="1346"/>
      <c r="L68" s="1346"/>
      <c r="M68" s="1346"/>
      <c r="N68" s="1346"/>
      <c r="O68" s="1346"/>
      <c r="P68" s="1346"/>
      <c r="Q68" s="1346"/>
      <c r="R68" s="1346"/>
      <c r="S68" s="1346"/>
      <c r="T68" s="1346"/>
      <c r="U68" s="1346"/>
      <c r="V68" s="1346"/>
      <c r="W68" s="1346"/>
      <c r="X68" s="1346"/>
      <c r="Y68" s="1346"/>
      <c r="Z68" s="1346"/>
      <c r="AA68" s="1346"/>
      <c r="AB68" s="1346"/>
      <c r="AC68" s="1346"/>
      <c r="AD68" s="1346"/>
      <c r="AE68" s="1346"/>
      <c r="AF68" s="1346"/>
      <c r="AG68" s="1346"/>
      <c r="AH68" s="1346"/>
    </row>
    <row r="69" spans="1:40" ht="12.75">
      <c r="A69" s="6" t="s">
        <v>135</v>
      </c>
      <c r="C69" s="6" t="s">
        <v>283</v>
      </c>
      <c r="E69" s="1346"/>
      <c r="F69" s="1346"/>
      <c r="G69" s="1346"/>
      <c r="H69" s="1346"/>
      <c r="I69" s="1346"/>
      <c r="J69" s="1346"/>
      <c r="K69" s="1346"/>
      <c r="L69" s="1346"/>
      <c r="M69" s="1346"/>
      <c r="N69" s="1346"/>
      <c r="O69" s="1346"/>
      <c r="P69" s="1346"/>
      <c r="Q69" s="1346"/>
      <c r="R69" s="1346"/>
      <c r="S69" s="1346"/>
      <c r="T69" s="1346"/>
      <c r="U69" s="1346"/>
      <c r="V69" s="1346"/>
      <c r="W69" s="1346"/>
      <c r="X69" s="1346"/>
      <c r="Y69" s="1346"/>
      <c r="Z69" s="1346"/>
      <c r="AA69" s="1346"/>
      <c r="AB69" s="1346"/>
      <c r="AC69" s="1346"/>
      <c r="AD69" s="1346"/>
      <c r="AE69" s="1346"/>
      <c r="AF69" s="1346"/>
      <c r="AG69" s="1346"/>
      <c r="AH69" s="1346"/>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4">
        <f>AB58/Y67</f>
        <v>0.7996790326887766</v>
      </c>
      <c r="AC70" s="2285"/>
      <c r="AD70" s="2285"/>
      <c r="AE70" s="2285"/>
      <c r="AF70" s="2286"/>
      <c r="AG70" s="2"/>
      <c r="AH70" s="2"/>
      <c r="AI70" s="2"/>
      <c r="AJ70" s="2"/>
      <c r="AK70" s="2"/>
      <c r="AL70" s="2"/>
      <c r="AM70" s="2"/>
      <c r="AN70" s="2"/>
    </row>
    <row r="71" spans="1:40" ht="12.75" customHeight="1">
      <c r="A71" s="330"/>
      <c r="B71" s="2"/>
      <c r="C71" s="330"/>
      <c r="D71" s="330"/>
      <c r="E71" s="2289" t="s">
        <v>1971</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3"/>
      <c r="AB71" s="803"/>
      <c r="AC71" s="803"/>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3"/>
      <c r="AB72" s="803"/>
      <c r="AC72" s="803"/>
      <c r="AD72" s="1082"/>
      <c r="AE72" s="1082"/>
      <c r="AF72" s="1082"/>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82">
        <f>ROUND(IF(ISERROR((AB58/AB70)),0,(AB58/AB70)),0)</f>
        <v>7729136</v>
      </c>
      <c r="AC75" s="2282"/>
      <c r="AD75" s="2282"/>
      <c r="AE75" s="2282"/>
      <c r="AF75" s="2282"/>
    </row>
    <row r="76" spans="1:40" ht="12.75" customHeight="1">
      <c r="C76" s="6"/>
      <c r="D76" s="6" t="s">
        <v>116</v>
      </c>
      <c r="AB76" s="2279">
        <f>IF((Y67+AD67&lt;AB75),Y67+AD67,AB75)</f>
        <v>7729136</v>
      </c>
      <c r="AC76" s="2280"/>
      <c r="AD76" s="2280"/>
      <c r="AE76" s="2280"/>
      <c r="AF76" s="2281"/>
    </row>
    <row r="77" spans="1:40" ht="12.75" customHeight="1">
      <c r="C77" s="6"/>
      <c r="D77" s="6" t="s">
        <v>1046</v>
      </c>
      <c r="AB77" s="2278">
        <f>AB76*AB70</f>
        <v>6180828</v>
      </c>
      <c r="AC77" s="2278"/>
      <c r="AD77" s="2278"/>
      <c r="AE77" s="2278"/>
      <c r="AF77" s="2278"/>
    </row>
    <row r="78" spans="1:40" ht="12.75" customHeight="1">
      <c r="C78" s="6"/>
      <c r="D78" s="6"/>
      <c r="AB78" s="934"/>
      <c r="AC78" s="934"/>
      <c r="AD78" s="934"/>
      <c r="AE78" s="934"/>
      <c r="AF78" s="934"/>
    </row>
    <row r="79" spans="1:40" ht="12.75" customHeight="1">
      <c r="A79" s="1"/>
      <c r="B79" s="1"/>
      <c r="C79" s="1"/>
      <c r="D79" s="6" t="s">
        <v>117</v>
      </c>
      <c r="AB79" s="2263">
        <f>AB48-(AB56+AB77)</f>
        <v>0</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1" zoomScaleNormal="100" zoomScaleSheetLayoutView="100" workbookViewId="0">
      <selection activeCell="AI608" sqref="AI60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27"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0" t="s">
        <v>928</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row>
    <row r="2" spans="1:42" s="8" customFormat="1" ht="12.75" customHeight="1" thickBot="1">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128"/>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29"/>
    </row>
    <row r="4" spans="1:42" s="63" customFormat="1" ht="12.75" customHeight="1">
      <c r="A4" s="142" t="s">
        <v>1631</v>
      </c>
      <c r="AE4" s="2518" t="s">
        <v>408</v>
      </c>
      <c r="AF4" s="2518"/>
      <c r="AG4" s="2518"/>
      <c r="AH4" s="2518"/>
      <c r="AI4" s="2518"/>
      <c r="AJ4" s="2518"/>
      <c r="AK4" s="2518"/>
      <c r="AL4" s="1296"/>
      <c r="AM4" s="48"/>
      <c r="AN4" s="1129"/>
    </row>
    <row r="5" spans="1:42" s="63" customFormat="1" ht="12.95" customHeight="1">
      <c r="A5" s="142"/>
      <c r="AE5" s="33"/>
      <c r="AF5" s="33"/>
      <c r="AG5" s="33"/>
      <c r="AH5" s="33"/>
      <c r="AI5" s="33"/>
      <c r="AJ5" s="33"/>
      <c r="AK5" s="33"/>
      <c r="AL5" s="1296"/>
      <c r="AM5" s="48"/>
      <c r="AN5" s="1129"/>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8" t="s">
        <v>937</v>
      </c>
      <c r="AG6" s="2368"/>
      <c r="AH6" s="2368"/>
      <c r="AI6" s="2368"/>
      <c r="AJ6" s="2368"/>
      <c r="AK6" s="2368"/>
      <c r="AL6" s="2368"/>
      <c r="AM6" s="48"/>
      <c r="AN6" s="1128"/>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5"/>
      <c r="AM7" s="48"/>
      <c r="AN7" s="1128"/>
    </row>
    <row r="8" spans="1:42" s="8" customFormat="1" ht="15" customHeight="1">
      <c r="A8" s="142"/>
      <c r="B8" s="2346" t="s">
        <v>2484</v>
      </c>
      <c r="C8" s="2346"/>
      <c r="D8" s="2346"/>
      <c r="E8" s="2346"/>
      <c r="F8" s="2346"/>
      <c r="G8" s="2346"/>
      <c r="H8" s="2346"/>
      <c r="I8" s="2346"/>
      <c r="J8" s="2346"/>
      <c r="K8" s="2346"/>
      <c r="L8" s="2346"/>
      <c r="M8" s="2346"/>
      <c r="N8" s="2346"/>
      <c r="O8" s="2346"/>
      <c r="P8" s="2346"/>
      <c r="Q8" s="2346"/>
      <c r="R8" s="2346"/>
      <c r="S8" s="2346"/>
      <c r="T8" s="2346"/>
      <c r="U8" s="2346"/>
      <c r="V8" s="2346"/>
      <c r="W8" s="2346"/>
      <c r="X8" s="2346"/>
      <c r="Y8" s="2346"/>
      <c r="Z8" s="2346"/>
      <c r="AA8" s="2346"/>
      <c r="AB8" s="2346"/>
      <c r="AC8" s="2346"/>
      <c r="AD8" s="63"/>
      <c r="AE8" s="179"/>
      <c r="AF8" s="179"/>
      <c r="AG8" s="179"/>
      <c r="AH8" s="179"/>
      <c r="AI8" s="179"/>
      <c r="AJ8" s="179"/>
      <c r="AK8" s="179"/>
      <c r="AL8" s="1295"/>
      <c r="AM8" s="48"/>
      <c r="AN8" s="1128"/>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5"/>
      <c r="AM9" s="48"/>
      <c r="AN9" s="1130"/>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28"/>
      <c r="AO10" s="743" t="s">
        <v>1375</v>
      </c>
      <c r="AP10" s="745">
        <v>5</v>
      </c>
    </row>
    <row r="11" spans="1:42" s="8" customFormat="1" ht="12.75" customHeight="1">
      <c r="A11" s="142"/>
      <c r="B11" s="2346" t="s">
        <v>1376</v>
      </c>
      <c r="C11" s="2346"/>
      <c r="D11" s="2346"/>
      <c r="E11" s="2346"/>
      <c r="F11" s="2346"/>
      <c r="G11" s="2346"/>
      <c r="H11" s="2346"/>
      <c r="I11" s="2346"/>
      <c r="J11" s="2346"/>
      <c r="K11" s="2346"/>
      <c r="L11" s="2346"/>
      <c r="M11" s="2346"/>
      <c r="N11" s="2346"/>
      <c r="O11" s="2346"/>
      <c r="P11" s="2346"/>
      <c r="Q11" s="2346"/>
      <c r="R11" s="2346"/>
      <c r="S11" s="2346"/>
      <c r="T11" s="2346"/>
      <c r="U11" s="2346"/>
      <c r="V11" s="2346"/>
      <c r="W11" s="2346"/>
      <c r="X11" s="2346"/>
      <c r="Y11" s="2346"/>
      <c r="Z11" s="2346"/>
      <c r="AA11" s="2346"/>
      <c r="AB11" s="2346"/>
      <c r="AC11" s="2346"/>
      <c r="AD11" s="2346"/>
      <c r="AE11" s="2346"/>
      <c r="AF11" s="2346"/>
      <c r="AG11" s="2346"/>
      <c r="AH11" s="2346"/>
      <c r="AI11" s="2346"/>
      <c r="AM11" s="48"/>
      <c r="AN11" s="1128"/>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28"/>
      <c r="AO12" s="743"/>
      <c r="AP12" s="745"/>
    </row>
    <row r="13" spans="1:42" s="8" customFormat="1" ht="12.75" customHeight="1">
      <c r="A13" s="537"/>
      <c r="B13" s="205" t="s">
        <v>1377</v>
      </c>
      <c r="AB13" s="2521" t="s">
        <v>136</v>
      </c>
      <c r="AC13" s="2521"/>
      <c r="AD13" s="410"/>
      <c r="AE13" s="136"/>
      <c r="AF13" s="136"/>
      <c r="AG13" s="136"/>
      <c r="AH13" s="136"/>
      <c r="AI13" s="136"/>
      <c r="AJ13" s="136"/>
      <c r="AK13" s="136"/>
      <c r="AL13" s="136"/>
      <c r="AM13" s="48"/>
      <c r="AN13" s="1128"/>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28"/>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28"/>
      <c r="AO15" s="743" t="s">
        <v>1378</v>
      </c>
      <c r="AP15" s="745">
        <v>5</v>
      </c>
    </row>
    <row r="16" spans="1:42" s="8" customFormat="1" ht="12.75" customHeight="1">
      <c r="A16" s="142"/>
      <c r="B16" s="2346" t="s">
        <v>1240</v>
      </c>
      <c r="C16" s="2346"/>
      <c r="D16" s="2346"/>
      <c r="E16" s="2346"/>
      <c r="F16" s="2346"/>
      <c r="G16" s="2346"/>
      <c r="H16" s="2346"/>
      <c r="I16" s="2346"/>
      <c r="J16" s="2346"/>
      <c r="K16" s="2346"/>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c r="AH16" s="2346"/>
      <c r="AI16" s="2346"/>
      <c r="AJ16" s="2346"/>
      <c r="AK16" s="780"/>
      <c r="AL16" s="780"/>
      <c r="AM16" s="780"/>
      <c r="AN16" s="1128"/>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28"/>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28"/>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28"/>
    </row>
    <row r="20" spans="1:42" s="8" customFormat="1" ht="12.75" customHeight="1">
      <c r="B20" s="2386" t="s">
        <v>1840</v>
      </c>
      <c r="C20" s="2386"/>
      <c r="D20" s="2386"/>
      <c r="E20" s="2386"/>
      <c r="F20" s="2386"/>
      <c r="G20" s="2386"/>
      <c r="H20" s="2386"/>
      <c r="I20" s="2386"/>
      <c r="J20" s="2386"/>
      <c r="K20" s="2386"/>
      <c r="L20" s="2386"/>
      <c r="M20" s="2386"/>
      <c r="N20" s="2386"/>
      <c r="O20" s="2386"/>
      <c r="P20" s="2386"/>
      <c r="Q20" s="2386"/>
      <c r="R20" s="2386"/>
      <c r="S20" s="2386"/>
      <c r="T20" s="2386"/>
      <c r="U20" s="2386"/>
      <c r="V20" s="2386"/>
      <c r="W20" s="2386"/>
      <c r="X20" s="2386"/>
      <c r="Y20" s="2386"/>
      <c r="Z20" s="2386"/>
      <c r="AA20" s="2386"/>
      <c r="AB20" s="2386"/>
      <c r="AC20" s="2386"/>
      <c r="AD20" s="2386"/>
      <c r="AE20" s="2386"/>
      <c r="AF20" s="2386"/>
      <c r="AG20" s="2386"/>
      <c r="AH20" s="2386"/>
      <c r="AI20" s="2386"/>
      <c r="AJ20" s="2386"/>
      <c r="AK20" s="2386"/>
      <c r="AL20" s="1297"/>
      <c r="AM20" s="38"/>
      <c r="AN20" s="1128"/>
    </row>
    <row r="21" spans="1:42" s="8" customFormat="1" ht="12.75" customHeight="1">
      <c r="A21" s="38"/>
      <c r="B21" s="2386"/>
      <c r="C21" s="2386"/>
      <c r="D21" s="2386"/>
      <c r="E21" s="2386"/>
      <c r="F21" s="2386"/>
      <c r="G21" s="2386"/>
      <c r="H21" s="2386"/>
      <c r="I21" s="2386"/>
      <c r="J21" s="2386"/>
      <c r="K21" s="2386"/>
      <c r="L21" s="2386"/>
      <c r="M21" s="2386"/>
      <c r="N21" s="2386"/>
      <c r="O21" s="2386"/>
      <c r="P21" s="2386"/>
      <c r="Q21" s="2386"/>
      <c r="R21" s="2386"/>
      <c r="S21" s="2386"/>
      <c r="T21" s="2386"/>
      <c r="U21" s="2386"/>
      <c r="V21" s="2386"/>
      <c r="W21" s="2386"/>
      <c r="X21" s="2386"/>
      <c r="Y21" s="2386"/>
      <c r="Z21" s="2386"/>
      <c r="AA21" s="2386"/>
      <c r="AB21" s="2386"/>
      <c r="AC21" s="2386"/>
      <c r="AD21" s="2386"/>
      <c r="AE21" s="2386"/>
      <c r="AF21" s="2386"/>
      <c r="AG21" s="2386"/>
      <c r="AH21" s="2386"/>
      <c r="AI21" s="2386"/>
      <c r="AJ21" s="2386"/>
      <c r="AK21" s="2386"/>
      <c r="AL21" s="1297"/>
      <c r="AM21" s="38"/>
      <c r="AN21" s="1128"/>
      <c r="AP21" s="535"/>
    </row>
    <row r="22" spans="1:42" s="8" customFormat="1" ht="12.75" customHeight="1">
      <c r="A22" s="38"/>
      <c r="B22" s="2386"/>
      <c r="C22" s="2386"/>
      <c r="D22" s="2386"/>
      <c r="E22" s="2386"/>
      <c r="F22" s="2386"/>
      <c r="G22" s="2386"/>
      <c r="H22" s="2386"/>
      <c r="I22" s="2386"/>
      <c r="J22" s="2386"/>
      <c r="K22" s="2386"/>
      <c r="L22" s="2386"/>
      <c r="M22" s="2386"/>
      <c r="N22" s="2386"/>
      <c r="O22" s="2386"/>
      <c r="P22" s="2386"/>
      <c r="Q22" s="2386"/>
      <c r="R22" s="2386"/>
      <c r="S22" s="2386"/>
      <c r="T22" s="2386"/>
      <c r="U22" s="2386"/>
      <c r="V22" s="2386"/>
      <c r="W22" s="2386"/>
      <c r="X22" s="2386"/>
      <c r="Y22" s="2386"/>
      <c r="Z22" s="2386"/>
      <c r="AA22" s="2386"/>
      <c r="AB22" s="2386"/>
      <c r="AC22" s="2386"/>
      <c r="AD22" s="2386"/>
      <c r="AE22" s="2386"/>
      <c r="AF22" s="2386"/>
      <c r="AG22" s="2386"/>
      <c r="AH22" s="2386"/>
      <c r="AI22" s="2386"/>
      <c r="AJ22" s="2386"/>
      <c r="AK22" s="2386"/>
      <c r="AL22" s="1297"/>
      <c r="AM22" s="38"/>
      <c r="AN22" s="1128"/>
    </row>
    <row r="23" spans="1:42" s="46" customFormat="1" ht="12.75" customHeight="1">
      <c r="A23" s="38"/>
      <c r="B23" s="2386"/>
      <c r="C23" s="2386"/>
      <c r="D23" s="2386"/>
      <c r="E23" s="2386"/>
      <c r="F23" s="2386"/>
      <c r="G23" s="2386"/>
      <c r="H23" s="2386"/>
      <c r="I23" s="2386"/>
      <c r="J23" s="2386"/>
      <c r="K23" s="2386"/>
      <c r="L23" s="2386"/>
      <c r="M23" s="2386"/>
      <c r="N23" s="2386"/>
      <c r="O23" s="2386"/>
      <c r="P23" s="2386"/>
      <c r="Q23" s="2386"/>
      <c r="R23" s="2386"/>
      <c r="S23" s="2386"/>
      <c r="T23" s="2386"/>
      <c r="U23" s="2386"/>
      <c r="V23" s="2386"/>
      <c r="W23" s="2386"/>
      <c r="X23" s="2386"/>
      <c r="Y23" s="2386"/>
      <c r="Z23" s="2386"/>
      <c r="AA23" s="2386"/>
      <c r="AB23" s="2386"/>
      <c r="AC23" s="2386"/>
      <c r="AD23" s="2386"/>
      <c r="AE23" s="2386"/>
      <c r="AF23" s="2386"/>
      <c r="AG23" s="2386"/>
      <c r="AH23" s="2386"/>
      <c r="AI23" s="2386"/>
      <c r="AJ23" s="2386"/>
      <c r="AK23" s="2386"/>
      <c r="AL23" s="1297"/>
      <c r="AM23" s="38"/>
      <c r="AN23" s="439"/>
    </row>
    <row r="24" spans="1:42" s="46" customFormat="1" ht="12.75" customHeight="1">
      <c r="A24" s="38"/>
      <c r="B24" s="2386"/>
      <c r="C24" s="2386"/>
      <c r="D24" s="2386"/>
      <c r="E24" s="2386"/>
      <c r="F24" s="2386"/>
      <c r="G24" s="2386"/>
      <c r="H24" s="2386"/>
      <c r="I24" s="2386"/>
      <c r="J24" s="2386"/>
      <c r="K24" s="2386"/>
      <c r="L24" s="2386"/>
      <c r="M24" s="2386"/>
      <c r="N24" s="2386"/>
      <c r="O24" s="2386"/>
      <c r="P24" s="2386"/>
      <c r="Q24" s="2386"/>
      <c r="R24" s="2386"/>
      <c r="S24" s="2386"/>
      <c r="T24" s="2386"/>
      <c r="U24" s="2386"/>
      <c r="V24" s="2386"/>
      <c r="W24" s="2386"/>
      <c r="X24" s="2386"/>
      <c r="Y24" s="2386"/>
      <c r="Z24" s="2386"/>
      <c r="AA24" s="2386"/>
      <c r="AB24" s="2386"/>
      <c r="AC24" s="2386"/>
      <c r="AD24" s="2386"/>
      <c r="AE24" s="2386"/>
      <c r="AF24" s="2386"/>
      <c r="AG24" s="2386"/>
      <c r="AH24" s="2386"/>
      <c r="AI24" s="2386"/>
      <c r="AJ24" s="2386"/>
      <c r="AK24" s="2386"/>
      <c r="AL24" s="1297"/>
      <c r="AM24" s="38"/>
      <c r="AN24" s="1131"/>
      <c r="AO24" s="155"/>
    </row>
    <row r="25" spans="1:42" s="46" customFormat="1" ht="12.75" customHeight="1">
      <c r="A25" s="38"/>
      <c r="B25" s="2386"/>
      <c r="C25" s="2386"/>
      <c r="D25" s="2386"/>
      <c r="E25" s="2386"/>
      <c r="F25" s="2386"/>
      <c r="G25" s="2386"/>
      <c r="H25" s="2386"/>
      <c r="I25" s="2386"/>
      <c r="J25" s="2386"/>
      <c r="K25" s="2386"/>
      <c r="L25" s="2386"/>
      <c r="M25" s="2386"/>
      <c r="N25" s="2386"/>
      <c r="O25" s="2386"/>
      <c r="P25" s="2386"/>
      <c r="Q25" s="2386"/>
      <c r="R25" s="2386"/>
      <c r="S25" s="2386"/>
      <c r="T25" s="2386"/>
      <c r="U25" s="2386"/>
      <c r="V25" s="2386"/>
      <c r="W25" s="2386"/>
      <c r="X25" s="2386"/>
      <c r="Y25" s="2386"/>
      <c r="Z25" s="2386"/>
      <c r="AA25" s="2386"/>
      <c r="AB25" s="2386"/>
      <c r="AC25" s="2386"/>
      <c r="AD25" s="2386"/>
      <c r="AE25" s="2386"/>
      <c r="AF25" s="2386"/>
      <c r="AG25" s="2386"/>
      <c r="AH25" s="2386"/>
      <c r="AI25" s="2386"/>
      <c r="AJ25" s="2386"/>
      <c r="AK25" s="2386"/>
      <c r="AL25" s="1297"/>
      <c r="AM25" s="38"/>
      <c r="AN25" s="1131"/>
    </row>
    <row r="26" spans="1:42" s="137" customFormat="1" ht="12.75" customHeight="1">
      <c r="A26" s="38"/>
      <c r="B26" s="2386"/>
      <c r="C26" s="2386"/>
      <c r="D26" s="2386"/>
      <c r="E26" s="2386"/>
      <c r="F26" s="2386"/>
      <c r="G26" s="2386"/>
      <c r="H26" s="2386"/>
      <c r="I26" s="2386"/>
      <c r="J26" s="2386"/>
      <c r="K26" s="2386"/>
      <c r="L26" s="2386"/>
      <c r="M26" s="2386"/>
      <c r="N26" s="2386"/>
      <c r="O26" s="2386"/>
      <c r="P26" s="2386"/>
      <c r="Q26" s="2386"/>
      <c r="R26" s="2386"/>
      <c r="S26" s="2386"/>
      <c r="T26" s="2386"/>
      <c r="U26" s="2386"/>
      <c r="V26" s="2386"/>
      <c r="W26" s="2386"/>
      <c r="X26" s="2386"/>
      <c r="Y26" s="2386"/>
      <c r="Z26" s="2386"/>
      <c r="AA26" s="2386"/>
      <c r="AB26" s="2386"/>
      <c r="AC26" s="2386"/>
      <c r="AD26" s="2386"/>
      <c r="AE26" s="2386"/>
      <c r="AF26" s="2386"/>
      <c r="AG26" s="2386"/>
      <c r="AH26" s="2386"/>
      <c r="AI26" s="2386"/>
      <c r="AJ26" s="2386"/>
      <c r="AK26" s="2386"/>
      <c r="AL26" s="1297"/>
      <c r="AM26" s="38"/>
      <c r="AN26" s="1132"/>
    </row>
    <row r="27" spans="1:42" s="46" customFormat="1" ht="12.75" customHeight="1">
      <c r="A27" s="38"/>
      <c r="B27" s="2386"/>
      <c r="C27" s="2386"/>
      <c r="D27" s="2386"/>
      <c r="E27" s="2386"/>
      <c r="F27" s="2386"/>
      <c r="G27" s="2386"/>
      <c r="H27" s="2386"/>
      <c r="I27" s="2386"/>
      <c r="J27" s="2386"/>
      <c r="K27" s="2386"/>
      <c r="L27" s="2386"/>
      <c r="M27" s="2386"/>
      <c r="N27" s="2386"/>
      <c r="O27" s="2386"/>
      <c r="P27" s="2386"/>
      <c r="Q27" s="2386"/>
      <c r="R27" s="2386"/>
      <c r="S27" s="2386"/>
      <c r="T27" s="2386"/>
      <c r="U27" s="2386"/>
      <c r="V27" s="2386"/>
      <c r="W27" s="2386"/>
      <c r="X27" s="2386"/>
      <c r="Y27" s="2386"/>
      <c r="Z27" s="2386"/>
      <c r="AA27" s="2386"/>
      <c r="AB27" s="2386"/>
      <c r="AC27" s="2386"/>
      <c r="AD27" s="2386"/>
      <c r="AE27" s="2386"/>
      <c r="AF27" s="2386"/>
      <c r="AG27" s="2386"/>
      <c r="AH27" s="2386"/>
      <c r="AI27" s="2386"/>
      <c r="AJ27" s="2386"/>
      <c r="AK27" s="2386"/>
      <c r="AL27" s="1297"/>
      <c r="AM27" s="38"/>
      <c r="AN27" s="1133"/>
    </row>
    <row r="28" spans="1:42" s="46" customFormat="1" ht="12.75" customHeight="1">
      <c r="A28" s="38"/>
      <c r="B28" s="2386"/>
      <c r="C28" s="2386"/>
      <c r="D28" s="2386"/>
      <c r="E28" s="2386"/>
      <c r="F28" s="2386"/>
      <c r="G28" s="2386"/>
      <c r="H28" s="2386"/>
      <c r="I28" s="2386"/>
      <c r="J28" s="2386"/>
      <c r="K28" s="2386"/>
      <c r="L28" s="2386"/>
      <c r="M28" s="2386"/>
      <c r="N28" s="2386"/>
      <c r="O28" s="2386"/>
      <c r="P28" s="2386"/>
      <c r="Q28" s="2386"/>
      <c r="R28" s="2386"/>
      <c r="S28" s="2386"/>
      <c r="T28" s="2386"/>
      <c r="U28" s="2386"/>
      <c r="V28" s="2386"/>
      <c r="W28" s="2386"/>
      <c r="X28" s="2386"/>
      <c r="Y28" s="2386"/>
      <c r="Z28" s="2386"/>
      <c r="AA28" s="2386"/>
      <c r="AB28" s="2386"/>
      <c r="AC28" s="2386"/>
      <c r="AD28" s="2386"/>
      <c r="AE28" s="2386"/>
      <c r="AF28" s="2386"/>
      <c r="AG28" s="2386"/>
      <c r="AH28" s="2386"/>
      <c r="AI28" s="2386"/>
      <c r="AJ28" s="2386"/>
      <c r="AK28" s="2386"/>
      <c r="AL28" s="1297"/>
      <c r="AM28" s="38"/>
      <c r="AN28" s="1133"/>
    </row>
    <row r="29" spans="1:42" s="46" customFormat="1" ht="31.7" customHeight="1">
      <c r="A29" s="38"/>
      <c r="B29" s="2386"/>
      <c r="C29" s="2386"/>
      <c r="D29" s="2386"/>
      <c r="E29" s="2386"/>
      <c r="F29" s="2386"/>
      <c r="G29" s="2386"/>
      <c r="H29" s="2386"/>
      <c r="I29" s="2386"/>
      <c r="J29" s="2386"/>
      <c r="K29" s="2386"/>
      <c r="L29" s="2386"/>
      <c r="M29" s="2386"/>
      <c r="N29" s="2386"/>
      <c r="O29" s="2386"/>
      <c r="P29" s="2386"/>
      <c r="Q29" s="2386"/>
      <c r="R29" s="2386"/>
      <c r="S29" s="2386"/>
      <c r="T29" s="2386"/>
      <c r="U29" s="2386"/>
      <c r="V29" s="2386"/>
      <c r="W29" s="2386"/>
      <c r="X29" s="2386"/>
      <c r="Y29" s="2386"/>
      <c r="Z29" s="2386"/>
      <c r="AA29" s="2386"/>
      <c r="AB29" s="2386"/>
      <c r="AC29" s="2386"/>
      <c r="AD29" s="2386"/>
      <c r="AE29" s="2386"/>
      <c r="AF29" s="2386"/>
      <c r="AG29" s="2386"/>
      <c r="AH29" s="2386"/>
      <c r="AI29" s="2386"/>
      <c r="AJ29" s="2386"/>
      <c r="AK29" s="2386"/>
      <c r="AL29" s="1297"/>
      <c r="AM29" s="38"/>
      <c r="AN29" s="1133"/>
      <c r="AO29" s="747" t="s">
        <v>86</v>
      </c>
      <c r="AP29" s="596"/>
    </row>
    <row r="30" spans="1:42" s="46" customFormat="1" ht="12.75" customHeight="1">
      <c r="A30" s="8"/>
      <c r="B30" s="2387"/>
      <c r="C30" s="2387"/>
      <c r="D30" s="2387"/>
      <c r="E30" s="2387"/>
      <c r="F30" s="2387"/>
      <c r="G30" s="2387"/>
      <c r="H30" s="2387"/>
      <c r="I30" s="2387"/>
      <c r="J30" s="2387"/>
      <c r="K30" s="2387"/>
      <c r="L30" s="2387"/>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5"/>
      <c r="AM30" s="74"/>
      <c r="AN30" s="1133"/>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9">
        <f>IF((AND(AND(OR(Application!D211="Nonprofit (qualified nonprofit organization)",Application!D211="Nonprofit (homeless assistance)",Application!D211="Special Needs/SRO"),Application!D214="Special Needs"),$AB$13="N/A")),VLOOKUP($B$16,$AO$14:$AP$16,2,FALSE),VLOOKUP($B$11,$AO$9:$AP$11,2,FALSE))</f>
        <v>7</v>
      </c>
      <c r="AK31" s="2519"/>
      <c r="AL31" s="1300"/>
      <c r="AM31" s="136"/>
      <c r="AN31" s="1133"/>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3"/>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8" t="s">
        <v>66</v>
      </c>
      <c r="AG33" s="2368"/>
      <c r="AH33" s="2368"/>
      <c r="AI33" s="2368"/>
      <c r="AJ33" s="2368"/>
      <c r="AK33" s="2368"/>
      <c r="AL33" s="2368"/>
      <c r="AM33" s="151"/>
      <c r="AN33" s="1133"/>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3"/>
      <c r="AO34" s="746"/>
      <c r="AP34" s="746"/>
    </row>
    <row r="35" spans="1:43" s="46" customFormat="1" ht="12.75" customHeight="1">
      <c r="A35" s="8"/>
      <c r="C35" s="2346" t="s">
        <v>1380</v>
      </c>
      <c r="D35" s="2346"/>
      <c r="E35" s="2346"/>
      <c r="F35" s="2346"/>
      <c r="G35" s="2346"/>
      <c r="H35" s="2346"/>
      <c r="I35" s="2346"/>
      <c r="J35" s="2346"/>
      <c r="K35" s="2346"/>
      <c r="L35" s="2346"/>
      <c r="M35" s="2346"/>
      <c r="N35" s="2346"/>
      <c r="O35" s="2346"/>
      <c r="P35" s="2346"/>
      <c r="Q35" s="2346"/>
      <c r="R35" s="2346"/>
      <c r="S35" s="2346"/>
      <c r="T35" s="2346"/>
      <c r="U35" s="2346"/>
      <c r="V35" s="2346"/>
      <c r="W35" s="2346"/>
      <c r="X35" s="2346"/>
      <c r="Y35" s="2346"/>
      <c r="Z35" s="2346"/>
      <c r="AA35" s="2346"/>
      <c r="AB35" s="2346"/>
      <c r="AC35" s="2346"/>
      <c r="AD35" s="2346"/>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21" t="s">
        <v>136</v>
      </c>
      <c r="AD37" s="2521"/>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6" t="s">
        <v>1240</v>
      </c>
      <c r="D40" s="2346"/>
      <c r="E40" s="2346"/>
      <c r="F40" s="2346"/>
      <c r="G40" s="2346"/>
      <c r="H40" s="2346"/>
      <c r="I40" s="2346"/>
      <c r="J40" s="2346"/>
      <c r="K40" s="2346"/>
      <c r="L40" s="2346"/>
      <c r="M40" s="2346"/>
      <c r="N40" s="2346"/>
      <c r="O40" s="2346"/>
      <c r="P40" s="2346"/>
      <c r="Q40" s="2346"/>
      <c r="R40" s="2346"/>
      <c r="S40" s="2346"/>
      <c r="T40" s="2346"/>
      <c r="U40" s="2346"/>
      <c r="V40" s="2346"/>
      <c r="W40" s="2346"/>
      <c r="X40" s="2346"/>
      <c r="Y40" s="2346"/>
      <c r="Z40" s="2346"/>
      <c r="AA40" s="2346"/>
      <c r="AB40" s="2346"/>
      <c r="AC40" s="2346"/>
      <c r="AD40" s="2346"/>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6" t="s">
        <v>2485</v>
      </c>
      <c r="D45" s="2346"/>
      <c r="E45" s="2346"/>
      <c r="F45" s="2346"/>
      <c r="G45" s="2346"/>
      <c r="H45" s="2346"/>
      <c r="I45" s="2346"/>
      <c r="J45" s="2346"/>
      <c r="K45" s="2346"/>
      <c r="L45" s="2346"/>
      <c r="M45" s="2346"/>
      <c r="N45" s="2346"/>
      <c r="O45" s="2346"/>
      <c r="P45" s="2346"/>
      <c r="Q45" s="2346"/>
      <c r="R45" s="2346"/>
      <c r="S45" s="2346"/>
      <c r="T45" s="2346"/>
      <c r="U45" s="2346"/>
      <c r="V45" s="2346"/>
      <c r="W45" s="2346"/>
      <c r="X45" s="2346"/>
      <c r="Y45" s="2346"/>
      <c r="Z45" s="2346"/>
      <c r="AA45" s="2346"/>
      <c r="AB45" s="2346"/>
      <c r="AC45" s="2346"/>
      <c r="AD45" s="2346"/>
      <c r="AM45" s="151"/>
      <c r="AN45" s="1132"/>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9">
        <f>IF((AND(AND(OR(Application!D211="Nonprofit (qualified nonprofit organization)",Application!D211="Nonprofit (homeless assistance)",Application!D211="Special Needs/SRO"),Application!D214="Special Needs"),$AC$37="N/A")),VLOOKUP($C$40,$AO$35:$AP$37,2,FALSE),VLOOKUP($C$35,$AO$29:$AP$32,2,FALSE))</f>
        <v>3</v>
      </c>
      <c r="AK47" s="2429"/>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8" t="s">
        <v>1645</v>
      </c>
      <c r="C49" s="2378"/>
      <c r="D49" s="2378"/>
      <c r="E49" s="2378"/>
      <c r="F49" s="2378"/>
      <c r="G49" s="2378"/>
      <c r="H49" s="2378"/>
      <c r="I49" s="2378"/>
      <c r="J49" s="2378"/>
      <c r="K49" s="2378"/>
      <c r="L49" s="2378"/>
      <c r="M49" s="2378"/>
      <c r="N49" s="2378"/>
      <c r="O49" s="2378"/>
      <c r="P49" s="2378"/>
      <c r="Q49" s="2378"/>
      <c r="R49" s="2378"/>
      <c r="S49" s="2378"/>
      <c r="T49" s="2378"/>
      <c r="U49" s="2378"/>
      <c r="V49" s="2378"/>
      <c r="W49" s="2378"/>
      <c r="X49" s="2378"/>
      <c r="Y49" s="2378"/>
      <c r="Z49" s="2378"/>
      <c r="AA49" s="2378"/>
      <c r="AB49" s="2378"/>
      <c r="AC49" s="2378"/>
      <c r="AD49" s="2378"/>
      <c r="AE49" s="2378"/>
      <c r="AF49" s="2378"/>
      <c r="AG49" s="2378"/>
      <c r="AH49" s="2378"/>
      <c r="AI49" s="2378"/>
      <c r="AJ49" s="2378"/>
      <c r="AK49" s="2378"/>
      <c r="AL49" s="1294"/>
      <c r="AM49" s="163"/>
      <c r="AN49" s="439"/>
      <c r="AP49" s="46" t="s">
        <v>624</v>
      </c>
      <c r="AQ49" s="46">
        <v>10</v>
      </c>
    </row>
    <row r="50" spans="1:43" s="46" customFormat="1" ht="12.75" customHeight="1">
      <c r="A50" s="164"/>
      <c r="B50" s="2378"/>
      <c r="C50" s="2378"/>
      <c r="D50" s="2378"/>
      <c r="E50" s="2378"/>
      <c r="F50" s="2378"/>
      <c r="G50" s="2378"/>
      <c r="H50" s="2378"/>
      <c r="I50" s="2378"/>
      <c r="J50" s="2378"/>
      <c r="K50" s="2378"/>
      <c r="L50" s="2378"/>
      <c r="M50" s="2378"/>
      <c r="N50" s="2378"/>
      <c r="O50" s="2378"/>
      <c r="P50" s="2378"/>
      <c r="Q50" s="2378"/>
      <c r="R50" s="2378"/>
      <c r="S50" s="2378"/>
      <c r="T50" s="2378"/>
      <c r="U50" s="2378"/>
      <c r="V50" s="2378"/>
      <c r="W50" s="2378"/>
      <c r="X50" s="2378"/>
      <c r="Y50" s="2378"/>
      <c r="Z50" s="2378"/>
      <c r="AA50" s="2378"/>
      <c r="AB50" s="2378"/>
      <c r="AC50" s="2378"/>
      <c r="AD50" s="2378"/>
      <c r="AE50" s="2378"/>
      <c r="AF50" s="2378"/>
      <c r="AG50" s="2378"/>
      <c r="AH50" s="2378"/>
      <c r="AI50" s="2378"/>
      <c r="AJ50" s="2378"/>
      <c r="AK50" s="2378"/>
      <c r="AL50" s="1294"/>
      <c r="AM50" s="163"/>
      <c r="AN50" s="439"/>
      <c r="AP50" s="46" t="s">
        <v>681</v>
      </c>
      <c r="AQ50" s="46">
        <v>10</v>
      </c>
    </row>
    <row r="51" spans="1:43" s="46" customFormat="1" ht="12.75" customHeight="1">
      <c r="A51" s="164"/>
      <c r="B51" s="2378"/>
      <c r="C51" s="2378"/>
      <c r="D51" s="2378"/>
      <c r="E51" s="2378"/>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2378"/>
      <c r="AB51" s="2378"/>
      <c r="AC51" s="2378"/>
      <c r="AD51" s="2378"/>
      <c r="AE51" s="2378"/>
      <c r="AF51" s="2378"/>
      <c r="AG51" s="2378"/>
      <c r="AH51" s="2378"/>
      <c r="AI51" s="2378"/>
      <c r="AJ51" s="2378"/>
      <c r="AK51" s="2378"/>
      <c r="AL51" s="1294"/>
      <c r="AM51" s="163"/>
      <c r="AN51" s="439"/>
    </row>
    <row r="52" spans="1:43" s="137" customFormat="1" ht="12.75" customHeight="1">
      <c r="A52" s="164"/>
      <c r="B52" s="2378"/>
      <c r="C52" s="2378"/>
      <c r="D52" s="2378"/>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2378"/>
      <c r="AB52" s="2378"/>
      <c r="AC52" s="2378"/>
      <c r="AD52" s="2378"/>
      <c r="AE52" s="2378"/>
      <c r="AF52" s="2378"/>
      <c r="AG52" s="2378"/>
      <c r="AH52" s="2378"/>
      <c r="AI52" s="2378"/>
      <c r="AJ52" s="2378"/>
      <c r="AK52" s="2378"/>
      <c r="AL52" s="1294"/>
      <c r="AM52" s="163"/>
      <c r="AN52" s="1132"/>
    </row>
    <row r="53" spans="1:43" s="46" customFormat="1" ht="12.75" customHeight="1">
      <c r="A53" s="164"/>
      <c r="B53" s="2378"/>
      <c r="C53" s="2378"/>
      <c r="D53" s="2378"/>
      <c r="E53" s="2378"/>
      <c r="F53" s="2378"/>
      <c r="G53" s="2378"/>
      <c r="H53" s="2378"/>
      <c r="I53" s="2378"/>
      <c r="J53" s="2378"/>
      <c r="K53" s="2378"/>
      <c r="L53" s="2378"/>
      <c r="M53" s="2378"/>
      <c r="N53" s="2378"/>
      <c r="O53" s="2378"/>
      <c r="P53" s="2378"/>
      <c r="Q53" s="2378"/>
      <c r="R53" s="2378"/>
      <c r="S53" s="2378"/>
      <c r="T53" s="2378"/>
      <c r="U53" s="2378"/>
      <c r="V53" s="2378"/>
      <c r="W53" s="2378"/>
      <c r="X53" s="2378"/>
      <c r="Y53" s="2378"/>
      <c r="Z53" s="2378"/>
      <c r="AA53" s="2378"/>
      <c r="AB53" s="2378"/>
      <c r="AC53" s="2378"/>
      <c r="AD53" s="2378"/>
      <c r="AE53" s="2378"/>
      <c r="AF53" s="2378"/>
      <c r="AG53" s="2378"/>
      <c r="AH53" s="2378"/>
      <c r="AI53" s="2378"/>
      <c r="AJ53" s="2378"/>
      <c r="AK53" s="2378"/>
      <c r="AL53" s="1294"/>
      <c r="AM53" s="163"/>
      <c r="AN53" s="439"/>
    </row>
    <row r="54" spans="1:43" s="46" customFormat="1" ht="12.75" customHeight="1">
      <c r="A54" s="164"/>
      <c r="B54" s="2378"/>
      <c r="C54" s="2378"/>
      <c r="D54" s="2378"/>
      <c r="E54" s="2378"/>
      <c r="F54" s="2378"/>
      <c r="G54" s="2378"/>
      <c r="H54" s="2378"/>
      <c r="I54" s="2378"/>
      <c r="J54" s="2378"/>
      <c r="K54" s="2378"/>
      <c r="L54" s="2378"/>
      <c r="M54" s="2378"/>
      <c r="N54" s="2378"/>
      <c r="O54" s="2378"/>
      <c r="P54" s="2378"/>
      <c r="Q54" s="2378"/>
      <c r="R54" s="2378"/>
      <c r="S54" s="2378"/>
      <c r="T54" s="2378"/>
      <c r="U54" s="2378"/>
      <c r="V54" s="2378"/>
      <c r="W54" s="2378"/>
      <c r="X54" s="2378"/>
      <c r="Y54" s="2378"/>
      <c r="Z54" s="2378"/>
      <c r="AA54" s="2378"/>
      <c r="AB54" s="2378"/>
      <c r="AC54" s="2378"/>
      <c r="AD54" s="2378"/>
      <c r="AE54" s="2378"/>
      <c r="AF54" s="2378"/>
      <c r="AG54" s="2378"/>
      <c r="AH54" s="2378"/>
      <c r="AI54" s="2378"/>
      <c r="AJ54" s="2378"/>
      <c r="AK54" s="2378"/>
      <c r="AL54" s="1294"/>
      <c r="AM54" s="163"/>
      <c r="AN54" s="439"/>
    </row>
    <row r="55" spans="1:43" s="46" customFormat="1" ht="33.4" customHeight="1">
      <c r="A55" s="164"/>
      <c r="B55" s="2378"/>
      <c r="C55" s="2378"/>
      <c r="D55" s="2378"/>
      <c r="E55" s="2378"/>
      <c r="F55" s="2378"/>
      <c r="G55" s="2378"/>
      <c r="H55" s="2378"/>
      <c r="I55" s="2378"/>
      <c r="J55" s="2378"/>
      <c r="K55" s="2378"/>
      <c r="L55" s="2378"/>
      <c r="M55" s="2378"/>
      <c r="N55" s="2378"/>
      <c r="O55" s="2378"/>
      <c r="P55" s="2378"/>
      <c r="Q55" s="2378"/>
      <c r="R55" s="2378"/>
      <c r="S55" s="2378"/>
      <c r="T55" s="2378"/>
      <c r="U55" s="2378"/>
      <c r="V55" s="2378"/>
      <c r="W55" s="2378"/>
      <c r="X55" s="2378"/>
      <c r="Y55" s="2378"/>
      <c r="Z55" s="2378"/>
      <c r="AA55" s="2378"/>
      <c r="AB55" s="2378"/>
      <c r="AC55" s="2378"/>
      <c r="AD55" s="2378"/>
      <c r="AE55" s="2378"/>
      <c r="AF55" s="2378"/>
      <c r="AG55" s="2378"/>
      <c r="AH55" s="2378"/>
      <c r="AI55" s="2378"/>
      <c r="AJ55" s="2378"/>
      <c r="AK55" s="2378"/>
      <c r="AL55" s="1294"/>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8" t="s">
        <v>1646</v>
      </c>
      <c r="C57" s="2378"/>
      <c r="D57" s="2378"/>
      <c r="E57" s="2378"/>
      <c r="F57" s="2378"/>
      <c r="G57" s="2378"/>
      <c r="H57" s="2378"/>
      <c r="I57" s="2378"/>
      <c r="J57" s="2378"/>
      <c r="K57" s="2378"/>
      <c r="L57" s="2378"/>
      <c r="M57" s="2378"/>
      <c r="N57" s="2378"/>
      <c r="O57" s="2378"/>
      <c r="P57" s="2378"/>
      <c r="Q57" s="2378"/>
      <c r="R57" s="2378"/>
      <c r="S57" s="2378"/>
      <c r="T57" s="2378"/>
      <c r="U57" s="2378"/>
      <c r="V57" s="2378"/>
      <c r="W57" s="2378"/>
      <c r="X57" s="2378"/>
      <c r="Y57" s="2378"/>
      <c r="Z57" s="2378"/>
      <c r="AA57" s="2378"/>
      <c r="AB57" s="2378"/>
      <c r="AC57" s="2378"/>
      <c r="AD57" s="2378"/>
      <c r="AE57" s="2378"/>
      <c r="AF57" s="2378"/>
      <c r="AG57" s="2378"/>
      <c r="AH57" s="2378"/>
      <c r="AI57" s="2378"/>
      <c r="AJ57" s="2378"/>
      <c r="AK57" s="2378"/>
      <c r="AL57" s="1294"/>
      <c r="AM57" s="163"/>
      <c r="AN57" s="439"/>
    </row>
    <row r="58" spans="1:43" s="46" customFormat="1" ht="12.75" customHeight="1">
      <c r="A58" s="164"/>
      <c r="B58" s="2378"/>
      <c r="C58" s="2378"/>
      <c r="D58" s="2378"/>
      <c r="E58" s="2378"/>
      <c r="F58" s="2378"/>
      <c r="G58" s="2378"/>
      <c r="H58" s="2378"/>
      <c r="I58" s="2378"/>
      <c r="J58" s="2378"/>
      <c r="K58" s="2378"/>
      <c r="L58" s="2378"/>
      <c r="M58" s="2378"/>
      <c r="N58" s="2378"/>
      <c r="O58" s="2378"/>
      <c r="P58" s="2378"/>
      <c r="Q58" s="2378"/>
      <c r="R58" s="2378"/>
      <c r="S58" s="2378"/>
      <c r="T58" s="2378"/>
      <c r="U58" s="2378"/>
      <c r="V58" s="2378"/>
      <c r="W58" s="2378"/>
      <c r="X58" s="2378"/>
      <c r="Y58" s="2378"/>
      <c r="Z58" s="2378"/>
      <c r="AA58" s="2378"/>
      <c r="AB58" s="2378"/>
      <c r="AC58" s="2378"/>
      <c r="AD58" s="2378"/>
      <c r="AE58" s="2378"/>
      <c r="AF58" s="2378"/>
      <c r="AG58" s="2378"/>
      <c r="AH58" s="2378"/>
      <c r="AI58" s="2378"/>
      <c r="AJ58" s="2378"/>
      <c r="AK58" s="2378"/>
      <c r="AL58" s="1294"/>
      <c r="AM58" s="163"/>
      <c r="AN58" s="439"/>
    </row>
    <row r="59" spans="1:43" s="46" customFormat="1" ht="12.75" customHeight="1">
      <c r="A59" s="164"/>
      <c r="B59" s="2378"/>
      <c r="C59" s="2378"/>
      <c r="D59" s="2378"/>
      <c r="E59" s="2378"/>
      <c r="F59" s="2378"/>
      <c r="G59" s="2378"/>
      <c r="H59" s="2378"/>
      <c r="I59" s="2378"/>
      <c r="J59" s="2378"/>
      <c r="K59" s="2378"/>
      <c r="L59" s="2378"/>
      <c r="M59" s="2378"/>
      <c r="N59" s="2378"/>
      <c r="O59" s="2378"/>
      <c r="P59" s="2378"/>
      <c r="Q59" s="2378"/>
      <c r="R59" s="2378"/>
      <c r="S59" s="2378"/>
      <c r="T59" s="2378"/>
      <c r="U59" s="2378"/>
      <c r="V59" s="2378"/>
      <c r="W59" s="2378"/>
      <c r="X59" s="2378"/>
      <c r="Y59" s="2378"/>
      <c r="Z59" s="2378"/>
      <c r="AA59" s="2378"/>
      <c r="AB59" s="2378"/>
      <c r="AC59" s="2378"/>
      <c r="AD59" s="2378"/>
      <c r="AE59" s="2378"/>
      <c r="AF59" s="2378"/>
      <c r="AG59" s="2378"/>
      <c r="AH59" s="2378"/>
      <c r="AI59" s="2378"/>
      <c r="AJ59" s="2378"/>
      <c r="AK59" s="2378"/>
      <c r="AL59" s="1294"/>
      <c r="AM59" s="163"/>
      <c r="AN59" s="439"/>
    </row>
    <row r="60" spans="1:43" s="46" customFormat="1" ht="17.649999999999999" customHeight="1">
      <c r="A60" s="164"/>
      <c r="B60" s="2378"/>
      <c r="C60" s="2378"/>
      <c r="D60" s="2378"/>
      <c r="E60" s="2378"/>
      <c r="F60" s="2378"/>
      <c r="G60" s="2378"/>
      <c r="H60" s="2378"/>
      <c r="I60" s="2378"/>
      <c r="J60" s="2378"/>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1294"/>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8" t="s">
        <v>1647</v>
      </c>
      <c r="C62" s="2378"/>
      <c r="D62" s="2378"/>
      <c r="E62" s="2378"/>
      <c r="F62" s="2378"/>
      <c r="G62" s="2378"/>
      <c r="H62" s="2378"/>
      <c r="I62" s="2378"/>
      <c r="J62" s="2378"/>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1294"/>
      <c r="AM62" s="163"/>
      <c r="AN62" s="439"/>
    </row>
    <row r="63" spans="1:43" s="46" customFormat="1" ht="12.75" customHeight="1">
      <c r="B63" s="2378"/>
      <c r="C63" s="2378"/>
      <c r="D63" s="2378"/>
      <c r="E63" s="2378"/>
      <c r="F63" s="2378"/>
      <c r="G63" s="2378"/>
      <c r="H63" s="2378"/>
      <c r="I63" s="2378"/>
      <c r="J63" s="2378"/>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1294"/>
      <c r="AM63" s="163"/>
      <c r="AN63" s="439"/>
    </row>
    <row r="64" spans="1:43" s="46" customFormat="1" ht="22.9" customHeight="1">
      <c r="A64" s="675"/>
      <c r="B64" s="2378"/>
      <c r="C64" s="2378"/>
      <c r="D64" s="2378"/>
      <c r="E64" s="2378"/>
      <c r="F64" s="2378"/>
      <c r="G64" s="2378"/>
      <c r="H64" s="2378"/>
      <c r="I64" s="2378"/>
      <c r="J64" s="2378"/>
      <c r="K64" s="2378"/>
      <c r="L64" s="2378"/>
      <c r="M64" s="2378"/>
      <c r="N64" s="2378"/>
      <c r="O64" s="2378"/>
      <c r="P64" s="2378"/>
      <c r="Q64" s="2378"/>
      <c r="R64" s="2378"/>
      <c r="S64" s="2378"/>
      <c r="T64" s="2378"/>
      <c r="U64" s="2378"/>
      <c r="V64" s="2378"/>
      <c r="W64" s="2378"/>
      <c r="X64" s="2378"/>
      <c r="Y64" s="2378"/>
      <c r="Z64" s="2378"/>
      <c r="AA64" s="2378"/>
      <c r="AB64" s="2378"/>
      <c r="AC64" s="2378"/>
      <c r="AD64" s="2378"/>
      <c r="AE64" s="2378"/>
      <c r="AF64" s="2378"/>
      <c r="AG64" s="2378"/>
      <c r="AH64" s="2378"/>
      <c r="AI64" s="2378"/>
      <c r="AJ64" s="2378"/>
      <c r="AK64" s="2378"/>
      <c r="AL64" s="1294"/>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0" t="s">
        <v>1242</v>
      </c>
      <c r="AK66" s="2388">
        <f>$AJ$31+$AJ$47</f>
        <v>10</v>
      </c>
      <c r="AL66" s="2389"/>
      <c r="AM66" s="239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20" t="s">
        <v>408</v>
      </c>
      <c r="AF69" s="2420"/>
      <c r="AG69" s="2420"/>
      <c r="AH69" s="2420"/>
      <c r="AI69" s="2420"/>
      <c r="AJ69" s="2420"/>
      <c r="AK69" s="2420"/>
      <c r="AL69" s="1292"/>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46" t="s">
        <v>731</v>
      </c>
      <c r="C71" s="2346"/>
      <c r="D71" s="2346"/>
      <c r="E71" s="2346"/>
      <c r="F71" s="2346"/>
      <c r="G71" s="2346"/>
      <c r="H71" s="2346"/>
      <c r="I71" s="2346"/>
      <c r="J71" s="2346"/>
      <c r="K71" s="2346"/>
      <c r="P71" s="153"/>
      <c r="Q71" s="153"/>
      <c r="R71" s="153"/>
      <c r="S71" s="153"/>
      <c r="T71" s="153"/>
      <c r="U71" s="153"/>
      <c r="V71" s="153"/>
      <c r="W71" s="153"/>
      <c r="X71" s="153"/>
      <c r="AF71" s="2368" t="s">
        <v>1042</v>
      </c>
      <c r="AG71" s="2368"/>
      <c r="AH71" s="2368"/>
      <c r="AI71" s="2368"/>
      <c r="AJ71" s="2368"/>
      <c r="AK71" s="2368"/>
      <c r="AL71" s="2368"/>
      <c r="AN71" s="439"/>
      <c r="AP71" s="46" t="s">
        <v>136</v>
      </c>
    </row>
    <row r="72" spans="1:42" s="46" customFormat="1" ht="12.75" customHeight="1">
      <c r="B72" s="2520" t="s">
        <v>1458</v>
      </c>
      <c r="C72" s="2520"/>
      <c r="D72" s="2520"/>
      <c r="E72" s="2520"/>
      <c r="F72" s="2520"/>
      <c r="G72" s="2520"/>
      <c r="H72" s="2520"/>
      <c r="I72" s="2520"/>
      <c r="J72" s="2520"/>
      <c r="K72" s="2520"/>
      <c r="L72" s="2520"/>
      <c r="M72" s="2520"/>
      <c r="N72" s="2520"/>
      <c r="O72" s="2520"/>
      <c r="P72" s="2520"/>
      <c r="Q72" s="2520"/>
      <c r="R72" s="2520"/>
      <c r="S72" s="2520"/>
      <c r="T72" s="2346" t="s">
        <v>136</v>
      </c>
      <c r="U72" s="2346"/>
      <c r="V72" s="2346"/>
      <c r="W72" s="2346"/>
      <c r="X72" s="2346"/>
      <c r="Y72" s="2346"/>
      <c r="Z72" s="2346"/>
      <c r="AA72" s="2346"/>
      <c r="AB72" s="2346"/>
      <c r="AC72" s="2346"/>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99"/>
      <c r="AJ73" s="1299" t="s">
        <v>648</v>
      </c>
      <c r="AK73" s="2365">
        <f>VLOOKUP($B$71,$AP$45:$AR$50,2,FALSE)</f>
        <v>10</v>
      </c>
      <c r="AL73" s="2366"/>
      <c r="AM73" s="2366"/>
      <c r="AN73" s="131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0" t="s">
        <v>1081</v>
      </c>
      <c r="AF78" s="2420"/>
      <c r="AG78" s="2420"/>
      <c r="AH78" s="2420"/>
      <c r="AI78" s="2420"/>
      <c r="AJ78" s="2420"/>
      <c r="AK78" s="2420"/>
      <c r="AL78" s="1292"/>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8" t="s">
        <v>2079</v>
      </c>
      <c r="C80" s="2378"/>
      <c r="D80" s="2378"/>
      <c r="E80" s="2378"/>
      <c r="F80" s="2378"/>
      <c r="G80" s="2378"/>
      <c r="H80" s="2378"/>
      <c r="I80" s="2378"/>
      <c r="J80" s="2378"/>
      <c r="K80" s="2378"/>
      <c r="L80" s="2378"/>
      <c r="M80" s="2378"/>
      <c r="N80" s="2378"/>
      <c r="O80" s="2378"/>
      <c r="P80" s="2378"/>
      <c r="Q80" s="2378"/>
      <c r="R80" s="2378"/>
      <c r="S80" s="2378"/>
      <c r="T80" s="2378"/>
      <c r="U80" s="2378"/>
      <c r="V80" s="2378"/>
      <c r="W80" s="2378"/>
      <c r="X80" s="2378"/>
      <c r="Y80" s="2378"/>
      <c r="Z80" s="2378"/>
      <c r="AA80" s="2378"/>
      <c r="AB80" s="2378"/>
      <c r="AC80" s="2378"/>
      <c r="AD80" s="2378"/>
      <c r="AE80" s="2378"/>
      <c r="AF80" s="2378"/>
      <c r="AG80" s="2378"/>
      <c r="AH80" s="2378"/>
      <c r="AI80" s="2378"/>
      <c r="AJ80" s="2378"/>
      <c r="AK80" s="2378"/>
      <c r="AL80" s="1294"/>
      <c r="AM80" s="163"/>
      <c r="AN80" s="439"/>
    </row>
    <row r="81" spans="1:42" s="46" customFormat="1" ht="12.75" customHeight="1">
      <c r="A81" s="163"/>
      <c r="B81" s="2378"/>
      <c r="C81" s="2378"/>
      <c r="D81" s="2378"/>
      <c r="E81" s="2378"/>
      <c r="F81" s="2378"/>
      <c r="G81" s="2378"/>
      <c r="H81" s="2378"/>
      <c r="I81" s="2378"/>
      <c r="J81" s="2378"/>
      <c r="K81" s="2378"/>
      <c r="L81" s="2378"/>
      <c r="M81" s="2378"/>
      <c r="N81" s="2378"/>
      <c r="O81" s="2378"/>
      <c r="P81" s="2378"/>
      <c r="Q81" s="2378"/>
      <c r="R81" s="2378"/>
      <c r="S81" s="2378"/>
      <c r="T81" s="2378"/>
      <c r="U81" s="2378"/>
      <c r="V81" s="2378"/>
      <c r="W81" s="2378"/>
      <c r="X81" s="2378"/>
      <c r="Y81" s="2378"/>
      <c r="Z81" s="2378"/>
      <c r="AA81" s="2378"/>
      <c r="AB81" s="2378"/>
      <c r="AC81" s="2378"/>
      <c r="AD81" s="2378"/>
      <c r="AE81" s="2378"/>
      <c r="AF81" s="2378"/>
      <c r="AG81" s="2378"/>
      <c r="AH81" s="2378"/>
      <c r="AI81" s="2378"/>
      <c r="AJ81" s="2378"/>
      <c r="AK81" s="2378"/>
      <c r="AL81" s="1294"/>
      <c r="AM81" s="163"/>
      <c r="AN81" s="439"/>
    </row>
    <row r="82" spans="1:42" s="46" customFormat="1" ht="12.75" customHeight="1">
      <c r="A82" s="163"/>
      <c r="B82" s="2378"/>
      <c r="C82" s="2378"/>
      <c r="D82" s="2378"/>
      <c r="E82" s="2378"/>
      <c r="F82" s="2378"/>
      <c r="G82" s="2378"/>
      <c r="H82" s="2378"/>
      <c r="I82" s="2378"/>
      <c r="J82" s="2378"/>
      <c r="K82" s="2378"/>
      <c r="L82" s="2378"/>
      <c r="M82" s="2378"/>
      <c r="N82" s="2378"/>
      <c r="O82" s="2378"/>
      <c r="P82" s="2378"/>
      <c r="Q82" s="2378"/>
      <c r="R82" s="2378"/>
      <c r="S82" s="2378"/>
      <c r="T82" s="2378"/>
      <c r="U82" s="2378"/>
      <c r="V82" s="2378"/>
      <c r="W82" s="2378"/>
      <c r="X82" s="2378"/>
      <c r="Y82" s="2378"/>
      <c r="Z82" s="2378"/>
      <c r="AA82" s="2378"/>
      <c r="AB82" s="2378"/>
      <c r="AC82" s="2378"/>
      <c r="AD82" s="2378"/>
      <c r="AE82" s="2378"/>
      <c r="AF82" s="2378"/>
      <c r="AG82" s="2378"/>
      <c r="AH82" s="2378"/>
      <c r="AI82" s="2378"/>
      <c r="AJ82" s="2378"/>
      <c r="AK82" s="2378"/>
      <c r="AL82" s="1294"/>
      <c r="AM82" s="163"/>
      <c r="AN82" s="439"/>
    </row>
    <row r="83" spans="1:42" s="46" customFormat="1" ht="12.75" customHeight="1">
      <c r="A83" s="163"/>
      <c r="B83" s="2378"/>
      <c r="C83" s="2378"/>
      <c r="D83" s="2378"/>
      <c r="E83" s="2378"/>
      <c r="F83" s="2378"/>
      <c r="G83" s="2378"/>
      <c r="H83" s="2378"/>
      <c r="I83" s="2378"/>
      <c r="J83" s="2378"/>
      <c r="K83" s="2378"/>
      <c r="L83" s="2378"/>
      <c r="M83" s="2378"/>
      <c r="N83" s="2378"/>
      <c r="O83" s="2378"/>
      <c r="P83" s="2378"/>
      <c r="Q83" s="2378"/>
      <c r="R83" s="2378"/>
      <c r="S83" s="2378"/>
      <c r="T83" s="2378"/>
      <c r="U83" s="2378"/>
      <c r="V83" s="2378"/>
      <c r="W83" s="2378"/>
      <c r="X83" s="2378"/>
      <c r="Y83" s="2378"/>
      <c r="Z83" s="2378"/>
      <c r="AA83" s="2378"/>
      <c r="AB83" s="2378"/>
      <c r="AC83" s="2378"/>
      <c r="AD83" s="2378"/>
      <c r="AE83" s="2378"/>
      <c r="AF83" s="2378"/>
      <c r="AG83" s="2378"/>
      <c r="AH83" s="2378"/>
      <c r="AI83" s="2378"/>
      <c r="AJ83" s="2378"/>
      <c r="AK83" s="2378"/>
      <c r="AL83" s="1294"/>
      <c r="AM83" s="163"/>
      <c r="AN83" s="439"/>
    </row>
    <row r="84" spans="1:42" s="46" customFormat="1" ht="12.75" customHeight="1">
      <c r="A84" s="163"/>
      <c r="B84" s="2378"/>
      <c r="C84" s="2378"/>
      <c r="D84" s="2378"/>
      <c r="E84" s="2378"/>
      <c r="F84" s="2378"/>
      <c r="G84" s="2378"/>
      <c r="H84" s="2378"/>
      <c r="I84" s="2378"/>
      <c r="J84" s="2378"/>
      <c r="K84" s="2378"/>
      <c r="L84" s="2378"/>
      <c r="M84" s="2378"/>
      <c r="N84" s="2378"/>
      <c r="O84" s="2378"/>
      <c r="P84" s="2378"/>
      <c r="Q84" s="2378"/>
      <c r="R84" s="2378"/>
      <c r="S84" s="2378"/>
      <c r="T84" s="2378"/>
      <c r="U84" s="2378"/>
      <c r="V84" s="2378"/>
      <c r="W84" s="2378"/>
      <c r="X84" s="2378"/>
      <c r="Y84" s="2378"/>
      <c r="Z84" s="2378"/>
      <c r="AA84" s="2378"/>
      <c r="AB84" s="2378"/>
      <c r="AC84" s="2378"/>
      <c r="AD84" s="2378"/>
      <c r="AE84" s="2378"/>
      <c r="AF84" s="2378"/>
      <c r="AG84" s="2378"/>
      <c r="AH84" s="2378"/>
      <c r="AI84" s="2378"/>
      <c r="AJ84" s="2378"/>
      <c r="AK84" s="2378"/>
      <c r="AL84" s="1294"/>
      <c r="AM84" s="163"/>
      <c r="AN84" s="439"/>
    </row>
    <row r="85" spans="1:42" s="46" customFormat="1" ht="12.75" customHeight="1">
      <c r="A85" s="163"/>
      <c r="B85" s="2378"/>
      <c r="C85" s="2378"/>
      <c r="D85" s="2378"/>
      <c r="E85" s="2378"/>
      <c r="F85" s="2378"/>
      <c r="G85" s="2378"/>
      <c r="H85" s="2378"/>
      <c r="I85" s="2378"/>
      <c r="J85" s="2378"/>
      <c r="K85" s="2378"/>
      <c r="L85" s="2378"/>
      <c r="M85" s="2378"/>
      <c r="N85" s="2378"/>
      <c r="O85" s="2378"/>
      <c r="P85" s="2378"/>
      <c r="Q85" s="2378"/>
      <c r="R85" s="2378"/>
      <c r="S85" s="2378"/>
      <c r="T85" s="2378"/>
      <c r="U85" s="2378"/>
      <c r="V85" s="2378"/>
      <c r="W85" s="2378"/>
      <c r="X85" s="2378"/>
      <c r="Y85" s="2378"/>
      <c r="Z85" s="2378"/>
      <c r="AA85" s="2378"/>
      <c r="AB85" s="2378"/>
      <c r="AC85" s="2378"/>
      <c r="AD85" s="2378"/>
      <c r="AE85" s="2378"/>
      <c r="AF85" s="2378"/>
      <c r="AG85" s="2378"/>
      <c r="AH85" s="2378"/>
      <c r="AI85" s="2378"/>
      <c r="AJ85" s="2378"/>
      <c r="AK85" s="2378"/>
      <c r="AL85" s="1294"/>
      <c r="AM85" s="163"/>
      <c r="AN85" s="439"/>
    </row>
    <row r="86" spans="1:42" ht="12.75" customHeight="1">
      <c r="A86" s="163"/>
      <c r="B86" s="2378"/>
      <c r="C86" s="2378"/>
      <c r="D86" s="2378"/>
      <c r="E86" s="2378"/>
      <c r="F86" s="2378"/>
      <c r="G86" s="2378"/>
      <c r="H86" s="2378"/>
      <c r="I86" s="2378"/>
      <c r="J86" s="2378"/>
      <c r="K86" s="2378"/>
      <c r="L86" s="2378"/>
      <c r="M86" s="2378"/>
      <c r="N86" s="2378"/>
      <c r="O86" s="2378"/>
      <c r="P86" s="2378"/>
      <c r="Q86" s="2378"/>
      <c r="R86" s="2378"/>
      <c r="S86" s="2378"/>
      <c r="T86" s="2378"/>
      <c r="U86" s="2378"/>
      <c r="V86" s="2378"/>
      <c r="W86" s="2378"/>
      <c r="X86" s="2378"/>
      <c r="Y86" s="2378"/>
      <c r="Z86" s="2378"/>
      <c r="AA86" s="2378"/>
      <c r="AB86" s="2378"/>
      <c r="AC86" s="2378"/>
      <c r="AD86" s="2378"/>
      <c r="AE86" s="2378"/>
      <c r="AF86" s="2378"/>
      <c r="AG86" s="2378"/>
      <c r="AH86" s="2378"/>
      <c r="AI86" s="2378"/>
      <c r="AJ86" s="2378"/>
      <c r="AK86" s="2378"/>
      <c r="AL86" s="1294"/>
      <c r="AM86" s="163"/>
    </row>
    <row r="87" spans="1:42" s="46" customFormat="1" ht="12.75" customHeight="1">
      <c r="A87" s="28"/>
      <c r="B87" s="2378"/>
      <c r="C87" s="2378"/>
      <c r="D87" s="2378"/>
      <c r="E87" s="2378"/>
      <c r="F87" s="2378"/>
      <c r="G87" s="2378"/>
      <c r="H87" s="2378"/>
      <c r="I87" s="2378"/>
      <c r="J87" s="2378"/>
      <c r="K87" s="2378"/>
      <c r="L87" s="2378"/>
      <c r="M87" s="2378"/>
      <c r="N87" s="2378"/>
      <c r="O87" s="2378"/>
      <c r="P87" s="2378"/>
      <c r="Q87" s="2378"/>
      <c r="R87" s="2378"/>
      <c r="S87" s="2378"/>
      <c r="T87" s="2378"/>
      <c r="U87" s="2378"/>
      <c r="V87" s="2378"/>
      <c r="W87" s="2378"/>
      <c r="X87" s="2378"/>
      <c r="Y87" s="2378"/>
      <c r="Z87" s="2378"/>
      <c r="AA87" s="2378"/>
      <c r="AB87" s="2378"/>
      <c r="AC87" s="2378"/>
      <c r="AD87" s="2378"/>
      <c r="AE87" s="2378"/>
      <c r="AF87" s="2378"/>
      <c r="AG87" s="2378"/>
      <c r="AH87" s="2378"/>
      <c r="AI87" s="2378"/>
      <c r="AJ87" s="2378"/>
      <c r="AK87" s="2378"/>
      <c r="AL87" s="1294"/>
      <c r="AM87" s="153"/>
      <c r="AN87" s="439"/>
    </row>
    <row r="88" spans="1:42" s="46" customFormat="1" ht="12.75" customHeight="1">
      <c r="A88" s="28"/>
      <c r="B88" s="2378"/>
      <c r="C88" s="2378"/>
      <c r="D88" s="2378"/>
      <c r="E88" s="2378"/>
      <c r="F88" s="2378"/>
      <c r="G88" s="2378"/>
      <c r="H88" s="2378"/>
      <c r="I88" s="2378"/>
      <c r="J88" s="2378"/>
      <c r="K88" s="2378"/>
      <c r="L88" s="2378"/>
      <c r="M88" s="2378"/>
      <c r="N88" s="2378"/>
      <c r="O88" s="2378"/>
      <c r="P88" s="2378"/>
      <c r="Q88" s="2378"/>
      <c r="R88" s="2378"/>
      <c r="S88" s="2378"/>
      <c r="T88" s="2378"/>
      <c r="U88" s="2378"/>
      <c r="V88" s="2378"/>
      <c r="W88" s="2378"/>
      <c r="X88" s="2378"/>
      <c r="Y88" s="2378"/>
      <c r="Z88" s="2378"/>
      <c r="AA88" s="2378"/>
      <c r="AB88" s="2378"/>
      <c r="AC88" s="2378"/>
      <c r="AD88" s="2378"/>
      <c r="AE88" s="2378"/>
      <c r="AF88" s="2378"/>
      <c r="AG88" s="2378"/>
      <c r="AH88" s="2378"/>
      <c r="AI88" s="2378"/>
      <c r="AJ88" s="2378"/>
      <c r="AK88" s="2378"/>
      <c r="AL88" s="1294"/>
      <c r="AM88" s="153"/>
      <c r="AN88" s="439"/>
    </row>
    <row r="89" spans="1:42" s="46" customFormat="1" ht="14.45" customHeight="1">
      <c r="A89" s="28"/>
      <c r="B89" s="2378"/>
      <c r="C89" s="2378"/>
      <c r="D89" s="2378"/>
      <c r="E89" s="2378"/>
      <c r="F89" s="2378"/>
      <c r="G89" s="2378"/>
      <c r="H89" s="2378"/>
      <c r="I89" s="2378"/>
      <c r="J89" s="2378"/>
      <c r="K89" s="2378"/>
      <c r="L89" s="2378"/>
      <c r="M89" s="2378"/>
      <c r="N89" s="2378"/>
      <c r="O89" s="2378"/>
      <c r="P89" s="2378"/>
      <c r="Q89" s="2378"/>
      <c r="R89" s="2378"/>
      <c r="S89" s="2378"/>
      <c r="T89" s="2378"/>
      <c r="U89" s="2378"/>
      <c r="V89" s="2378"/>
      <c r="W89" s="2378"/>
      <c r="X89" s="2378"/>
      <c r="Y89" s="2378"/>
      <c r="Z89" s="2378"/>
      <c r="AA89" s="2378"/>
      <c r="AB89" s="2378"/>
      <c r="AC89" s="2378"/>
      <c r="AD89" s="2378"/>
      <c r="AE89" s="2378"/>
      <c r="AF89" s="2378"/>
      <c r="AG89" s="2378"/>
      <c r="AH89" s="2378"/>
      <c r="AI89" s="2378"/>
      <c r="AJ89" s="2378"/>
      <c r="AK89" s="2378"/>
      <c r="AL89" s="1294"/>
      <c r="AM89" s="153"/>
      <c r="AN89" s="439"/>
    </row>
    <row r="90" spans="1:42" s="46" customFormat="1" ht="12.75" customHeight="1">
      <c r="A90" s="28"/>
      <c r="B90" s="2378"/>
      <c r="C90" s="2378"/>
      <c r="D90" s="2378"/>
      <c r="E90" s="2378"/>
      <c r="F90" s="2378"/>
      <c r="G90" s="2378"/>
      <c r="H90" s="2378"/>
      <c r="I90" s="2378"/>
      <c r="J90" s="2378"/>
      <c r="K90" s="2378"/>
      <c r="L90" s="2378"/>
      <c r="M90" s="2378"/>
      <c r="N90" s="2378"/>
      <c r="O90" s="2378"/>
      <c r="P90" s="2378"/>
      <c r="Q90" s="2378"/>
      <c r="R90" s="2378"/>
      <c r="S90" s="2378"/>
      <c r="T90" s="2378"/>
      <c r="U90" s="2378"/>
      <c r="V90" s="2378"/>
      <c r="W90" s="2378"/>
      <c r="X90" s="2378"/>
      <c r="Y90" s="2378"/>
      <c r="Z90" s="2378"/>
      <c r="AA90" s="2378"/>
      <c r="AB90" s="2378"/>
      <c r="AC90" s="2378"/>
      <c r="AD90" s="2378"/>
      <c r="AE90" s="2378"/>
      <c r="AF90" s="2378"/>
      <c r="AG90" s="2378"/>
      <c r="AH90" s="2378"/>
      <c r="AI90" s="2378"/>
      <c r="AJ90" s="2378"/>
      <c r="AK90" s="2378"/>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8" t="s">
        <v>937</v>
      </c>
      <c r="AG95" s="2368"/>
      <c r="AH95" s="2368"/>
      <c r="AI95" s="2368"/>
      <c r="AJ95" s="2368"/>
      <c r="AK95" s="2368"/>
      <c r="AL95" s="2368"/>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2"/>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8" t="s">
        <v>63</v>
      </c>
      <c r="AG100" s="2368"/>
      <c r="AH100" s="2368"/>
      <c r="AI100" s="2368"/>
      <c r="AJ100" s="2368"/>
      <c r="AK100" s="2368"/>
      <c r="AL100" s="2368"/>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8" t="s">
        <v>64</v>
      </c>
      <c r="AG105" s="2368"/>
      <c r="AH105" s="2368"/>
      <c r="AI105" s="2368"/>
      <c r="AJ105" s="2368"/>
      <c r="AK105" s="2368"/>
      <c r="AL105" s="2368"/>
      <c r="AM105" s="153"/>
      <c r="AN105" s="439"/>
      <c r="AO105" s="144" t="s">
        <v>798</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8" t="s">
        <v>65</v>
      </c>
      <c r="AG110" s="2368"/>
      <c r="AH110" s="2368"/>
      <c r="AI110" s="2368"/>
      <c r="AJ110" s="2368"/>
      <c r="AK110" s="2368"/>
      <c r="AL110" s="2368"/>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8" t="s">
        <v>66</v>
      </c>
      <c r="AG114" s="2368"/>
      <c r="AH114" s="2368"/>
      <c r="AI114" s="2368"/>
      <c r="AJ114" s="2368"/>
      <c r="AK114" s="2368"/>
      <c r="AL114" s="2368"/>
      <c r="AM114" s="153"/>
      <c r="AN114" s="1132"/>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7" t="s">
        <v>641</v>
      </c>
      <c r="I117" s="2377"/>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24" t="s">
        <v>136</v>
      </c>
      <c r="I123" s="2524"/>
      <c r="J123" s="2524"/>
      <c r="K123" s="2524"/>
      <c r="L123" s="2524"/>
      <c r="M123" s="2524"/>
      <c r="N123" s="2524"/>
      <c r="O123" s="2524"/>
      <c r="P123" s="2524"/>
      <c r="Q123" s="2524"/>
      <c r="R123" s="2524"/>
      <c r="S123" s="2524"/>
      <c r="T123" s="2524"/>
      <c r="U123" s="2524"/>
      <c r="V123" s="2524"/>
      <c r="W123" s="2524"/>
      <c r="X123" s="2524"/>
      <c r="Y123" s="2524"/>
      <c r="Z123" s="2524"/>
      <c r="AA123" s="2524"/>
      <c r="AB123" s="2524"/>
      <c r="AC123" s="2524"/>
      <c r="AD123" s="2524"/>
      <c r="AE123" s="2524"/>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1"/>
      <c r="AM124" s="46"/>
      <c r="AN124" s="1132"/>
    </row>
    <row r="125" spans="1:47" s="46" customFormat="1" ht="12.75" customHeight="1">
      <c r="A125" s="28"/>
      <c r="B125" s="1801" t="s">
        <v>136</v>
      </c>
      <c r="C125" s="1801"/>
      <c r="D125" s="436"/>
      <c r="E125" s="2378" t="s">
        <v>1999</v>
      </c>
      <c r="F125" s="2378"/>
      <c r="G125" s="2378"/>
      <c r="H125" s="2378"/>
      <c r="I125" s="2378"/>
      <c r="J125" s="2378"/>
      <c r="K125" s="2378"/>
      <c r="L125" s="2378"/>
      <c r="M125" s="2378"/>
      <c r="N125" s="2378"/>
      <c r="O125" s="2378"/>
      <c r="P125" s="2378"/>
      <c r="Q125" s="2378"/>
      <c r="R125" s="2378"/>
      <c r="S125" s="2378"/>
      <c r="T125" s="2378"/>
      <c r="U125" s="2378"/>
      <c r="V125" s="2378"/>
      <c r="W125" s="2378"/>
      <c r="X125" s="2378"/>
      <c r="Y125" s="2378"/>
      <c r="Z125" s="2378"/>
      <c r="AA125" s="2378"/>
      <c r="AB125" s="2378"/>
      <c r="AC125" s="2378"/>
      <c r="AD125" s="2378"/>
      <c r="AE125" s="2378"/>
      <c r="AF125" s="2378"/>
      <c r="AG125" s="2378"/>
      <c r="AH125" s="436"/>
      <c r="AI125" s="436"/>
      <c r="AJ125" s="436"/>
      <c r="AK125" s="436"/>
      <c r="AL125" s="1291"/>
      <c r="AN125" s="439"/>
    </row>
    <row r="126" spans="1:47" s="46" customFormat="1" ht="12.75" customHeight="1">
      <c r="A126" s="28"/>
      <c r="B126" s="161"/>
      <c r="C126" s="187"/>
      <c r="D126" s="436"/>
      <c r="E126" s="2378"/>
      <c r="F126" s="2378"/>
      <c r="G126" s="2378"/>
      <c r="H126" s="2378"/>
      <c r="I126" s="2378"/>
      <c r="J126" s="2378"/>
      <c r="K126" s="2378"/>
      <c r="L126" s="2378"/>
      <c r="M126" s="2378"/>
      <c r="N126" s="2378"/>
      <c r="O126" s="2378"/>
      <c r="P126" s="2378"/>
      <c r="Q126" s="2378"/>
      <c r="R126" s="2378"/>
      <c r="S126" s="2378"/>
      <c r="T126" s="2378"/>
      <c r="U126" s="2378"/>
      <c r="V126" s="2378"/>
      <c r="W126" s="2378"/>
      <c r="X126" s="2378"/>
      <c r="Y126" s="2378"/>
      <c r="Z126" s="2378"/>
      <c r="AA126" s="2378"/>
      <c r="AB126" s="2378"/>
      <c r="AC126" s="2378"/>
      <c r="AD126" s="2378"/>
      <c r="AE126" s="2378"/>
      <c r="AF126" s="2378"/>
      <c r="AG126" s="2378"/>
      <c r="AH126" s="436"/>
      <c r="AI126" s="436"/>
      <c r="AJ126" s="436"/>
      <c r="AK126" s="436"/>
      <c r="AL126" s="1291"/>
      <c r="AN126" s="439"/>
    </row>
    <row r="127" spans="1:47" s="46" customFormat="1" ht="12.75" customHeight="1">
      <c r="A127" s="28"/>
      <c r="B127" s="161"/>
      <c r="C127" s="187"/>
      <c r="D127" s="436"/>
      <c r="E127" s="2378"/>
      <c r="F127" s="2378"/>
      <c r="G127" s="2378"/>
      <c r="H127" s="2378"/>
      <c r="I127" s="2378"/>
      <c r="J127" s="2378"/>
      <c r="K127" s="2378"/>
      <c r="L127" s="2378"/>
      <c r="M127" s="2378"/>
      <c r="N127" s="2378"/>
      <c r="O127" s="2378"/>
      <c r="P127" s="2378"/>
      <c r="Q127" s="2378"/>
      <c r="R127" s="2378"/>
      <c r="S127" s="2378"/>
      <c r="T127" s="2378"/>
      <c r="U127" s="2378"/>
      <c r="V127" s="2378"/>
      <c r="W127" s="2378"/>
      <c r="X127" s="2378"/>
      <c r="Y127" s="2378"/>
      <c r="Z127" s="2378"/>
      <c r="AA127" s="2378"/>
      <c r="AB127" s="2378"/>
      <c r="AC127" s="2378"/>
      <c r="AD127" s="2378"/>
      <c r="AE127" s="2378"/>
      <c r="AF127" s="2378"/>
      <c r="AG127" s="2378"/>
      <c r="AH127" s="436"/>
      <c r="AI127" s="436"/>
      <c r="AJ127" s="436"/>
      <c r="AK127" s="436"/>
      <c r="AL127" s="1291"/>
      <c r="AN127" s="439"/>
    </row>
    <row r="128" spans="1:47" s="46" customFormat="1" ht="12.75" customHeight="1">
      <c r="A128" s="28"/>
      <c r="B128" s="161"/>
      <c r="C128" s="187"/>
      <c r="D128" s="478"/>
      <c r="E128" s="2523"/>
      <c r="F128" s="2523"/>
      <c r="G128" s="2523"/>
      <c r="H128" s="2523"/>
      <c r="I128" s="2523"/>
      <c r="J128" s="2523"/>
      <c r="K128" s="2523"/>
      <c r="L128" s="2523"/>
      <c r="M128" s="2523"/>
      <c r="N128" s="2523"/>
      <c r="O128" s="2523"/>
      <c r="P128" s="2523"/>
      <c r="Q128" s="2523"/>
      <c r="R128" s="2523"/>
      <c r="S128" s="2523"/>
      <c r="T128" s="2523"/>
      <c r="U128" s="2523"/>
      <c r="V128" s="2523"/>
      <c r="W128" s="2523"/>
      <c r="X128" s="2523"/>
      <c r="Y128" s="2523"/>
      <c r="Z128" s="2523"/>
      <c r="AA128" s="2523"/>
      <c r="AB128" s="2523"/>
      <c r="AC128" s="2523"/>
      <c r="AD128" s="2523"/>
      <c r="AE128" s="2523"/>
      <c r="AF128" s="2523"/>
      <c r="AG128" s="252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5">
        <f>VLOOKUP($H$117,$AO$101:$AP$106,2,FALSE)+VLOOKUP($H$123,$AO$121:$AP$123,2,FALSE)</f>
        <v>7</v>
      </c>
      <c r="AK129" s="236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98"/>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2" t="s">
        <v>2084</v>
      </c>
      <c r="F133" s="2522"/>
      <c r="G133" s="2522"/>
      <c r="H133" s="2522"/>
      <c r="I133" s="2522"/>
      <c r="J133" s="2522"/>
      <c r="K133" s="2522"/>
      <c r="L133" s="2522"/>
      <c r="M133" s="2522"/>
      <c r="N133" s="2522"/>
      <c r="O133" s="2522"/>
      <c r="P133" s="2522"/>
      <c r="Q133" s="2522"/>
      <c r="R133" s="2522"/>
      <c r="S133" s="2522"/>
      <c r="T133" s="2522"/>
      <c r="U133" s="2522"/>
      <c r="V133" s="2522"/>
      <c r="W133" s="2522"/>
      <c r="X133" s="2522"/>
      <c r="Y133" s="2522"/>
      <c r="Z133" s="2522"/>
      <c r="AA133" s="2522"/>
      <c r="AB133" s="2522"/>
      <c r="AC133" s="2522"/>
      <c r="AD133" s="2522"/>
      <c r="AF133" s="2368" t="s">
        <v>66</v>
      </c>
      <c r="AG133" s="2368"/>
      <c r="AH133" s="2368"/>
      <c r="AI133" s="2368"/>
      <c r="AJ133" s="2368"/>
      <c r="AK133" s="2368"/>
      <c r="AL133" s="2368"/>
      <c r="AM133" s="153"/>
      <c r="AN133" s="475"/>
    </row>
    <row r="134" spans="1:42" s="46" customFormat="1" ht="12.75" customHeight="1">
      <c r="A134" s="195"/>
      <c r="B134" s="161"/>
      <c r="C134" s="187"/>
      <c r="D134" s="144"/>
      <c r="E134" s="2522"/>
      <c r="F134" s="2522"/>
      <c r="G134" s="2522"/>
      <c r="H134" s="2522"/>
      <c r="I134" s="2522"/>
      <c r="J134" s="2522"/>
      <c r="K134" s="2522"/>
      <c r="L134" s="2522"/>
      <c r="M134" s="2522"/>
      <c r="N134" s="2522"/>
      <c r="O134" s="2522"/>
      <c r="P134" s="2522"/>
      <c r="Q134" s="2522"/>
      <c r="R134" s="2522"/>
      <c r="S134" s="2522"/>
      <c r="T134" s="2522"/>
      <c r="U134" s="2522"/>
      <c r="V134" s="2522"/>
      <c r="W134" s="2522"/>
      <c r="X134" s="2522"/>
      <c r="Y134" s="2522"/>
      <c r="Z134" s="2522"/>
      <c r="AA134" s="2522"/>
      <c r="AB134" s="2522"/>
      <c r="AC134" s="2522"/>
      <c r="AD134" s="2522"/>
      <c r="AE134" s="153"/>
      <c r="AF134" s="74"/>
      <c r="AG134" s="153"/>
      <c r="AH134" s="153"/>
      <c r="AI134" s="153"/>
      <c r="AJ134" s="153"/>
      <c r="AK134" s="153"/>
      <c r="AL134" s="153"/>
      <c r="AM134" s="153"/>
      <c r="AN134" s="439"/>
    </row>
    <row r="135" spans="1:42" s="46" customFormat="1" ht="12.75" customHeight="1">
      <c r="A135" s="28"/>
      <c r="B135" s="161"/>
      <c r="C135" s="188"/>
      <c r="D135" s="144"/>
      <c r="E135" s="2522"/>
      <c r="F135" s="2522"/>
      <c r="G135" s="2522"/>
      <c r="H135" s="2522"/>
      <c r="I135" s="2522"/>
      <c r="J135" s="2522"/>
      <c r="K135" s="2522"/>
      <c r="L135" s="2522"/>
      <c r="M135" s="2522"/>
      <c r="N135" s="2522"/>
      <c r="O135" s="2522"/>
      <c r="P135" s="2522"/>
      <c r="Q135" s="2522"/>
      <c r="R135" s="2522"/>
      <c r="S135" s="2522"/>
      <c r="T135" s="2522"/>
      <c r="U135" s="2522"/>
      <c r="V135" s="2522"/>
      <c r="W135" s="2522"/>
      <c r="X135" s="2522"/>
      <c r="Y135" s="2522"/>
      <c r="Z135" s="2522"/>
      <c r="AA135" s="2522"/>
      <c r="AB135" s="2522"/>
      <c r="AC135" s="2522"/>
      <c r="AD135" s="2522"/>
      <c r="AE135" s="153"/>
      <c r="AF135" s="74"/>
      <c r="AG135" s="153"/>
      <c r="AH135" s="153"/>
      <c r="AI135" s="153"/>
      <c r="AJ135" s="153"/>
      <c r="AK135" s="153"/>
      <c r="AL135" s="153"/>
      <c r="AM135" s="153"/>
      <c r="AN135" s="439"/>
    </row>
    <row r="136" spans="1:42" s="46" customFormat="1" ht="12.75" customHeight="1">
      <c r="A136" s="57"/>
      <c r="B136" s="173"/>
      <c r="C136" s="196"/>
      <c r="D136" s="144"/>
      <c r="E136" s="2522"/>
      <c r="F136" s="2522"/>
      <c r="G136" s="2522"/>
      <c r="H136" s="2522"/>
      <c r="I136" s="2522"/>
      <c r="J136" s="2522"/>
      <c r="K136" s="2522"/>
      <c r="L136" s="2522"/>
      <c r="M136" s="2522"/>
      <c r="N136" s="2522"/>
      <c r="O136" s="2522"/>
      <c r="P136" s="2522"/>
      <c r="Q136" s="2522"/>
      <c r="R136" s="2522"/>
      <c r="S136" s="2522"/>
      <c r="T136" s="2522"/>
      <c r="U136" s="2522"/>
      <c r="V136" s="2522"/>
      <c r="W136" s="2522"/>
      <c r="X136" s="2522"/>
      <c r="Y136" s="2522"/>
      <c r="Z136" s="2522"/>
      <c r="AA136" s="2522"/>
      <c r="AB136" s="2522"/>
      <c r="AC136" s="2522"/>
      <c r="AD136" s="2522"/>
      <c r="AE136" s="27"/>
      <c r="AF136" s="173"/>
      <c r="AG136" s="27"/>
      <c r="AH136" s="27"/>
      <c r="AI136" s="27"/>
      <c r="AJ136" s="27"/>
      <c r="AK136" s="153"/>
      <c r="AL136" s="153"/>
      <c r="AM136" s="153"/>
      <c r="AN136" s="439"/>
    </row>
    <row r="137" spans="1:42" s="46" customFormat="1" ht="22.9" customHeight="1">
      <c r="A137" s="28"/>
      <c r="B137" s="173"/>
      <c r="C137" s="196"/>
      <c r="D137" s="144"/>
      <c r="E137" s="2522"/>
      <c r="F137" s="2522"/>
      <c r="G137" s="2522"/>
      <c r="H137" s="2522"/>
      <c r="I137" s="2522"/>
      <c r="J137" s="2522"/>
      <c r="K137" s="2522"/>
      <c r="L137" s="2522"/>
      <c r="M137" s="2522"/>
      <c r="N137" s="2522"/>
      <c r="O137" s="2522"/>
      <c r="P137" s="2522"/>
      <c r="Q137" s="2522"/>
      <c r="R137" s="2522"/>
      <c r="S137" s="2522"/>
      <c r="T137" s="2522"/>
      <c r="U137" s="2522"/>
      <c r="V137" s="2522"/>
      <c r="W137" s="2522"/>
      <c r="X137" s="2522"/>
      <c r="Y137" s="2522"/>
      <c r="Z137" s="2522"/>
      <c r="AA137" s="2522"/>
      <c r="AB137" s="2522"/>
      <c r="AC137" s="2522"/>
      <c r="AD137" s="252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49"/>
      <c r="G138" s="1149"/>
      <c r="H138" s="1149"/>
      <c r="I138" s="1149"/>
      <c r="J138" s="1149"/>
      <c r="K138" s="1149"/>
      <c r="L138" s="1149"/>
      <c r="M138" s="1149"/>
      <c r="N138" s="1149"/>
      <c r="O138" s="1149"/>
      <c r="P138" s="1149"/>
      <c r="Q138" s="1149"/>
      <c r="R138" s="1149"/>
      <c r="S138" s="2525" t="s">
        <v>136</v>
      </c>
      <c r="T138" s="2525"/>
      <c r="U138" s="1149"/>
      <c r="V138" s="1149"/>
      <c r="W138" s="1149"/>
      <c r="X138" s="1149"/>
      <c r="Y138" s="1149"/>
      <c r="Z138" s="1149"/>
      <c r="AA138" s="1149"/>
      <c r="AB138" s="1149"/>
      <c r="AC138" s="1149"/>
      <c r="AD138" s="1149"/>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8" t="s">
        <v>114</v>
      </c>
      <c r="AG140" s="2368"/>
      <c r="AH140" s="2368"/>
      <c r="AI140" s="2368"/>
      <c r="AJ140" s="2368"/>
      <c r="AK140" s="2368"/>
      <c r="AL140" s="236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2"/>
      <c r="AO141" s="144" t="s">
        <v>798</v>
      </c>
      <c r="AP141" s="206">
        <v>4</v>
      </c>
    </row>
    <row r="142" spans="1:42" s="46" customFormat="1" ht="12.75" customHeight="1">
      <c r="A142" s="28"/>
      <c r="B142" s="74"/>
      <c r="C142" s="77"/>
      <c r="D142" s="28" t="s">
        <v>163</v>
      </c>
      <c r="E142" s="190"/>
      <c r="F142" s="190"/>
      <c r="G142" s="190"/>
      <c r="H142" s="2377" t="s">
        <v>641</v>
      </c>
      <c r="I142" s="2377"/>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5">
        <f>VLOOKUP($H$142,$AO$116:$AP$118,2,FALSE)</f>
        <v>3</v>
      </c>
      <c r="AK144" s="2367"/>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8" t="s">
        <v>66</v>
      </c>
      <c r="AG148" s="2368"/>
      <c r="AH148" s="2368"/>
      <c r="AI148" s="2368"/>
      <c r="AJ148" s="2368"/>
      <c r="AK148" s="2368"/>
      <c r="AL148" s="236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5"/>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8" t="s">
        <v>114</v>
      </c>
      <c r="AG151" s="2368"/>
      <c r="AH151" s="2368"/>
      <c r="AI151" s="2368"/>
      <c r="AJ151" s="2368"/>
      <c r="AK151" s="2368"/>
      <c r="AL151" s="2368"/>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5"/>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2"/>
      <c r="AP153" s="206"/>
    </row>
    <row r="154" spans="1:42" s="46" customFormat="1" ht="12.75" customHeight="1">
      <c r="A154" s="28"/>
      <c r="B154" s="74"/>
      <c r="C154" s="77"/>
      <c r="D154" s="28" t="s">
        <v>163</v>
      </c>
      <c r="E154" s="190"/>
      <c r="F154" s="190"/>
      <c r="G154" s="190"/>
      <c r="H154" s="2377" t="s">
        <v>641</v>
      </c>
      <c r="I154" s="237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5">
        <f>VLOOKUP(H154,AT116:AU118,2,FALSE)</f>
        <v>3</v>
      </c>
      <c r="AK156" s="2367"/>
      <c r="AL156" s="25"/>
      <c r="AN156" s="1132"/>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8" t="s">
        <v>817</v>
      </c>
      <c r="F161" s="2378"/>
      <c r="G161" s="2378"/>
      <c r="H161" s="2378"/>
      <c r="I161" s="2378"/>
      <c r="J161" s="2378"/>
      <c r="K161" s="2378"/>
      <c r="L161" s="2378"/>
      <c r="M161" s="2378"/>
      <c r="N161" s="2378"/>
      <c r="O161" s="2378"/>
      <c r="P161" s="2378"/>
      <c r="Q161" s="2378"/>
      <c r="R161" s="2378"/>
      <c r="S161" s="2378"/>
      <c r="T161" s="2378"/>
      <c r="U161" s="2378"/>
      <c r="V161" s="2378"/>
      <c r="W161" s="2378"/>
      <c r="X161" s="2378"/>
      <c r="Y161" s="2378"/>
      <c r="Z161" s="2378"/>
      <c r="AA161" s="2378"/>
      <c r="AB161" s="2378"/>
      <c r="AC161" s="2378"/>
      <c r="AF161" s="2368" t="s">
        <v>64</v>
      </c>
      <c r="AG161" s="2368"/>
      <c r="AH161" s="2368"/>
      <c r="AI161" s="2368"/>
      <c r="AJ161" s="2368"/>
      <c r="AK161" s="2368"/>
      <c r="AL161" s="2368"/>
      <c r="AN161" s="439"/>
    </row>
    <row r="162" spans="1:42" s="46" customFormat="1" ht="12.75" customHeight="1">
      <c r="C162" s="48"/>
      <c r="E162" s="2378"/>
      <c r="F162" s="2378"/>
      <c r="G162" s="2378"/>
      <c r="H162" s="2378"/>
      <c r="I162" s="2378"/>
      <c r="J162" s="2378"/>
      <c r="K162" s="2378"/>
      <c r="L162" s="2378"/>
      <c r="M162" s="2378"/>
      <c r="N162" s="2378"/>
      <c r="O162" s="2378"/>
      <c r="P162" s="2378"/>
      <c r="Q162" s="2378"/>
      <c r="R162" s="2378"/>
      <c r="S162" s="2378"/>
      <c r="T162" s="2378"/>
      <c r="U162" s="2378"/>
      <c r="V162" s="2378"/>
      <c r="W162" s="2378"/>
      <c r="X162" s="2378"/>
      <c r="Y162" s="2378"/>
      <c r="Z162" s="2378"/>
      <c r="AA162" s="2378"/>
      <c r="AB162" s="2378"/>
      <c r="AC162" s="2378"/>
      <c r="AN162" s="439"/>
    </row>
    <row r="163" spans="1:42" s="46" customFormat="1" ht="12.75" customHeight="1">
      <c r="C163" s="48"/>
      <c r="D163" s="144"/>
      <c r="E163" s="2378"/>
      <c r="F163" s="2378"/>
      <c r="G163" s="2378"/>
      <c r="H163" s="2378"/>
      <c r="I163" s="2378"/>
      <c r="J163" s="2378"/>
      <c r="K163" s="2378"/>
      <c r="L163" s="2378"/>
      <c r="M163" s="2378"/>
      <c r="N163" s="2378"/>
      <c r="O163" s="2378"/>
      <c r="P163" s="2378"/>
      <c r="Q163" s="2378"/>
      <c r="R163" s="2378"/>
      <c r="S163" s="2378"/>
      <c r="T163" s="2378"/>
      <c r="U163" s="2378"/>
      <c r="V163" s="2378"/>
      <c r="W163" s="2378"/>
      <c r="X163" s="2378"/>
      <c r="Y163" s="2378"/>
      <c r="Z163" s="2378"/>
      <c r="AA163" s="2378"/>
      <c r="AB163" s="2378"/>
      <c r="AC163" s="237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8" t="s">
        <v>1930</v>
      </c>
      <c r="F165" s="2378"/>
      <c r="G165" s="2378"/>
      <c r="H165" s="2378"/>
      <c r="I165" s="2378"/>
      <c r="J165" s="2378"/>
      <c r="K165" s="2378"/>
      <c r="L165" s="2378"/>
      <c r="M165" s="2378"/>
      <c r="N165" s="2378"/>
      <c r="O165" s="2378"/>
      <c r="P165" s="2378"/>
      <c r="Q165" s="2378"/>
      <c r="R165" s="2378"/>
      <c r="S165" s="2378"/>
      <c r="T165" s="2378"/>
      <c r="U165" s="2378"/>
      <c r="V165" s="2378"/>
      <c r="W165" s="2378"/>
      <c r="X165" s="2378"/>
      <c r="Y165" s="2378"/>
      <c r="Z165" s="2378"/>
      <c r="AA165" s="2378"/>
      <c r="AB165" s="2378"/>
      <c r="AC165" s="2378"/>
      <c r="AF165" s="2368" t="s">
        <v>65</v>
      </c>
      <c r="AG165" s="2368"/>
      <c r="AH165" s="2368"/>
      <c r="AI165" s="2368"/>
      <c r="AJ165" s="2368"/>
      <c r="AK165" s="2368"/>
      <c r="AL165" s="2368"/>
      <c r="AN165" s="439"/>
    </row>
    <row r="166" spans="1:42" s="46" customFormat="1" ht="12.75" customHeight="1">
      <c r="C166" s="48"/>
      <c r="E166" s="2378"/>
      <c r="F166" s="2378"/>
      <c r="G166" s="2378"/>
      <c r="H166" s="2378"/>
      <c r="I166" s="2378"/>
      <c r="J166" s="2378"/>
      <c r="K166" s="2378"/>
      <c r="L166" s="2378"/>
      <c r="M166" s="2378"/>
      <c r="N166" s="2378"/>
      <c r="O166" s="2378"/>
      <c r="P166" s="2378"/>
      <c r="Q166" s="2378"/>
      <c r="R166" s="2378"/>
      <c r="S166" s="2378"/>
      <c r="T166" s="2378"/>
      <c r="U166" s="2378"/>
      <c r="V166" s="2378"/>
      <c r="W166" s="2378"/>
      <c r="X166" s="2378"/>
      <c r="Y166" s="2378"/>
      <c r="Z166" s="2378"/>
      <c r="AA166" s="2378"/>
      <c r="AB166" s="2378"/>
      <c r="AC166" s="2378"/>
      <c r="AN166" s="439"/>
    </row>
    <row r="167" spans="1:42" s="46" customFormat="1" ht="15" customHeight="1">
      <c r="C167" s="48"/>
      <c r="D167" s="144"/>
      <c r="E167" s="2378"/>
      <c r="F167" s="2378"/>
      <c r="G167" s="2378"/>
      <c r="H167" s="2378"/>
      <c r="I167" s="2378"/>
      <c r="J167" s="2378"/>
      <c r="K167" s="2378"/>
      <c r="L167" s="2378"/>
      <c r="M167" s="2378"/>
      <c r="N167" s="2378"/>
      <c r="O167" s="2378"/>
      <c r="P167" s="2378"/>
      <c r="Q167" s="2378"/>
      <c r="R167" s="2378"/>
      <c r="S167" s="2378"/>
      <c r="T167" s="2378"/>
      <c r="U167" s="2378"/>
      <c r="V167" s="2378"/>
      <c r="W167" s="2378"/>
      <c r="X167" s="2378"/>
      <c r="Y167" s="2378"/>
      <c r="Z167" s="2378"/>
      <c r="AA167" s="2378"/>
      <c r="AB167" s="2378"/>
      <c r="AC167" s="237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2"/>
    </row>
    <row r="169" spans="1:42" s="46" customFormat="1" ht="12.75" customHeight="1">
      <c r="C169" s="48"/>
      <c r="D169" s="144" t="s">
        <v>992</v>
      </c>
      <c r="E169" s="2378" t="s">
        <v>1931</v>
      </c>
      <c r="F169" s="2378"/>
      <c r="G169" s="2378"/>
      <c r="H169" s="2378"/>
      <c r="I169" s="2378"/>
      <c r="J169" s="2378"/>
      <c r="K169" s="2378"/>
      <c r="L169" s="2378"/>
      <c r="M169" s="2378"/>
      <c r="N169" s="2378"/>
      <c r="O169" s="2378"/>
      <c r="P169" s="2378"/>
      <c r="Q169" s="2378"/>
      <c r="R169" s="2378"/>
      <c r="S169" s="2378"/>
      <c r="T169" s="2378"/>
      <c r="U169" s="2378"/>
      <c r="V169" s="2378"/>
      <c r="W169" s="2378"/>
      <c r="X169" s="2378"/>
      <c r="Y169" s="2378"/>
      <c r="Z169" s="2378"/>
      <c r="AA169" s="2378"/>
      <c r="AB169" s="2378"/>
      <c r="AC169" s="2378"/>
      <c r="AF169" s="2368" t="s">
        <v>66</v>
      </c>
      <c r="AG169" s="2368"/>
      <c r="AH169" s="2368"/>
      <c r="AI169" s="2368"/>
      <c r="AJ169" s="2368"/>
      <c r="AK169" s="2368"/>
      <c r="AL169" s="2368"/>
      <c r="AN169" s="439"/>
    </row>
    <row r="170" spans="1:42" s="46" customFormat="1" ht="12.75" customHeight="1">
      <c r="A170" s="28"/>
      <c r="B170" s="161"/>
      <c r="C170" s="188"/>
      <c r="E170" s="2378"/>
      <c r="F170" s="2378"/>
      <c r="G170" s="2378"/>
      <c r="H170" s="2378"/>
      <c r="I170" s="2378"/>
      <c r="J170" s="2378"/>
      <c r="K170" s="2378"/>
      <c r="L170" s="2378"/>
      <c r="M170" s="2378"/>
      <c r="N170" s="2378"/>
      <c r="O170" s="2378"/>
      <c r="P170" s="2378"/>
      <c r="Q170" s="2378"/>
      <c r="R170" s="2378"/>
      <c r="S170" s="2378"/>
      <c r="T170" s="2378"/>
      <c r="U170" s="2378"/>
      <c r="V170" s="2378"/>
      <c r="W170" s="2378"/>
      <c r="X170" s="2378"/>
      <c r="Y170" s="2378"/>
      <c r="Z170" s="2378"/>
      <c r="AA170" s="2378"/>
      <c r="AB170" s="2378"/>
      <c r="AC170" s="2378"/>
      <c r="AE170" s="2368"/>
      <c r="AF170" s="2368"/>
      <c r="AG170" s="2368"/>
      <c r="AH170" s="2368"/>
      <c r="AI170" s="2368"/>
      <c r="AJ170" s="2368"/>
      <c r="AK170" s="2368"/>
      <c r="AL170" s="1295"/>
      <c r="AM170" s="153"/>
      <c r="AN170" s="439"/>
      <c r="AO170" s="46" t="s">
        <v>136</v>
      </c>
      <c r="AP170" s="753">
        <v>0</v>
      </c>
    </row>
    <row r="171" spans="1:42" s="46" customFormat="1" ht="12.75" customHeight="1">
      <c r="A171" s="195"/>
      <c r="D171" s="144"/>
      <c r="E171" s="2378"/>
      <c r="F171" s="2378"/>
      <c r="G171" s="2378"/>
      <c r="H171" s="2378"/>
      <c r="I171" s="2378"/>
      <c r="J171" s="2378"/>
      <c r="K171" s="2378"/>
      <c r="L171" s="2378"/>
      <c r="M171" s="2378"/>
      <c r="N171" s="2378"/>
      <c r="O171" s="2378"/>
      <c r="P171" s="2378"/>
      <c r="Q171" s="2378"/>
      <c r="R171" s="2378"/>
      <c r="S171" s="2378"/>
      <c r="T171" s="2378"/>
      <c r="U171" s="2378"/>
      <c r="V171" s="2378"/>
      <c r="W171" s="2378"/>
      <c r="X171" s="2378"/>
      <c r="Y171" s="2378"/>
      <c r="Z171" s="2378"/>
      <c r="AA171" s="2378"/>
      <c r="AB171" s="2378"/>
      <c r="AC171" s="2378"/>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8" t="s">
        <v>1932</v>
      </c>
      <c r="F173" s="2378"/>
      <c r="G173" s="2378"/>
      <c r="H173" s="2378"/>
      <c r="I173" s="2378"/>
      <c r="J173" s="2378"/>
      <c r="K173" s="2378"/>
      <c r="L173" s="2378"/>
      <c r="M173" s="2378"/>
      <c r="N173" s="2378"/>
      <c r="O173" s="2378"/>
      <c r="P173" s="2378"/>
      <c r="Q173" s="2378"/>
      <c r="R173" s="2378"/>
      <c r="S173" s="2378"/>
      <c r="T173" s="2378"/>
      <c r="U173" s="2378"/>
      <c r="V173" s="2378"/>
      <c r="W173" s="2378"/>
      <c r="X173" s="2378"/>
      <c r="Y173" s="2378"/>
      <c r="Z173" s="2378"/>
      <c r="AA173" s="2378"/>
      <c r="AB173" s="2378"/>
      <c r="AC173" s="2378"/>
      <c r="AF173" s="2368" t="s">
        <v>65</v>
      </c>
      <c r="AG173" s="2368"/>
      <c r="AH173" s="2368"/>
      <c r="AI173" s="2368"/>
      <c r="AJ173" s="2368"/>
      <c r="AK173" s="2368"/>
      <c r="AL173" s="2368"/>
      <c r="AN173" s="439"/>
    </row>
    <row r="174" spans="1:42" s="46" customFormat="1" ht="12.75" customHeight="1">
      <c r="A174" s="183"/>
      <c r="B174" s="161"/>
      <c r="C174" s="202"/>
      <c r="D174" s="144"/>
      <c r="E174" s="2378"/>
      <c r="F174" s="2378"/>
      <c r="G174" s="2378"/>
      <c r="H174" s="2378"/>
      <c r="I174" s="2378"/>
      <c r="J174" s="2378"/>
      <c r="K174" s="2378"/>
      <c r="L174" s="2378"/>
      <c r="M174" s="2378"/>
      <c r="N174" s="2378"/>
      <c r="O174" s="2378"/>
      <c r="P174" s="2378"/>
      <c r="Q174" s="2378"/>
      <c r="R174" s="2378"/>
      <c r="S174" s="2378"/>
      <c r="T174" s="2378"/>
      <c r="U174" s="2378"/>
      <c r="V174" s="2378"/>
      <c r="W174" s="2378"/>
      <c r="X174" s="2378"/>
      <c r="Y174" s="2378"/>
      <c r="Z174" s="2378"/>
      <c r="AA174" s="2378"/>
      <c r="AB174" s="2378"/>
      <c r="AC174" s="2378"/>
      <c r="AE174" s="179"/>
      <c r="AF174" s="179"/>
      <c r="AG174" s="179"/>
      <c r="AH174" s="179"/>
      <c r="AI174" s="179"/>
      <c r="AJ174" s="179"/>
      <c r="AK174" s="179"/>
      <c r="AL174" s="1295"/>
      <c r="AM174" s="203"/>
      <c r="AN174" s="439"/>
    </row>
    <row r="175" spans="1:42" s="46" customFormat="1" ht="12.75" customHeight="1">
      <c r="A175" s="183"/>
      <c r="B175" s="161"/>
      <c r="C175" s="202"/>
      <c r="D175" s="144"/>
      <c r="E175" s="2378"/>
      <c r="F175" s="2378"/>
      <c r="G175" s="2378"/>
      <c r="H175" s="2378"/>
      <c r="I175" s="2378"/>
      <c r="J175" s="2378"/>
      <c r="K175" s="2378"/>
      <c r="L175" s="2378"/>
      <c r="M175" s="2378"/>
      <c r="N175" s="2378"/>
      <c r="O175" s="2378"/>
      <c r="P175" s="2378"/>
      <c r="Q175" s="2378"/>
      <c r="R175" s="2378"/>
      <c r="S175" s="2378"/>
      <c r="T175" s="2378"/>
      <c r="U175" s="2378"/>
      <c r="V175" s="2378"/>
      <c r="W175" s="2378"/>
      <c r="X175" s="2378"/>
      <c r="Y175" s="2378"/>
      <c r="Z175" s="2378"/>
      <c r="AA175" s="2378"/>
      <c r="AB175" s="2378"/>
      <c r="AC175" s="2378"/>
      <c r="AE175" s="179"/>
      <c r="AF175" s="179"/>
      <c r="AG175" s="179"/>
      <c r="AH175" s="179"/>
      <c r="AI175" s="179"/>
      <c r="AJ175" s="179"/>
      <c r="AK175" s="179"/>
      <c r="AL175" s="1295"/>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5"/>
      <c r="AM176" s="203"/>
      <c r="AN176" s="439"/>
    </row>
    <row r="177" spans="1:42" s="46" customFormat="1" ht="12.75" customHeight="1">
      <c r="A177" s="28"/>
      <c r="B177" s="161"/>
      <c r="C177" s="188"/>
      <c r="D177" s="144" t="s">
        <v>799</v>
      </c>
      <c r="E177" s="2378" t="s">
        <v>1933</v>
      </c>
      <c r="F177" s="2378"/>
      <c r="G177" s="2378"/>
      <c r="H177" s="2378"/>
      <c r="I177" s="2378"/>
      <c r="J177" s="2378"/>
      <c r="K177" s="2378"/>
      <c r="L177" s="2378"/>
      <c r="M177" s="2378"/>
      <c r="N177" s="2378"/>
      <c r="O177" s="2378"/>
      <c r="P177" s="2378"/>
      <c r="Q177" s="2378"/>
      <c r="R177" s="2378"/>
      <c r="S177" s="2378"/>
      <c r="T177" s="2378"/>
      <c r="U177" s="2378"/>
      <c r="V177" s="2378"/>
      <c r="W177" s="2378"/>
      <c r="X177" s="2378"/>
      <c r="Y177" s="2378"/>
      <c r="Z177" s="2378"/>
      <c r="AA177" s="2378"/>
      <c r="AB177" s="2378"/>
      <c r="AC177" s="2378"/>
      <c r="AF177" s="2368" t="s">
        <v>66</v>
      </c>
      <c r="AG177" s="2368"/>
      <c r="AH177" s="2368"/>
      <c r="AI177" s="2368"/>
      <c r="AJ177" s="2368"/>
      <c r="AK177" s="2368"/>
      <c r="AL177" s="2368"/>
      <c r="AM177" s="203"/>
      <c r="AN177" s="439"/>
    </row>
    <row r="178" spans="1:42" s="46" customFormat="1" ht="12.75" customHeight="1">
      <c r="A178" s="28"/>
      <c r="B178" s="161"/>
      <c r="C178" s="188"/>
      <c r="D178" s="144"/>
      <c r="E178" s="2378"/>
      <c r="F178" s="2378"/>
      <c r="G178" s="2378"/>
      <c r="H178" s="2378"/>
      <c r="I178" s="2378"/>
      <c r="J178" s="2378"/>
      <c r="K178" s="2378"/>
      <c r="L178" s="2378"/>
      <c r="M178" s="2378"/>
      <c r="N178" s="2378"/>
      <c r="O178" s="2378"/>
      <c r="P178" s="2378"/>
      <c r="Q178" s="2378"/>
      <c r="R178" s="2378"/>
      <c r="S178" s="2378"/>
      <c r="T178" s="2378"/>
      <c r="U178" s="2378"/>
      <c r="V178" s="2378"/>
      <c r="W178" s="2378"/>
      <c r="X178" s="2378"/>
      <c r="Y178" s="2378"/>
      <c r="Z178" s="2378"/>
      <c r="AA178" s="2378"/>
      <c r="AB178" s="2378"/>
      <c r="AC178" s="2378"/>
      <c r="AE178" s="153"/>
      <c r="AF178" s="74"/>
      <c r="AH178" s="153"/>
      <c r="AI178" s="153"/>
      <c r="AJ178" s="153"/>
      <c r="AK178" s="153"/>
      <c r="AL178" s="153"/>
      <c r="AM178" s="203"/>
      <c r="AN178" s="439"/>
    </row>
    <row r="179" spans="1:42" s="46" customFormat="1" ht="12.75" customHeight="1">
      <c r="A179" s="28"/>
      <c r="B179" s="161"/>
      <c r="C179" s="188"/>
      <c r="D179" s="144"/>
      <c r="E179" s="2378"/>
      <c r="F179" s="2378"/>
      <c r="G179" s="2378"/>
      <c r="H179" s="2378"/>
      <c r="I179" s="2378"/>
      <c r="J179" s="2378"/>
      <c r="K179" s="2378"/>
      <c r="L179" s="2378"/>
      <c r="M179" s="2378"/>
      <c r="N179" s="2378"/>
      <c r="O179" s="2378"/>
      <c r="P179" s="2378"/>
      <c r="Q179" s="2378"/>
      <c r="R179" s="2378"/>
      <c r="S179" s="2378"/>
      <c r="T179" s="2378"/>
      <c r="U179" s="2378"/>
      <c r="V179" s="2378"/>
      <c r="W179" s="2378"/>
      <c r="X179" s="2378"/>
      <c r="Y179" s="2378"/>
      <c r="Z179" s="2378"/>
      <c r="AA179" s="2378"/>
      <c r="AB179" s="2378"/>
      <c r="AC179" s="237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2"/>
    </row>
    <row r="181" spans="1:42" s="46" customFormat="1" ht="12.75" customHeight="1">
      <c r="A181" s="195"/>
      <c r="B181" s="74"/>
      <c r="C181" s="77"/>
      <c r="D181" s="144" t="s">
        <v>308</v>
      </c>
      <c r="E181" s="2378" t="s">
        <v>1650</v>
      </c>
      <c r="F181" s="2378"/>
      <c r="G181" s="2378"/>
      <c r="H181" s="2378"/>
      <c r="I181" s="2378"/>
      <c r="J181" s="2378"/>
      <c r="K181" s="2378"/>
      <c r="L181" s="2378"/>
      <c r="M181" s="2378"/>
      <c r="N181" s="2378"/>
      <c r="O181" s="2378"/>
      <c r="P181" s="2378"/>
      <c r="Q181" s="2378"/>
      <c r="R181" s="2378"/>
      <c r="S181" s="2378"/>
      <c r="T181" s="2378"/>
      <c r="U181" s="2378"/>
      <c r="V181" s="2378"/>
      <c r="W181" s="2378"/>
      <c r="X181" s="2378"/>
      <c r="Y181" s="2378"/>
      <c r="Z181" s="2378"/>
      <c r="AA181" s="2378"/>
      <c r="AB181" s="2378"/>
      <c r="AC181" s="2378"/>
      <c r="AF181" s="2368" t="s">
        <v>114</v>
      </c>
      <c r="AG181" s="2368"/>
      <c r="AH181" s="2368"/>
      <c r="AI181" s="2368"/>
      <c r="AJ181" s="2368"/>
      <c r="AK181" s="2368"/>
      <c r="AL181" s="2368"/>
      <c r="AM181" s="203"/>
      <c r="AN181" s="439"/>
    </row>
    <row r="182" spans="1:42" s="46" customFormat="1" ht="22.9" customHeight="1">
      <c r="A182" s="195"/>
      <c r="B182" s="74"/>
      <c r="C182" s="77"/>
      <c r="D182" s="144"/>
      <c r="E182" s="2378"/>
      <c r="F182" s="2378"/>
      <c r="G182" s="2378"/>
      <c r="H182" s="2378"/>
      <c r="I182" s="2378"/>
      <c r="J182" s="2378"/>
      <c r="K182" s="2378"/>
      <c r="L182" s="2378"/>
      <c r="M182" s="2378"/>
      <c r="N182" s="2378"/>
      <c r="O182" s="2378"/>
      <c r="P182" s="2378"/>
      <c r="Q182" s="2378"/>
      <c r="R182" s="2378"/>
      <c r="S182" s="2378"/>
      <c r="T182" s="2378"/>
      <c r="U182" s="2378"/>
      <c r="V182" s="2378"/>
      <c r="W182" s="2378"/>
      <c r="X182" s="2378"/>
      <c r="Y182" s="2378"/>
      <c r="Z182" s="2378"/>
      <c r="AA182" s="2378"/>
      <c r="AB182" s="2378"/>
      <c r="AC182" s="2378"/>
      <c r="AE182" s="179"/>
      <c r="AF182" s="179"/>
      <c r="AG182" s="179"/>
      <c r="AH182" s="179"/>
      <c r="AI182" s="179"/>
      <c r="AJ182" s="179"/>
      <c r="AK182" s="179"/>
      <c r="AL182" s="1295"/>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8" t="s">
        <v>1651</v>
      </c>
      <c r="F184" s="2378"/>
      <c r="G184" s="2378"/>
      <c r="H184" s="2378"/>
      <c r="I184" s="2378"/>
      <c r="J184" s="2378"/>
      <c r="K184" s="2378"/>
      <c r="L184" s="2378"/>
      <c r="M184" s="2378"/>
      <c r="N184" s="2378"/>
      <c r="O184" s="2378"/>
      <c r="P184" s="2378"/>
      <c r="Q184" s="2378"/>
      <c r="R184" s="2378"/>
      <c r="S184" s="2378"/>
      <c r="T184" s="2378"/>
      <c r="U184" s="2378"/>
      <c r="V184" s="2378"/>
      <c r="W184" s="2378"/>
      <c r="X184" s="2378"/>
      <c r="Y184" s="2378"/>
      <c r="Z184" s="2378"/>
      <c r="AA184" s="2378"/>
      <c r="AB184" s="2378"/>
      <c r="AC184" s="2378"/>
      <c r="AF184" s="2368" t="s">
        <v>354</v>
      </c>
      <c r="AG184" s="2368"/>
      <c r="AH184" s="2368"/>
      <c r="AI184" s="2368"/>
      <c r="AJ184" s="2368"/>
      <c r="AK184" s="2368"/>
      <c r="AL184" s="2368"/>
      <c r="AM184" s="203"/>
      <c r="AN184" s="439"/>
      <c r="AO184" s="144" t="s">
        <v>641</v>
      </c>
      <c r="AP184" s="46">
        <v>3</v>
      </c>
    </row>
    <row r="185" spans="1:42" s="46" customFormat="1" ht="22.9" customHeight="1">
      <c r="A185" s="195"/>
      <c r="B185" s="74"/>
      <c r="C185" s="77"/>
      <c r="D185" s="144"/>
      <c r="E185" s="2378"/>
      <c r="F185" s="2378"/>
      <c r="G185" s="2378"/>
      <c r="H185" s="2378"/>
      <c r="I185" s="2378"/>
      <c r="J185" s="2378"/>
      <c r="K185" s="2378"/>
      <c r="L185" s="2378"/>
      <c r="M185" s="2378"/>
      <c r="N185" s="2378"/>
      <c r="O185" s="2378"/>
      <c r="P185" s="2378"/>
      <c r="Q185" s="2378"/>
      <c r="R185" s="2378"/>
      <c r="S185" s="2378"/>
      <c r="T185" s="2378"/>
      <c r="U185" s="2378"/>
      <c r="V185" s="2378"/>
      <c r="W185" s="2378"/>
      <c r="X185" s="2378"/>
      <c r="Y185" s="2378"/>
      <c r="Z185" s="2378"/>
      <c r="AA185" s="2378"/>
      <c r="AB185" s="2378"/>
      <c r="AC185" s="2378"/>
      <c r="AE185" s="179"/>
      <c r="AF185" s="179"/>
      <c r="AG185" s="179"/>
      <c r="AH185" s="179"/>
      <c r="AI185" s="179"/>
      <c r="AJ185" s="179"/>
      <c r="AK185" s="179"/>
      <c r="AL185" s="1295"/>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5"/>
      <c r="AM186" s="203"/>
      <c r="AN186" s="439"/>
    </row>
    <row r="187" spans="1:42" s="46" customFormat="1" ht="12.75" customHeight="1">
      <c r="A187" s="195"/>
      <c r="B187" s="74"/>
      <c r="C187" s="77"/>
      <c r="D187" s="28" t="s">
        <v>163</v>
      </c>
      <c r="E187" s="190"/>
      <c r="F187" s="190"/>
      <c r="G187" s="190"/>
      <c r="H187" s="2377" t="s">
        <v>641</v>
      </c>
      <c r="I187" s="237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5">
        <f>VLOOKUP($H$187,$AO$137:$AP$144,2,FALSE)</f>
        <v>5</v>
      </c>
      <c r="AK189" s="236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8" t="s">
        <v>2235</v>
      </c>
      <c r="F193" s="2378"/>
      <c r="G193" s="2378"/>
      <c r="H193" s="2378"/>
      <c r="I193" s="2378"/>
      <c r="J193" s="2378"/>
      <c r="K193" s="2378"/>
      <c r="L193" s="2378"/>
      <c r="M193" s="2378"/>
      <c r="N193" s="2378"/>
      <c r="O193" s="2378"/>
      <c r="P193" s="2378"/>
      <c r="Q193" s="2378"/>
      <c r="R193" s="2378"/>
      <c r="S193" s="2378"/>
      <c r="T193" s="2378"/>
      <c r="U193" s="2378"/>
      <c r="V193" s="2378"/>
      <c r="W193" s="2378"/>
      <c r="X193" s="2378"/>
      <c r="Y193" s="2378"/>
      <c r="Z193" s="2378"/>
      <c r="AA193" s="2378"/>
      <c r="AB193" s="2378"/>
      <c r="AC193" s="46"/>
      <c r="AD193" s="46"/>
      <c r="AF193" s="2368" t="s">
        <v>66</v>
      </c>
      <c r="AG193" s="2368"/>
      <c r="AH193" s="2368"/>
      <c r="AI193" s="2368"/>
      <c r="AJ193" s="2368"/>
      <c r="AK193" s="2368"/>
      <c r="AL193" s="2368"/>
      <c r="AM193" s="153"/>
      <c r="AN193" s="1132"/>
    </row>
    <row r="194" spans="1:42" s="137" customFormat="1" ht="12.75" customHeight="1">
      <c r="A194" s="28"/>
      <c r="B194" s="161"/>
      <c r="C194" s="196"/>
      <c r="D194" s="144"/>
      <c r="E194" s="2378"/>
      <c r="F194" s="2378"/>
      <c r="G194" s="2378"/>
      <c r="H194" s="2378"/>
      <c r="I194" s="2378"/>
      <c r="J194" s="2378"/>
      <c r="K194" s="2378"/>
      <c r="L194" s="2378"/>
      <c r="M194" s="2378"/>
      <c r="N194" s="2378"/>
      <c r="O194" s="2378"/>
      <c r="P194" s="2378"/>
      <c r="Q194" s="2378"/>
      <c r="R194" s="2378"/>
      <c r="S194" s="2378"/>
      <c r="T194" s="2378"/>
      <c r="U194" s="2378"/>
      <c r="V194" s="2378"/>
      <c r="W194" s="2378"/>
      <c r="X194" s="2378"/>
      <c r="Y194" s="2378"/>
      <c r="Z194" s="2378"/>
      <c r="AA194" s="2378"/>
      <c r="AB194" s="2378"/>
      <c r="AC194" s="46"/>
      <c r="AD194" s="46"/>
      <c r="AE194" s="27"/>
      <c r="AM194" s="153"/>
      <c r="AN194" s="1132"/>
      <c r="AO194" s="2597"/>
      <c r="AP194" s="2597"/>
    </row>
    <row r="195" spans="1:42" s="137" customFormat="1" ht="12.75" customHeight="1">
      <c r="A195" s="28"/>
      <c r="B195" s="161"/>
      <c r="C195" s="196"/>
      <c r="D195" s="144"/>
      <c r="E195" s="2378"/>
      <c r="F195" s="2378"/>
      <c r="G195" s="2378"/>
      <c r="H195" s="2378"/>
      <c r="I195" s="2378"/>
      <c r="J195" s="2378"/>
      <c r="K195" s="2378"/>
      <c r="L195" s="2378"/>
      <c r="M195" s="2378"/>
      <c r="N195" s="2378"/>
      <c r="O195" s="2378"/>
      <c r="P195" s="2378"/>
      <c r="Q195" s="2378"/>
      <c r="R195" s="2378"/>
      <c r="S195" s="2378"/>
      <c r="T195" s="2378"/>
      <c r="U195" s="2378"/>
      <c r="V195" s="2378"/>
      <c r="W195" s="2378"/>
      <c r="X195" s="2378"/>
      <c r="Y195" s="2378"/>
      <c r="Z195" s="2378"/>
      <c r="AA195" s="2378"/>
      <c r="AB195" s="2378"/>
      <c r="AC195" s="46"/>
      <c r="AD195" s="46"/>
      <c r="AE195" s="27"/>
      <c r="AF195" s="173"/>
      <c r="AG195" s="27"/>
      <c r="AH195" s="27"/>
      <c r="AI195" s="27"/>
      <c r="AJ195" s="27"/>
      <c r="AK195" s="27"/>
      <c r="AL195" s="27"/>
      <c r="AM195" s="153"/>
      <c r="AN195" s="1132"/>
    </row>
    <row r="196" spans="1:42" s="46" customFormat="1" ht="12.75" customHeight="1">
      <c r="A196" s="28"/>
      <c r="B196" s="161"/>
      <c r="C196" s="196"/>
      <c r="D196" s="144"/>
      <c r="E196" s="2378"/>
      <c r="F196" s="2378"/>
      <c r="G196" s="2378"/>
      <c r="H196" s="2378"/>
      <c r="I196" s="2378"/>
      <c r="J196" s="2378"/>
      <c r="K196" s="2378"/>
      <c r="L196" s="2378"/>
      <c r="M196" s="2378"/>
      <c r="N196" s="2378"/>
      <c r="O196" s="2378"/>
      <c r="P196" s="2378"/>
      <c r="Q196" s="2378"/>
      <c r="R196" s="2378"/>
      <c r="S196" s="2378"/>
      <c r="T196" s="2378"/>
      <c r="U196" s="2378"/>
      <c r="V196" s="2378"/>
      <c r="W196" s="2378"/>
      <c r="X196" s="2378"/>
      <c r="Y196" s="2378"/>
      <c r="Z196" s="2378"/>
      <c r="AA196" s="2378"/>
      <c r="AB196" s="237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8" t="s">
        <v>2236</v>
      </c>
      <c r="F198" s="2378"/>
      <c r="G198" s="2378"/>
      <c r="H198" s="2378"/>
      <c r="I198" s="2378"/>
      <c r="J198" s="2378"/>
      <c r="K198" s="2378"/>
      <c r="L198" s="2378"/>
      <c r="M198" s="2378"/>
      <c r="N198" s="2378"/>
      <c r="O198" s="2378"/>
      <c r="P198" s="2378"/>
      <c r="Q198" s="2378"/>
      <c r="R198" s="2378"/>
      <c r="S198" s="2378"/>
      <c r="T198" s="2378"/>
      <c r="U198" s="2378"/>
      <c r="V198" s="2378"/>
      <c r="W198" s="2378"/>
      <c r="X198" s="2378"/>
      <c r="Y198" s="2378"/>
      <c r="Z198" s="2378"/>
      <c r="AA198" s="2378"/>
      <c r="AB198" s="2378"/>
      <c r="AF198" s="2368" t="s">
        <v>114</v>
      </c>
      <c r="AG198" s="2368"/>
      <c r="AH198" s="2368"/>
      <c r="AI198" s="2368"/>
      <c r="AJ198" s="2368"/>
      <c r="AK198" s="2368"/>
      <c r="AL198" s="2368"/>
      <c r="AM198" s="153"/>
      <c r="AN198" s="439"/>
      <c r="AO198" s="144" t="s">
        <v>214</v>
      </c>
      <c r="AP198" s="46">
        <v>1</v>
      </c>
    </row>
    <row r="199" spans="1:42" s="46" customFormat="1" ht="12.75" customHeight="1">
      <c r="A199" s="153"/>
      <c r="B199" s="8"/>
      <c r="C199" s="204"/>
      <c r="E199" s="2378"/>
      <c r="F199" s="2378"/>
      <c r="G199" s="2378"/>
      <c r="H199" s="2378"/>
      <c r="I199" s="2378"/>
      <c r="J199" s="2378"/>
      <c r="K199" s="2378"/>
      <c r="L199" s="2378"/>
      <c r="M199" s="2378"/>
      <c r="N199" s="2378"/>
      <c r="O199" s="2378"/>
      <c r="P199" s="2378"/>
      <c r="Q199" s="2378"/>
      <c r="R199" s="2378"/>
      <c r="S199" s="2378"/>
      <c r="T199" s="2378"/>
      <c r="U199" s="2378"/>
      <c r="V199" s="2378"/>
      <c r="W199" s="2378"/>
      <c r="X199" s="2378"/>
      <c r="Y199" s="2378"/>
      <c r="Z199" s="2378"/>
      <c r="AA199" s="2378"/>
      <c r="AB199" s="2378"/>
      <c r="AD199" s="8"/>
      <c r="AE199" s="27"/>
      <c r="AM199" s="153"/>
      <c r="AN199" s="439"/>
    </row>
    <row r="200" spans="1:42" s="46" customFormat="1" ht="12.75" customHeight="1">
      <c r="A200" s="153"/>
      <c r="B200" s="8"/>
      <c r="C200" s="204"/>
      <c r="E200" s="2378"/>
      <c r="F200" s="2378"/>
      <c r="G200" s="2378"/>
      <c r="H200" s="2378"/>
      <c r="I200" s="2378"/>
      <c r="J200" s="2378"/>
      <c r="K200" s="2378"/>
      <c r="L200" s="2378"/>
      <c r="M200" s="2378"/>
      <c r="N200" s="2378"/>
      <c r="O200" s="2378"/>
      <c r="P200" s="2378"/>
      <c r="Q200" s="2378"/>
      <c r="R200" s="2378"/>
      <c r="S200" s="2378"/>
      <c r="T200" s="2378"/>
      <c r="U200" s="2378"/>
      <c r="V200" s="2378"/>
      <c r="W200" s="2378"/>
      <c r="X200" s="2378"/>
      <c r="Y200" s="2378"/>
      <c r="Z200" s="2378"/>
      <c r="AA200" s="2378"/>
      <c r="AB200" s="2378"/>
      <c r="AD200" s="8"/>
      <c r="AE200" s="27"/>
      <c r="AM200" s="153"/>
      <c r="AN200" s="439"/>
    </row>
    <row r="201" spans="1:42" s="16" customFormat="1" ht="12.75" customHeight="1">
      <c r="A201" s="153"/>
      <c r="B201" s="8"/>
      <c r="C201" s="204"/>
      <c r="D201" s="46"/>
      <c r="E201" s="2378"/>
      <c r="F201" s="2378"/>
      <c r="G201" s="2378"/>
      <c r="H201" s="2378"/>
      <c r="I201" s="2378"/>
      <c r="J201" s="2378"/>
      <c r="K201" s="2378"/>
      <c r="L201" s="2378"/>
      <c r="M201" s="2378"/>
      <c r="N201" s="2378"/>
      <c r="O201" s="2378"/>
      <c r="P201" s="2378"/>
      <c r="Q201" s="2378"/>
      <c r="R201" s="2378"/>
      <c r="S201" s="2378"/>
      <c r="T201" s="2378"/>
      <c r="U201" s="2378"/>
      <c r="V201" s="2378"/>
      <c r="W201" s="2378"/>
      <c r="X201" s="2378"/>
      <c r="Y201" s="2378"/>
      <c r="Z201" s="2378"/>
      <c r="AA201" s="2378"/>
      <c r="AB201" s="237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76"/>
      <c r="F202" s="1376"/>
      <c r="G202" s="1376"/>
      <c r="H202" s="1376"/>
      <c r="I202" s="1376"/>
      <c r="J202" s="1376"/>
      <c r="K202" s="1376"/>
      <c r="L202" s="1376"/>
      <c r="M202" s="1376"/>
      <c r="N202" s="1376"/>
      <c r="O202" s="1376"/>
      <c r="P202" s="1376"/>
      <c r="Q202" s="1376"/>
      <c r="R202" s="1376"/>
      <c r="S202" s="1376"/>
      <c r="T202" s="1376"/>
      <c r="U202" s="1376"/>
      <c r="V202" s="1376"/>
      <c r="W202" s="1376"/>
      <c r="X202" s="1376"/>
      <c r="Y202" s="1376"/>
      <c r="Z202" s="1376"/>
      <c r="AA202" s="1376"/>
      <c r="AB202" s="1376"/>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40" t="s">
        <v>2237</v>
      </c>
      <c r="F203" s="2340"/>
      <c r="G203" s="2340"/>
      <c r="H203" s="2340"/>
      <c r="I203" s="2340"/>
      <c r="J203" s="2340"/>
      <c r="K203" s="2340"/>
      <c r="L203" s="2340"/>
      <c r="M203" s="2340"/>
      <c r="N203" s="2340"/>
      <c r="O203" s="2340"/>
      <c r="P203" s="2340"/>
      <c r="Q203" s="2340"/>
      <c r="R203" s="2340"/>
      <c r="S203" s="2340"/>
      <c r="T203" s="2340"/>
      <c r="U203" s="2340"/>
      <c r="V203" s="2340"/>
      <c r="W203" s="2340"/>
      <c r="X203" s="2340"/>
      <c r="Y203" s="2340"/>
      <c r="Z203" s="2340"/>
      <c r="AA203" s="2340"/>
      <c r="AB203" s="2340"/>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40"/>
      <c r="F204" s="2340"/>
      <c r="G204" s="2340"/>
      <c r="H204" s="2340"/>
      <c r="I204" s="2340"/>
      <c r="J204" s="2340"/>
      <c r="K204" s="2340"/>
      <c r="L204" s="2340"/>
      <c r="M204" s="2340"/>
      <c r="N204" s="2340"/>
      <c r="O204" s="2340"/>
      <c r="P204" s="2340"/>
      <c r="Q204" s="2340"/>
      <c r="R204" s="2340"/>
      <c r="S204" s="2340"/>
      <c r="T204" s="2340"/>
      <c r="U204" s="2340"/>
      <c r="V204" s="2340"/>
      <c r="W204" s="2340"/>
      <c r="X204" s="2340"/>
      <c r="Y204" s="2340"/>
      <c r="Z204" s="2340"/>
      <c r="AA204" s="2340"/>
      <c r="AB204" s="2340"/>
      <c r="AC204" s="46"/>
      <c r="AD204" s="8"/>
      <c r="AE204" s="27"/>
      <c r="AF204" s="27"/>
      <c r="AG204" s="27"/>
      <c r="AH204" s="27"/>
      <c r="AI204" s="27"/>
      <c r="AJ204" s="46"/>
      <c r="AK204" s="153"/>
      <c r="AL204" s="153"/>
      <c r="AM204" s="153"/>
      <c r="AN204" s="317"/>
    </row>
    <row r="205" spans="1:42" s="16" customFormat="1" ht="18" customHeight="1">
      <c r="A205" s="153"/>
      <c r="B205" s="8"/>
      <c r="C205" s="204"/>
      <c r="D205" s="46"/>
      <c r="E205" s="2340"/>
      <c r="F205" s="2340"/>
      <c r="G205" s="2340"/>
      <c r="H205" s="2340"/>
      <c r="I205" s="2340"/>
      <c r="J205" s="2340"/>
      <c r="K205" s="2340"/>
      <c r="L205" s="2340"/>
      <c r="M205" s="2340"/>
      <c r="N205" s="2340"/>
      <c r="O205" s="2340"/>
      <c r="P205" s="2340"/>
      <c r="Q205" s="2340"/>
      <c r="R205" s="2340"/>
      <c r="S205" s="2340"/>
      <c r="T205" s="2340"/>
      <c r="U205" s="2340"/>
      <c r="V205" s="2340"/>
      <c r="W205" s="2340"/>
      <c r="X205" s="2340"/>
      <c r="Y205" s="2340"/>
      <c r="Z205" s="2340"/>
      <c r="AA205" s="2340"/>
      <c r="AB205" s="2340"/>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7" t="s">
        <v>136</v>
      </c>
      <c r="I206" s="237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5">
        <f>VLOOKUP($H$206,$AO$156:$AP$158,2,FALSE)</f>
        <v>0</v>
      </c>
      <c r="AK208" s="236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6" t="s">
        <v>1387</v>
      </c>
      <c r="F212" s="2526"/>
      <c r="G212" s="2526"/>
      <c r="H212" s="2526"/>
      <c r="I212" s="2526"/>
      <c r="J212" s="2526"/>
      <c r="K212" s="2526"/>
      <c r="L212" s="2526"/>
      <c r="M212" s="2526"/>
      <c r="N212" s="2526"/>
      <c r="O212" s="2526"/>
      <c r="P212" s="2526"/>
      <c r="Q212" s="2526"/>
      <c r="R212" s="2526"/>
      <c r="S212" s="2526"/>
      <c r="T212" s="2526"/>
      <c r="U212" s="2526"/>
      <c r="V212" s="2526"/>
      <c r="W212" s="2526"/>
      <c r="X212" s="2526"/>
      <c r="Y212" s="2526"/>
      <c r="Z212" s="2526"/>
      <c r="AA212" s="2526"/>
      <c r="AB212" s="2526"/>
      <c r="AC212" s="46"/>
      <c r="AD212" s="46"/>
      <c r="AF212" s="2368" t="s">
        <v>66</v>
      </c>
      <c r="AG212" s="2368"/>
      <c r="AH212" s="2368"/>
      <c r="AI212" s="2368"/>
      <c r="AJ212" s="2368"/>
      <c r="AK212" s="2368"/>
      <c r="AL212" s="2368"/>
      <c r="AM212" s="153"/>
      <c r="AN212" s="317"/>
      <c r="AP212" s="50" t="s">
        <v>109</v>
      </c>
    </row>
    <row r="213" spans="1:52" s="16" customFormat="1" ht="11.85" customHeight="1">
      <c r="A213" s="28"/>
      <c r="B213" s="161"/>
      <c r="C213" s="187"/>
      <c r="D213" s="144"/>
      <c r="E213" s="2526"/>
      <c r="F213" s="2526"/>
      <c r="G213" s="2526"/>
      <c r="H213" s="2526"/>
      <c r="I213" s="2526"/>
      <c r="J213" s="2526"/>
      <c r="K213" s="2526"/>
      <c r="L213" s="2526"/>
      <c r="M213" s="2526"/>
      <c r="N213" s="2526"/>
      <c r="O213" s="2526"/>
      <c r="P213" s="2526"/>
      <c r="Q213" s="2526"/>
      <c r="R213" s="2526"/>
      <c r="S213" s="2526"/>
      <c r="T213" s="2526"/>
      <c r="U213" s="2526"/>
      <c r="V213" s="2526"/>
      <c r="W213" s="2526"/>
      <c r="X213" s="2526"/>
      <c r="Y213" s="2526"/>
      <c r="Z213" s="2526"/>
      <c r="AA213" s="2526"/>
      <c r="AB213" s="2526"/>
      <c r="AC213" s="46"/>
      <c r="AD213" s="46"/>
      <c r="AE213" s="28"/>
      <c r="AM213" s="153"/>
      <c r="AN213" s="317"/>
      <c r="AP213" s="50" t="s">
        <v>106</v>
      </c>
    </row>
    <row r="214" spans="1:52" s="16" customFormat="1" ht="13.9" customHeight="1">
      <c r="A214" s="28"/>
      <c r="B214" s="148"/>
      <c r="C214" s="188"/>
      <c r="D214" s="144"/>
      <c r="E214" s="2526"/>
      <c r="F214" s="2526"/>
      <c r="G214" s="2526"/>
      <c r="H214" s="2526"/>
      <c r="I214" s="2526"/>
      <c r="J214" s="2526"/>
      <c r="K214" s="2526"/>
      <c r="L214" s="2526"/>
      <c r="M214" s="2526"/>
      <c r="N214" s="2526"/>
      <c r="O214" s="2526"/>
      <c r="P214" s="2526"/>
      <c r="Q214" s="2526"/>
      <c r="R214" s="2526"/>
      <c r="S214" s="2526"/>
      <c r="T214" s="2526"/>
      <c r="U214" s="2526"/>
      <c r="V214" s="2526"/>
      <c r="W214" s="2526"/>
      <c r="X214" s="2526"/>
      <c r="Y214" s="2526"/>
      <c r="Z214" s="2526"/>
      <c r="AA214" s="2526"/>
      <c r="AB214" s="2526"/>
      <c r="AC214" s="46"/>
      <c r="AD214" s="46"/>
      <c r="AE214" s="27"/>
      <c r="AM214" s="153"/>
      <c r="AN214" s="317"/>
      <c r="AP214" s="50" t="s">
        <v>107</v>
      </c>
    </row>
    <row r="215" spans="1:52" s="16" customFormat="1" ht="13.9" customHeight="1">
      <c r="A215" s="28"/>
      <c r="B215" s="74"/>
      <c r="C215" s="77"/>
      <c r="D215" s="144" t="s">
        <v>214</v>
      </c>
      <c r="E215" s="2385" t="s">
        <v>1388</v>
      </c>
      <c r="F215" s="2385"/>
      <c r="G215" s="2385"/>
      <c r="H215" s="2385"/>
      <c r="I215" s="2385"/>
      <c r="J215" s="2385"/>
      <c r="K215" s="2385"/>
      <c r="L215" s="2385"/>
      <c r="M215" s="2385"/>
      <c r="N215" s="2385"/>
      <c r="O215" s="2385"/>
      <c r="P215" s="2385"/>
      <c r="Q215" s="2385"/>
      <c r="R215" s="2385"/>
      <c r="S215" s="2385"/>
      <c r="T215" s="2385"/>
      <c r="U215" s="2385"/>
      <c r="V215" s="2385"/>
      <c r="W215" s="2385"/>
      <c r="X215" s="2385"/>
      <c r="Y215" s="2385"/>
      <c r="Z215" s="2385"/>
      <c r="AA215" s="2385"/>
      <c r="AB215" s="2385"/>
      <c r="AC215" s="46"/>
      <c r="AD215" s="46"/>
      <c r="AF215" s="2368" t="s">
        <v>114</v>
      </c>
      <c r="AG215" s="2368"/>
      <c r="AH215" s="2368"/>
      <c r="AI215" s="2368"/>
      <c r="AJ215" s="2368"/>
      <c r="AK215" s="2368"/>
      <c r="AL215" s="2368"/>
      <c r="AM215" s="153"/>
      <c r="AN215" s="1134"/>
      <c r="AP215" s="499" t="s">
        <v>389</v>
      </c>
    </row>
    <row r="216" spans="1:52" s="16" customFormat="1" ht="12.75" customHeight="1">
      <c r="A216" s="28"/>
      <c r="B216" s="161"/>
      <c r="C216" s="187"/>
      <c r="D216" s="28"/>
      <c r="E216" s="2385"/>
      <c r="F216" s="2385"/>
      <c r="G216" s="2385"/>
      <c r="H216" s="2385"/>
      <c r="I216" s="2385"/>
      <c r="J216" s="2385"/>
      <c r="K216" s="2385"/>
      <c r="L216" s="2385"/>
      <c r="M216" s="2385"/>
      <c r="N216" s="2385"/>
      <c r="O216" s="2385"/>
      <c r="P216" s="2385"/>
      <c r="Q216" s="2385"/>
      <c r="R216" s="2385"/>
      <c r="S216" s="2385"/>
      <c r="T216" s="2385"/>
      <c r="U216" s="2385"/>
      <c r="V216" s="2385"/>
      <c r="W216" s="2385"/>
      <c r="X216" s="2385"/>
      <c r="Y216" s="2385"/>
      <c r="Z216" s="2385"/>
      <c r="AA216" s="2385"/>
      <c r="AB216" s="2385"/>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85"/>
      <c r="F217" s="2385"/>
      <c r="G217" s="2385"/>
      <c r="H217" s="2385"/>
      <c r="I217" s="2385"/>
      <c r="J217" s="2385"/>
      <c r="K217" s="2385"/>
      <c r="L217" s="2385"/>
      <c r="M217" s="2385"/>
      <c r="N217" s="2385"/>
      <c r="O217" s="2385"/>
      <c r="P217" s="2385"/>
      <c r="Q217" s="2385"/>
      <c r="R217" s="2385"/>
      <c r="S217" s="2385"/>
      <c r="T217" s="2385"/>
      <c r="U217" s="2385"/>
      <c r="V217" s="2385"/>
      <c r="W217" s="2385"/>
      <c r="X217" s="2385"/>
      <c r="Y217" s="2385"/>
      <c r="Z217" s="2385"/>
      <c r="AA217" s="2385"/>
      <c r="AB217" s="2385"/>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7" t="s">
        <v>641</v>
      </c>
      <c r="I218" s="237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5"/>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5">
        <f>VLOOKUP($H$218,$AO$156:$AP$158,2,FALSE)</f>
        <v>3</v>
      </c>
      <c r="AK220" s="2367"/>
      <c r="AL220" s="25"/>
      <c r="AM220" s="137"/>
      <c r="AN220" s="1135"/>
      <c r="AP220" s="2365"/>
      <c r="AQ220" s="236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8" t="s">
        <v>1668</v>
      </c>
      <c r="F224" s="2378"/>
      <c r="G224" s="2378"/>
      <c r="H224" s="2378"/>
      <c r="I224" s="2378"/>
      <c r="J224" s="2378"/>
      <c r="K224" s="2378"/>
      <c r="L224" s="2378"/>
      <c r="M224" s="2378"/>
      <c r="N224" s="2378"/>
      <c r="O224" s="2378"/>
      <c r="P224" s="2378"/>
      <c r="Q224" s="2378"/>
      <c r="R224" s="2378"/>
      <c r="S224" s="2378"/>
      <c r="T224" s="2378"/>
      <c r="U224" s="2378"/>
      <c r="V224" s="2378"/>
      <c r="W224" s="2378"/>
      <c r="X224" s="2378"/>
      <c r="Y224" s="2378"/>
      <c r="Z224" s="2378"/>
      <c r="AA224" s="2378"/>
      <c r="AB224" s="2378"/>
      <c r="AC224" s="46"/>
      <c r="AD224" s="46"/>
      <c r="AF224" s="2368" t="s">
        <v>66</v>
      </c>
      <c r="AG224" s="2368"/>
      <c r="AH224" s="2368"/>
      <c r="AI224" s="2368"/>
      <c r="AJ224" s="2368"/>
      <c r="AK224" s="2368"/>
      <c r="AL224" s="2368"/>
      <c r="AM224" s="153"/>
      <c r="AN224" s="317"/>
      <c r="AT224" s="65"/>
      <c r="AU224" s="65"/>
      <c r="AV224" s="65"/>
      <c r="AW224" s="65"/>
      <c r="AX224" s="65"/>
      <c r="AY224" s="65"/>
      <c r="AZ224" s="65"/>
    </row>
    <row r="225" spans="1:82" s="16" customFormat="1">
      <c r="A225" s="28"/>
      <c r="B225" s="161"/>
      <c r="C225" s="187"/>
      <c r="D225" s="144"/>
      <c r="E225" s="2378"/>
      <c r="F225" s="2378"/>
      <c r="G225" s="2378"/>
      <c r="H225" s="2378"/>
      <c r="I225" s="2378"/>
      <c r="J225" s="2378"/>
      <c r="K225" s="2378"/>
      <c r="L225" s="2378"/>
      <c r="M225" s="2378"/>
      <c r="N225" s="2378"/>
      <c r="O225" s="2378"/>
      <c r="P225" s="2378"/>
      <c r="Q225" s="2378"/>
      <c r="R225" s="2378"/>
      <c r="S225" s="2378"/>
      <c r="T225" s="2378"/>
      <c r="U225" s="2378"/>
      <c r="V225" s="2378"/>
      <c r="W225" s="2378"/>
      <c r="X225" s="2378"/>
      <c r="Y225" s="2378"/>
      <c r="Z225" s="2378"/>
      <c r="AA225" s="2378"/>
      <c r="AB225" s="237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8" t="s">
        <v>981</v>
      </c>
      <c r="F227" s="2378"/>
      <c r="G227" s="2378"/>
      <c r="H227" s="2378"/>
      <c r="I227" s="2378"/>
      <c r="J227" s="2378"/>
      <c r="K227" s="2378"/>
      <c r="L227" s="2378"/>
      <c r="M227" s="2378"/>
      <c r="N227" s="2378"/>
      <c r="O227" s="2378"/>
      <c r="P227" s="2378"/>
      <c r="Q227" s="2378"/>
      <c r="R227" s="2378"/>
      <c r="S227" s="2378"/>
      <c r="T227" s="2378"/>
      <c r="U227" s="2378"/>
      <c r="V227" s="2378"/>
      <c r="W227" s="2378"/>
      <c r="X227" s="2378"/>
      <c r="Y227" s="2378"/>
      <c r="Z227" s="2378"/>
      <c r="AA227" s="2378"/>
      <c r="AB227" s="2378"/>
      <c r="AC227" s="46"/>
      <c r="AD227" s="46"/>
      <c r="AF227" s="2368" t="s">
        <v>114</v>
      </c>
      <c r="AG227" s="2368"/>
      <c r="AH227" s="2368"/>
      <c r="AI227" s="2368"/>
      <c r="AJ227" s="2368"/>
      <c r="AK227" s="2368"/>
      <c r="AL227" s="2368"/>
      <c r="AM227" s="153"/>
      <c r="AN227" s="317"/>
      <c r="AT227" s="65"/>
      <c r="AU227" s="65"/>
      <c r="AV227" s="65"/>
      <c r="AW227" s="65"/>
      <c r="AX227" s="65"/>
      <c r="AY227" s="65"/>
      <c r="AZ227" s="65"/>
    </row>
    <row r="228" spans="1:82" s="16" customFormat="1">
      <c r="A228" s="28"/>
      <c r="B228" s="161"/>
      <c r="C228" s="187"/>
      <c r="D228" s="28"/>
      <c r="E228" s="2378"/>
      <c r="F228" s="2378"/>
      <c r="G228" s="2378"/>
      <c r="H228" s="2378"/>
      <c r="I228" s="2378"/>
      <c r="J228" s="2378"/>
      <c r="K228" s="2378"/>
      <c r="L228" s="2378"/>
      <c r="M228" s="2378"/>
      <c r="N228" s="2378"/>
      <c r="O228" s="2378"/>
      <c r="P228" s="2378"/>
      <c r="Q228" s="2378"/>
      <c r="R228" s="2378"/>
      <c r="S228" s="2378"/>
      <c r="T228" s="2378"/>
      <c r="U228" s="2378"/>
      <c r="V228" s="2378"/>
      <c r="W228" s="2378"/>
      <c r="X228" s="2378"/>
      <c r="Y228" s="2378"/>
      <c r="Z228" s="2378"/>
      <c r="AA228" s="2378"/>
      <c r="AB228" s="237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7" t="s">
        <v>136</v>
      </c>
      <c r="I230" s="237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5">
        <f>VLOOKUP($H$230,$AO$170:$AP$172,2,FALSE)</f>
        <v>0</v>
      </c>
      <c r="AK232" s="236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8" t="s">
        <v>1245</v>
      </c>
      <c r="F236" s="2378"/>
      <c r="G236" s="2378"/>
      <c r="H236" s="2378"/>
      <c r="I236" s="2378"/>
      <c r="J236" s="2378"/>
      <c r="K236" s="2378"/>
      <c r="L236" s="2378"/>
      <c r="M236" s="2378"/>
      <c r="N236" s="2378"/>
      <c r="O236" s="2378"/>
      <c r="P236" s="2378"/>
      <c r="Q236" s="2378"/>
      <c r="R236" s="2378"/>
      <c r="S236" s="2378"/>
      <c r="T236" s="2378"/>
      <c r="U236" s="2378"/>
      <c r="V236" s="2378"/>
      <c r="W236" s="2378"/>
      <c r="X236" s="2378"/>
      <c r="Y236" s="2378"/>
      <c r="Z236" s="2378"/>
      <c r="AA236" s="2378"/>
      <c r="AB236" s="2378"/>
      <c r="AC236" s="46"/>
      <c r="AD236" s="46"/>
      <c r="AF236" s="2368" t="s">
        <v>66</v>
      </c>
      <c r="AG236" s="2368"/>
      <c r="AH236" s="2368"/>
      <c r="AI236" s="2368"/>
      <c r="AJ236" s="2368"/>
      <c r="AK236" s="2368"/>
      <c r="AL236" s="2368"/>
      <c r="AM236" s="153"/>
      <c r="AN236" s="317"/>
      <c r="AT236" s="65"/>
      <c r="AU236" s="65"/>
      <c r="AV236" s="65"/>
      <c r="AW236" s="65"/>
      <c r="AX236" s="65"/>
      <c r="AY236" s="65"/>
      <c r="AZ236" s="65"/>
    </row>
    <row r="237" spans="1:82" s="16" customFormat="1">
      <c r="A237" s="28"/>
      <c r="B237" s="161"/>
      <c r="C237" s="187"/>
      <c r="D237" s="144"/>
      <c r="E237" s="2378"/>
      <c r="F237" s="2378"/>
      <c r="G237" s="2378"/>
      <c r="H237" s="2378"/>
      <c r="I237" s="2378"/>
      <c r="J237" s="2378"/>
      <c r="K237" s="2378"/>
      <c r="L237" s="2378"/>
      <c r="M237" s="2378"/>
      <c r="N237" s="2378"/>
      <c r="O237" s="2378"/>
      <c r="P237" s="2378"/>
      <c r="Q237" s="2378"/>
      <c r="R237" s="2378"/>
      <c r="S237" s="2378"/>
      <c r="T237" s="2378"/>
      <c r="U237" s="2378"/>
      <c r="V237" s="2378"/>
      <c r="W237" s="2378"/>
      <c r="X237" s="2378"/>
      <c r="Y237" s="2378"/>
      <c r="Z237" s="2378"/>
      <c r="AA237" s="2378"/>
      <c r="AB237" s="2378"/>
      <c r="AC237" s="46"/>
      <c r="AD237" s="46"/>
      <c r="AL237" s="153"/>
      <c r="AM237" s="153"/>
      <c r="AN237" s="317"/>
    </row>
    <row r="238" spans="1:82" s="50" customFormat="1" ht="12.75" customHeight="1">
      <c r="A238" s="28"/>
      <c r="B238" s="161"/>
      <c r="C238" s="187"/>
      <c r="D238" s="144"/>
      <c r="E238" s="2378"/>
      <c r="F238" s="2378"/>
      <c r="G238" s="2378"/>
      <c r="H238" s="2378"/>
      <c r="I238" s="2378"/>
      <c r="J238" s="2378"/>
      <c r="K238" s="2378"/>
      <c r="L238" s="2378"/>
      <c r="M238" s="2378"/>
      <c r="N238" s="2378"/>
      <c r="O238" s="2378"/>
      <c r="P238" s="2378"/>
      <c r="Q238" s="2378"/>
      <c r="R238" s="2378"/>
      <c r="S238" s="2378"/>
      <c r="T238" s="2378"/>
      <c r="U238" s="2378"/>
      <c r="V238" s="2378"/>
      <c r="W238" s="2378"/>
      <c r="X238" s="2378"/>
      <c r="Y238" s="2378"/>
      <c r="Z238" s="2378"/>
      <c r="AA238" s="2378"/>
      <c r="AB238" s="2378"/>
      <c r="AC238" s="46"/>
      <c r="AD238" s="46"/>
      <c r="AE238" s="28"/>
      <c r="AF238" s="161"/>
      <c r="AG238" s="153"/>
      <c r="AH238" s="153"/>
      <c r="AI238" s="153"/>
      <c r="AJ238" s="153"/>
      <c r="AK238" s="153"/>
      <c r="AL238" s="153"/>
      <c r="AM238" s="153"/>
      <c r="AN238" s="1136"/>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8" t="s">
        <v>1246</v>
      </c>
      <c r="F240" s="2378"/>
      <c r="G240" s="2378"/>
      <c r="H240" s="2378"/>
      <c r="I240" s="2378"/>
      <c r="J240" s="2378"/>
      <c r="K240" s="2378"/>
      <c r="L240" s="2378"/>
      <c r="M240" s="2378"/>
      <c r="N240" s="2378"/>
      <c r="O240" s="2378"/>
      <c r="P240" s="2378"/>
      <c r="Q240" s="2378"/>
      <c r="R240" s="2378"/>
      <c r="S240" s="2378"/>
      <c r="T240" s="2378"/>
      <c r="U240" s="2378"/>
      <c r="V240" s="2378"/>
      <c r="W240" s="2378"/>
      <c r="X240" s="2378"/>
      <c r="Y240" s="2378"/>
      <c r="Z240" s="2378"/>
      <c r="AA240" s="2378"/>
      <c r="AB240" s="540"/>
      <c r="AC240" s="46"/>
      <c r="AD240" s="46"/>
      <c r="AF240" s="2368" t="s">
        <v>114</v>
      </c>
      <c r="AG240" s="2368"/>
      <c r="AH240" s="2368"/>
      <c r="AI240" s="2368"/>
      <c r="AJ240" s="2368"/>
      <c r="AK240" s="2368"/>
      <c r="AL240" s="2368"/>
      <c r="AM240" s="153"/>
      <c r="AN240" s="317"/>
      <c r="AO240" s="132"/>
      <c r="AP240" s="65"/>
    </row>
    <row r="241" spans="1:74" s="16" customFormat="1">
      <c r="A241" s="28"/>
      <c r="B241" s="74"/>
      <c r="C241" s="77"/>
      <c r="D241" s="28"/>
      <c r="E241" s="2378"/>
      <c r="F241" s="2378"/>
      <c r="G241" s="2378"/>
      <c r="H241" s="2378"/>
      <c r="I241" s="2378"/>
      <c r="J241" s="2378"/>
      <c r="K241" s="2378"/>
      <c r="L241" s="2378"/>
      <c r="M241" s="2378"/>
      <c r="N241" s="2378"/>
      <c r="O241" s="2378"/>
      <c r="P241" s="2378"/>
      <c r="Q241" s="2378"/>
      <c r="R241" s="2378"/>
      <c r="S241" s="2378"/>
      <c r="T241" s="2378"/>
      <c r="U241" s="2378"/>
      <c r="V241" s="2378"/>
      <c r="W241" s="2378"/>
      <c r="X241" s="2378"/>
      <c r="Y241" s="2378"/>
      <c r="Z241" s="2378"/>
      <c r="AA241" s="2378"/>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8"/>
      <c r="F242" s="2378"/>
      <c r="G242" s="2378"/>
      <c r="H242" s="2378"/>
      <c r="I242" s="2378"/>
      <c r="J242" s="2378"/>
      <c r="K242" s="2378"/>
      <c r="L242" s="2378"/>
      <c r="M242" s="2378"/>
      <c r="N242" s="2378"/>
      <c r="O242" s="2378"/>
      <c r="P242" s="2378"/>
      <c r="Q242" s="2378"/>
      <c r="R242" s="2378"/>
      <c r="S242" s="2378"/>
      <c r="T242" s="2378"/>
      <c r="U242" s="2378"/>
      <c r="V242" s="2378"/>
      <c r="W242" s="2378"/>
      <c r="X242" s="2378"/>
      <c r="Y242" s="2378"/>
      <c r="Z242" s="2378"/>
      <c r="AA242" s="2378"/>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7" t="s">
        <v>641</v>
      </c>
      <c r="I244" s="237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27"/>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5">
        <f>VLOOKUP($H$244,$AO$183:$AP$185,2,FALSE)</f>
        <v>3</v>
      </c>
      <c r="AK246" s="2367"/>
      <c r="AL246" s="25"/>
      <c r="AM246" s="137"/>
      <c r="AN246" s="1127"/>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27"/>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27"/>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27"/>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8" t="s">
        <v>353</v>
      </c>
      <c r="F250" s="2378"/>
      <c r="G250" s="2378"/>
      <c r="H250" s="2378"/>
      <c r="I250" s="2378"/>
      <c r="J250" s="2378"/>
      <c r="K250" s="2378"/>
      <c r="L250" s="2378"/>
      <c r="M250" s="2378"/>
      <c r="N250" s="2378"/>
      <c r="O250" s="2378"/>
      <c r="P250" s="2378"/>
      <c r="Q250" s="2378"/>
      <c r="R250" s="2378"/>
      <c r="S250" s="2378"/>
      <c r="T250" s="2378"/>
      <c r="U250" s="2378"/>
      <c r="V250" s="2378"/>
      <c r="W250" s="2378"/>
      <c r="X250" s="2378"/>
      <c r="Y250" s="2378"/>
      <c r="Z250" s="2378"/>
      <c r="AA250" s="2378"/>
      <c r="AB250" s="2378"/>
      <c r="AC250" s="46"/>
      <c r="AD250" s="46"/>
      <c r="AF250" s="2368" t="s">
        <v>114</v>
      </c>
      <c r="AG250" s="2368"/>
      <c r="AH250" s="2368"/>
      <c r="AI250" s="2368"/>
      <c r="AJ250" s="2368"/>
      <c r="AK250" s="2368"/>
      <c r="AL250" s="2368"/>
      <c r="AM250" s="153"/>
      <c r="AN250" s="1127"/>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8"/>
      <c r="F251" s="2378"/>
      <c r="G251" s="2378"/>
      <c r="H251" s="2378"/>
      <c r="I251" s="2378"/>
      <c r="J251" s="2378"/>
      <c r="K251" s="2378"/>
      <c r="L251" s="2378"/>
      <c r="M251" s="2378"/>
      <c r="N251" s="2378"/>
      <c r="O251" s="2378"/>
      <c r="P251" s="2378"/>
      <c r="Q251" s="2378"/>
      <c r="R251" s="2378"/>
      <c r="S251" s="2378"/>
      <c r="T251" s="2378"/>
      <c r="U251" s="2378"/>
      <c r="V251" s="2378"/>
      <c r="W251" s="2378"/>
      <c r="X251" s="2378"/>
      <c r="Y251" s="2378"/>
      <c r="Z251" s="2378"/>
      <c r="AA251" s="2378"/>
      <c r="AB251" s="2378"/>
      <c r="AC251" s="46"/>
      <c r="AD251" s="46"/>
      <c r="AL251" s="153"/>
      <c r="AM251" s="153"/>
      <c r="AN251" s="1127"/>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27"/>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8" t="s">
        <v>1389</v>
      </c>
      <c r="F253" s="2378"/>
      <c r="G253" s="2378"/>
      <c r="H253" s="2378"/>
      <c r="I253" s="2378"/>
      <c r="J253" s="2378"/>
      <c r="K253" s="2378"/>
      <c r="L253" s="2378"/>
      <c r="M253" s="2378"/>
      <c r="N253" s="2378"/>
      <c r="O253" s="2378"/>
      <c r="P253" s="2378"/>
      <c r="Q253" s="2378"/>
      <c r="R253" s="2378"/>
      <c r="S253" s="2378"/>
      <c r="T253" s="2378"/>
      <c r="U253" s="2378"/>
      <c r="V253" s="2378"/>
      <c r="W253" s="2378"/>
      <c r="X253" s="2378"/>
      <c r="Y253" s="2378"/>
      <c r="Z253" s="2378"/>
      <c r="AA253" s="2378"/>
      <c r="AB253" s="2378"/>
      <c r="AC253" s="46"/>
      <c r="AD253" s="46"/>
      <c r="AF253" s="2368" t="s">
        <v>354</v>
      </c>
      <c r="AG253" s="2368"/>
      <c r="AH253" s="2368"/>
      <c r="AI253" s="2368"/>
      <c r="AJ253" s="2368"/>
      <c r="AK253" s="2368"/>
      <c r="AL253" s="2368"/>
      <c r="AM253" s="153"/>
      <c r="AN253" s="1127"/>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8"/>
      <c r="F254" s="2378"/>
      <c r="G254" s="2378"/>
      <c r="H254" s="2378"/>
      <c r="I254" s="2378"/>
      <c r="J254" s="2378"/>
      <c r="K254" s="2378"/>
      <c r="L254" s="2378"/>
      <c r="M254" s="2378"/>
      <c r="N254" s="2378"/>
      <c r="O254" s="2378"/>
      <c r="P254" s="2378"/>
      <c r="Q254" s="2378"/>
      <c r="R254" s="2378"/>
      <c r="S254" s="2378"/>
      <c r="T254" s="2378"/>
      <c r="U254" s="2378"/>
      <c r="V254" s="2378"/>
      <c r="W254" s="2378"/>
      <c r="X254" s="2378"/>
      <c r="Y254" s="2378"/>
      <c r="Z254" s="2378"/>
      <c r="AA254" s="2378"/>
      <c r="AB254" s="2378"/>
      <c r="AC254" s="46"/>
      <c r="AD254" s="46"/>
      <c r="AE254" s="179"/>
      <c r="AM254" s="153"/>
      <c r="AN254" s="1127"/>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27"/>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7" t="s">
        <v>641</v>
      </c>
      <c r="I256" s="237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27"/>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27"/>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5">
        <f>VLOOKUP($H$256,$AO$196:$AP$198,2,FALSE)</f>
        <v>2</v>
      </c>
      <c r="AK258" s="2367"/>
      <c r="AL258" s="25"/>
      <c r="AM258" s="137"/>
      <c r="AN258" s="1127"/>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27"/>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27"/>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8" t="s">
        <v>2233</v>
      </c>
      <c r="F262" s="2378"/>
      <c r="G262" s="2378"/>
      <c r="H262" s="2378"/>
      <c r="I262" s="2378"/>
      <c r="J262" s="2378"/>
      <c r="K262" s="2378"/>
      <c r="L262" s="2378"/>
      <c r="M262" s="2378"/>
      <c r="N262" s="2378"/>
      <c r="O262" s="2378"/>
      <c r="P262" s="2378"/>
      <c r="Q262" s="2378"/>
      <c r="R262" s="2378"/>
      <c r="S262" s="2378"/>
      <c r="T262" s="2378"/>
      <c r="U262" s="2378"/>
      <c r="V262" s="2378"/>
      <c r="W262" s="2378"/>
      <c r="X262" s="2378"/>
      <c r="Y262" s="2378"/>
      <c r="Z262" s="2378"/>
      <c r="AA262" s="2378"/>
      <c r="AB262" s="2378"/>
      <c r="AC262" s="2378"/>
      <c r="AD262" s="2378"/>
      <c r="AF262" s="2368" t="s">
        <v>114</v>
      </c>
      <c r="AG262" s="2368"/>
      <c r="AH262" s="2368"/>
      <c r="AI262" s="2368"/>
      <c r="AJ262" s="2368"/>
      <c r="AK262" s="2368"/>
      <c r="AL262" s="2368"/>
      <c r="AM262" s="175"/>
      <c r="AN262" s="317"/>
    </row>
    <row r="263" spans="1:74" s="16" customFormat="1">
      <c r="A263" s="28"/>
      <c r="B263" s="173"/>
      <c r="C263" s="218"/>
      <c r="D263" s="144"/>
      <c r="E263" s="2378"/>
      <c r="F263" s="2378"/>
      <c r="G263" s="2378"/>
      <c r="H263" s="2378"/>
      <c r="I263" s="2378"/>
      <c r="J263" s="2378"/>
      <c r="K263" s="2378"/>
      <c r="L263" s="2378"/>
      <c r="M263" s="2378"/>
      <c r="N263" s="2378"/>
      <c r="O263" s="2378"/>
      <c r="P263" s="2378"/>
      <c r="Q263" s="2378"/>
      <c r="R263" s="2378"/>
      <c r="S263" s="2378"/>
      <c r="T263" s="2378"/>
      <c r="U263" s="2378"/>
      <c r="V263" s="2378"/>
      <c r="W263" s="2378"/>
      <c r="X263" s="2378"/>
      <c r="Y263" s="2378"/>
      <c r="Z263" s="2378"/>
      <c r="AA263" s="2378"/>
      <c r="AB263" s="2378"/>
      <c r="AC263" s="2378"/>
      <c r="AD263" s="2378"/>
      <c r="AL263" s="1295"/>
      <c r="AM263" s="175"/>
      <c r="AN263" s="1127"/>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8"/>
      <c r="F264" s="2378"/>
      <c r="G264" s="2378"/>
      <c r="H264" s="2378"/>
      <c r="I264" s="2378"/>
      <c r="J264" s="2378"/>
      <c r="K264" s="2378"/>
      <c r="L264" s="2378"/>
      <c r="M264" s="2378"/>
      <c r="N264" s="2378"/>
      <c r="O264" s="2378"/>
      <c r="P264" s="2378"/>
      <c r="Q264" s="2378"/>
      <c r="R264" s="2378"/>
      <c r="S264" s="2378"/>
      <c r="T264" s="2378"/>
      <c r="U264" s="2378"/>
      <c r="V264" s="2378"/>
      <c r="W264" s="2378"/>
      <c r="X264" s="2378"/>
      <c r="Y264" s="2378"/>
      <c r="Z264" s="2378"/>
      <c r="AA264" s="2378"/>
      <c r="AB264" s="2378"/>
      <c r="AC264" s="2378"/>
      <c r="AD264" s="2378"/>
      <c r="AE264" s="179"/>
      <c r="AF264" s="179"/>
      <c r="AG264" s="179"/>
      <c r="AH264" s="179"/>
      <c r="AI264" s="179"/>
      <c r="AJ264" s="179"/>
      <c r="AK264" s="179"/>
      <c r="AL264" s="1295"/>
      <c r="AM264" s="175"/>
      <c r="AN264" s="1127"/>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95" t="s">
        <v>2234</v>
      </c>
      <c r="F266" s="2595"/>
      <c r="G266" s="2595"/>
      <c r="H266" s="2595"/>
      <c r="I266" s="2595"/>
      <c r="J266" s="2595"/>
      <c r="K266" s="2595"/>
      <c r="L266" s="2595"/>
      <c r="M266" s="2595"/>
      <c r="N266" s="2595"/>
      <c r="O266" s="2595"/>
      <c r="P266" s="2595"/>
      <c r="Q266" s="2595"/>
      <c r="R266" s="2595"/>
      <c r="S266" s="2595"/>
      <c r="T266" s="2595"/>
      <c r="U266" s="2595"/>
      <c r="V266" s="2595"/>
      <c r="W266" s="2595"/>
      <c r="X266" s="2595"/>
      <c r="Y266" s="2595"/>
      <c r="Z266" s="2595"/>
      <c r="AA266" s="2595"/>
      <c r="AB266" s="2595"/>
      <c r="AC266" s="2595"/>
      <c r="AD266" s="2595"/>
      <c r="AF266" s="2368" t="s">
        <v>66</v>
      </c>
      <c r="AG266" s="2368"/>
      <c r="AH266" s="2368"/>
      <c r="AI266" s="2368"/>
      <c r="AJ266" s="2368"/>
      <c r="AK266" s="2368"/>
      <c r="AL266" s="2368"/>
      <c r="AM266" s="175"/>
      <c r="AN266" s="439"/>
    </row>
    <row r="267" spans="1:74" s="46" customFormat="1" ht="12.75" customHeight="1">
      <c r="A267" s="28"/>
      <c r="B267" s="173"/>
      <c r="C267" s="218"/>
      <c r="D267" s="144"/>
      <c r="E267" s="2595"/>
      <c r="F267" s="2595"/>
      <c r="G267" s="2595"/>
      <c r="H267" s="2595"/>
      <c r="I267" s="2595"/>
      <c r="J267" s="2595"/>
      <c r="K267" s="2595"/>
      <c r="L267" s="2595"/>
      <c r="M267" s="2595"/>
      <c r="N267" s="2595"/>
      <c r="O267" s="2595"/>
      <c r="P267" s="2595"/>
      <c r="Q267" s="2595"/>
      <c r="R267" s="2595"/>
      <c r="S267" s="2595"/>
      <c r="T267" s="2595"/>
      <c r="U267" s="2595"/>
      <c r="V267" s="2595"/>
      <c r="W267" s="2595"/>
      <c r="X267" s="2595"/>
      <c r="Y267" s="2595"/>
      <c r="Z267" s="2595"/>
      <c r="AA267" s="2595"/>
      <c r="AB267" s="2595"/>
      <c r="AC267" s="2595"/>
      <c r="AD267" s="2595"/>
      <c r="AE267" s="179"/>
      <c r="AF267" s="179"/>
      <c r="AG267" s="179"/>
      <c r="AH267" s="179"/>
      <c r="AI267" s="179"/>
      <c r="AJ267" s="179"/>
      <c r="AK267" s="179"/>
      <c r="AL267" s="1295"/>
      <c r="AM267" s="175"/>
      <c r="AN267" s="439"/>
    </row>
    <row r="268" spans="1:74" s="46" customFormat="1" ht="12.75" customHeight="1">
      <c r="A268" s="28"/>
      <c r="B268" s="173"/>
      <c r="C268" s="218"/>
      <c r="D268" s="144"/>
      <c r="E268" s="2595"/>
      <c r="F268" s="2595"/>
      <c r="G268" s="2595"/>
      <c r="H268" s="2595"/>
      <c r="I268" s="2595"/>
      <c r="J268" s="2595"/>
      <c r="K268" s="2595"/>
      <c r="L268" s="2595"/>
      <c r="M268" s="2595"/>
      <c r="N268" s="2595"/>
      <c r="O268" s="2595"/>
      <c r="P268" s="2595"/>
      <c r="Q268" s="2595"/>
      <c r="R268" s="2595"/>
      <c r="S268" s="2595"/>
      <c r="T268" s="2595"/>
      <c r="U268" s="2595"/>
      <c r="V268" s="2595"/>
      <c r="W268" s="2595"/>
      <c r="X268" s="2595"/>
      <c r="Y268" s="2595"/>
      <c r="Z268" s="2595"/>
      <c r="AA268" s="2595"/>
      <c r="AB268" s="2595"/>
      <c r="AC268" s="2595"/>
      <c r="AD268" s="2595"/>
      <c r="AE268" s="179"/>
      <c r="AF268" s="179"/>
      <c r="AG268" s="179"/>
      <c r="AH268" s="179"/>
      <c r="AI268" s="179"/>
      <c r="AJ268" s="179"/>
      <c r="AK268" s="179"/>
      <c r="AL268" s="1295"/>
      <c r="AM268" s="175"/>
      <c r="AN268" s="439"/>
    </row>
    <row r="269" spans="1:74" s="46" customFormat="1" ht="12.75" customHeight="1">
      <c r="A269" s="28"/>
      <c r="B269" s="173"/>
      <c r="C269" s="218"/>
      <c r="D269" s="144"/>
      <c r="E269" s="2595"/>
      <c r="F269" s="2595"/>
      <c r="G269" s="2595"/>
      <c r="H269" s="2595"/>
      <c r="I269" s="2595"/>
      <c r="J269" s="2595"/>
      <c r="K269" s="2595"/>
      <c r="L269" s="2595"/>
      <c r="M269" s="2595"/>
      <c r="N269" s="2595"/>
      <c r="O269" s="2595"/>
      <c r="P269" s="2595"/>
      <c r="Q269" s="2595"/>
      <c r="R269" s="2595"/>
      <c r="S269" s="2595"/>
      <c r="T269" s="2595"/>
      <c r="U269" s="2595"/>
      <c r="V269" s="2595"/>
      <c r="W269" s="2595"/>
      <c r="X269" s="2595"/>
      <c r="Y269" s="2595"/>
      <c r="Z269" s="2595"/>
      <c r="AA269" s="2595"/>
      <c r="AB269" s="2595"/>
      <c r="AC269" s="2595"/>
      <c r="AD269" s="2595"/>
      <c r="AE269" s="179"/>
      <c r="AF269" s="179"/>
      <c r="AG269" s="179"/>
      <c r="AH269" s="179"/>
      <c r="AI269" s="179"/>
      <c r="AJ269" s="179"/>
      <c r="AK269" s="179"/>
      <c r="AL269" s="1295"/>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7" t="s">
        <v>136</v>
      </c>
      <c r="I271" s="237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5">
        <f>VLOOKUP($H$271,$AP$216:$AQ$218,2,FALSE)</f>
        <v>0</v>
      </c>
      <c r="AK273" s="2367"/>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5"/>
      <c r="AT274" s="1025"/>
      <c r="AU274" s="1025"/>
      <c r="AV274" s="1025"/>
      <c r="AW274" s="1025"/>
      <c r="AX274" s="1025"/>
      <c r="AY274" s="1025"/>
      <c r="AZ274" s="1025"/>
      <c r="BA274" s="1025"/>
      <c r="BB274" s="1025"/>
      <c r="BC274" s="1025"/>
      <c r="BD274" s="1026"/>
      <c r="BE274" s="1026"/>
      <c r="BF274" s="1026"/>
      <c r="BG274" s="1026"/>
      <c r="BH274" s="1026"/>
      <c r="BI274" s="1025"/>
      <c r="BJ274" s="1025"/>
      <c r="BK274" s="1025"/>
      <c r="BL274" s="1025"/>
      <c r="BM274" s="1025"/>
      <c r="BN274" s="1025"/>
      <c r="BO274" s="1025"/>
      <c r="BP274" s="1025"/>
      <c r="BQ274" s="1025"/>
      <c r="BR274" s="1025"/>
      <c r="BS274" s="1025"/>
      <c r="BT274" s="1025"/>
      <c r="BU274" s="1025"/>
      <c r="BV274" s="1025"/>
      <c r="BW274" s="1025"/>
      <c r="BX274" s="1025"/>
      <c r="BY274" s="1025"/>
      <c r="BZ274" s="1025"/>
      <c r="CA274" s="1025"/>
      <c r="CB274" s="1025"/>
      <c r="CC274" s="1025"/>
      <c r="CD274" s="1025"/>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5"/>
      <c r="AU275" s="1025"/>
      <c r="AV275" s="1025"/>
      <c r="AW275" s="1025"/>
      <c r="AX275" s="1025"/>
      <c r="AY275" s="1025"/>
      <c r="AZ275" s="1025"/>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7">
        <v>0</v>
      </c>
      <c r="AS276" s="1025"/>
      <c r="AT276" s="1025"/>
      <c r="AU276" s="1025"/>
      <c r="AV276" s="1025"/>
      <c r="AW276" s="1025"/>
      <c r="AX276" s="1025"/>
      <c r="AY276" s="1025"/>
      <c r="AZ276" s="1025"/>
      <c r="BA276" s="1025"/>
      <c r="BB276" s="1025"/>
      <c r="BC276" s="1025"/>
      <c r="BD276" s="1026"/>
      <c r="BE276" s="1026"/>
      <c r="BF276" s="1026"/>
      <c r="BG276" s="1026"/>
      <c r="BH276" s="1026"/>
      <c r="BI276" s="1025"/>
      <c r="BJ276" s="1025"/>
      <c r="BK276" s="1025"/>
      <c r="BL276" s="1025"/>
      <c r="BM276" s="1025"/>
      <c r="BN276" s="1025"/>
      <c r="BO276" s="1025"/>
      <c r="BP276" s="1025"/>
      <c r="BQ276" s="1025"/>
      <c r="BR276" s="1025"/>
      <c r="BS276" s="1025"/>
      <c r="BT276" s="1025"/>
      <c r="BU276" s="1025"/>
      <c r="BV276" s="1025"/>
      <c r="BW276" s="1025"/>
      <c r="BX276" s="1025"/>
      <c r="BY276" s="1025"/>
      <c r="BZ276" s="1025"/>
      <c r="CA276" s="1025"/>
      <c r="CB276" s="1025"/>
      <c r="CC276" s="1025"/>
      <c r="CD276" s="1025"/>
    </row>
    <row r="277" spans="1:82" s="16" customFormat="1" ht="13.7" customHeight="1">
      <c r="A277" s="28"/>
      <c r="B277" s="173"/>
      <c r="C277" s="218"/>
      <c r="D277" s="144" t="s">
        <v>641</v>
      </c>
      <c r="E277" s="2378" t="s">
        <v>2232</v>
      </c>
      <c r="F277" s="2378"/>
      <c r="G277" s="2378"/>
      <c r="H277" s="2378"/>
      <c r="I277" s="2378"/>
      <c r="J277" s="2378"/>
      <c r="K277" s="2378"/>
      <c r="L277" s="2378"/>
      <c r="M277" s="2378"/>
      <c r="N277" s="2378"/>
      <c r="O277" s="2378"/>
      <c r="P277" s="2378"/>
      <c r="Q277" s="2378"/>
      <c r="R277" s="2378"/>
      <c r="S277" s="2378"/>
      <c r="T277" s="2378"/>
      <c r="U277" s="2378"/>
      <c r="V277" s="2378"/>
      <c r="W277" s="2378"/>
      <c r="X277" s="2378"/>
      <c r="Y277" s="2378"/>
      <c r="Z277" s="2378"/>
      <c r="AA277" s="2378"/>
      <c r="AB277" s="2378"/>
      <c r="AC277" s="2378"/>
      <c r="AD277" s="2378"/>
      <c r="AF277" s="2368" t="s">
        <v>1839</v>
      </c>
      <c r="AG277" s="2368"/>
      <c r="AH277" s="2368"/>
      <c r="AI277" s="2368"/>
      <c r="AJ277" s="2368"/>
      <c r="AK277" s="2368"/>
      <c r="AL277" s="2368"/>
      <c r="AM277" s="175"/>
      <c r="AN277" s="317"/>
      <c r="AO277" s="144" t="s">
        <v>119</v>
      </c>
      <c r="AP277" s="46">
        <v>8</v>
      </c>
      <c r="AT277" s="1025"/>
      <c r="AU277" s="1025"/>
      <c r="AV277" s="1025"/>
      <c r="AW277" s="1025"/>
      <c r="AX277" s="1025"/>
      <c r="AY277" s="1025"/>
      <c r="AZ277" s="1025"/>
    </row>
    <row r="278" spans="1:82" s="16" customFormat="1">
      <c r="A278" s="28"/>
      <c r="B278" s="173"/>
      <c r="C278" s="218"/>
      <c r="D278" s="144"/>
      <c r="E278" s="2378"/>
      <c r="F278" s="2378"/>
      <c r="G278" s="2378"/>
      <c r="H278" s="2378"/>
      <c r="I278" s="2378"/>
      <c r="J278" s="2378"/>
      <c r="K278" s="2378"/>
      <c r="L278" s="2378"/>
      <c r="M278" s="2378"/>
      <c r="N278" s="2378"/>
      <c r="O278" s="2378"/>
      <c r="P278" s="2378"/>
      <c r="Q278" s="2378"/>
      <c r="R278" s="2378"/>
      <c r="S278" s="2378"/>
      <c r="T278" s="2378"/>
      <c r="U278" s="2378"/>
      <c r="V278" s="2378"/>
      <c r="W278" s="2378"/>
      <c r="X278" s="2378"/>
      <c r="Y278" s="2378"/>
      <c r="Z278" s="2378"/>
      <c r="AA278" s="2378"/>
      <c r="AB278" s="2378"/>
      <c r="AC278" s="2378"/>
      <c r="AD278" s="2378"/>
      <c r="AE278" s="1019"/>
      <c r="AF278" s="1019"/>
      <c r="AG278" s="1019"/>
      <c r="AH278" s="1019"/>
      <c r="AI278" s="1019"/>
      <c r="AJ278" s="1019"/>
      <c r="AK278" s="1019"/>
      <c r="AL278" s="1295"/>
      <c r="AM278" s="175"/>
      <c r="AN278" s="317"/>
      <c r="AO278" s="144"/>
      <c r="AP278" s="46"/>
      <c r="AT278" s="1025"/>
      <c r="AU278" s="1025"/>
      <c r="AV278" s="1025"/>
      <c r="AW278" s="1025"/>
      <c r="AX278" s="1025"/>
      <c r="AY278" s="1025"/>
      <c r="AZ278" s="1025"/>
    </row>
    <row r="279" spans="1:82" s="16" customFormat="1">
      <c r="A279" s="28"/>
      <c r="B279" s="173"/>
      <c r="C279" s="218"/>
      <c r="D279" s="144"/>
      <c r="E279" s="2378"/>
      <c r="F279" s="2378"/>
      <c r="G279" s="2378"/>
      <c r="H279" s="2378"/>
      <c r="I279" s="2378"/>
      <c r="J279" s="2378"/>
      <c r="K279" s="2378"/>
      <c r="L279" s="2378"/>
      <c r="M279" s="2378"/>
      <c r="N279" s="2378"/>
      <c r="O279" s="2378"/>
      <c r="P279" s="2378"/>
      <c r="Q279" s="2378"/>
      <c r="R279" s="2378"/>
      <c r="S279" s="2378"/>
      <c r="T279" s="2378"/>
      <c r="U279" s="2378"/>
      <c r="V279" s="2378"/>
      <c r="W279" s="2378"/>
      <c r="X279" s="2378"/>
      <c r="Y279" s="2378"/>
      <c r="Z279" s="2378"/>
      <c r="AA279" s="2378"/>
      <c r="AB279" s="2378"/>
      <c r="AC279" s="2378"/>
      <c r="AD279" s="2378"/>
      <c r="AE279" s="1019"/>
      <c r="AF279" s="1019"/>
      <c r="AG279" s="1019"/>
      <c r="AH279" s="1019"/>
      <c r="AI279" s="1019"/>
      <c r="AJ279" s="1019"/>
      <c r="AK279" s="1019"/>
      <c r="AL279" s="1295"/>
      <c r="AM279" s="175"/>
      <c r="AN279" s="317"/>
      <c r="AO279" s="306"/>
      <c r="AT279" s="1025"/>
      <c r="AU279" s="1025"/>
      <c r="AV279" s="1025"/>
      <c r="AW279" s="1025"/>
      <c r="AX279" s="1025"/>
      <c r="AY279" s="1025"/>
      <c r="AZ279" s="1025"/>
    </row>
    <row r="280" spans="1:82" s="16" customFormat="1">
      <c r="A280" s="28"/>
      <c r="B280" s="173"/>
      <c r="C280" s="218"/>
      <c r="D280" s="144"/>
      <c r="E280" s="1020"/>
      <c r="F280" s="1020"/>
      <c r="G280" s="1020"/>
      <c r="H280" s="1020"/>
      <c r="I280" s="1020"/>
      <c r="J280" s="1020"/>
      <c r="K280" s="1020"/>
      <c r="L280" s="1020"/>
      <c r="M280" s="1020"/>
      <c r="N280" s="1020"/>
      <c r="O280" s="1020"/>
      <c r="P280" s="1020"/>
      <c r="Q280" s="1020"/>
      <c r="R280" s="1020"/>
      <c r="S280" s="1020"/>
      <c r="T280" s="1020"/>
      <c r="U280" s="1020"/>
      <c r="V280" s="1020"/>
      <c r="W280" s="1020"/>
      <c r="X280" s="1020"/>
      <c r="Y280" s="1020"/>
      <c r="Z280" s="1020"/>
      <c r="AA280" s="1020"/>
      <c r="AB280" s="1020"/>
      <c r="AC280" s="1020"/>
      <c r="AD280" s="1020"/>
      <c r="AE280" s="1019"/>
      <c r="AF280" s="1019"/>
      <c r="AG280" s="1019"/>
      <c r="AH280" s="1019"/>
      <c r="AI280" s="1019"/>
      <c r="AJ280" s="1019"/>
      <c r="AK280" s="1019"/>
      <c r="AL280" s="1295"/>
      <c r="AM280" s="175"/>
      <c r="AN280" s="317"/>
      <c r="AO280" s="306"/>
      <c r="AT280" s="1025"/>
      <c r="AU280" s="1025"/>
      <c r="AV280" s="1025"/>
      <c r="AW280" s="1025"/>
      <c r="AX280" s="1025"/>
      <c r="AY280" s="1025"/>
      <c r="AZ280" s="1025"/>
    </row>
    <row r="281" spans="1:82" s="16" customFormat="1">
      <c r="A281" s="28"/>
      <c r="B281" s="173"/>
      <c r="C281" s="218"/>
      <c r="D281" s="28" t="s">
        <v>163</v>
      </c>
      <c r="E281" s="1021"/>
      <c r="F281" s="1021"/>
      <c r="G281" s="1021"/>
      <c r="H281" s="2377" t="s">
        <v>136</v>
      </c>
      <c r="I281" s="237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5"/>
      <c r="AT281" s="1025"/>
      <c r="AU281" s="1025"/>
      <c r="AV281" s="1025"/>
      <c r="AW281" s="1025"/>
      <c r="AX281" s="1025"/>
      <c r="AY281" s="1025"/>
      <c r="AZ281" s="1025"/>
      <c r="BA281" s="1025"/>
      <c r="BB281" s="1025"/>
      <c r="BC281" s="1025"/>
      <c r="BD281" s="1026"/>
      <c r="BE281" s="1026"/>
      <c r="BF281" s="1026"/>
      <c r="BG281" s="1026"/>
      <c r="BH281" s="1026"/>
      <c r="BI281" s="1025"/>
      <c r="BJ281" s="1025"/>
      <c r="BK281" s="1025"/>
      <c r="BL281" s="1025"/>
      <c r="BM281" s="1025"/>
      <c r="BN281" s="1025"/>
      <c r="BO281" s="1025"/>
      <c r="BP281" s="1025"/>
      <c r="BQ281" s="1025"/>
      <c r="BR281" s="1025"/>
      <c r="BS281" s="1025"/>
      <c r="BT281" s="1025"/>
      <c r="BU281" s="1025"/>
      <c r="BV281" s="1025"/>
      <c r="BW281" s="1025"/>
      <c r="BX281" s="1025"/>
      <c r="BY281" s="1025"/>
      <c r="BZ281" s="1025"/>
      <c r="CA281" s="1025"/>
      <c r="CB281" s="1025"/>
      <c r="CC281" s="1025"/>
      <c r="CD281" s="1025"/>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5"/>
      <c r="AU282" s="1025"/>
      <c r="AV282" s="1025"/>
      <c r="AW282" s="1025"/>
      <c r="AX282" s="1025"/>
      <c r="AY282" s="1025"/>
      <c r="AZ282" s="1025"/>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7" t="s">
        <v>1940</v>
      </c>
      <c r="AJ283" s="2365">
        <f>VLOOKUP($H$281,$AO$276:$AP$277,2,FALSE)</f>
        <v>0</v>
      </c>
      <c r="AK283" s="2367"/>
      <c r="AL283" s="25"/>
      <c r="AM283" s="137"/>
      <c r="AN283" s="317"/>
      <c r="AS283" s="1025"/>
      <c r="AT283" s="1025"/>
      <c r="AU283" s="1025"/>
      <c r="AV283" s="1025"/>
      <c r="AW283" s="1025"/>
      <c r="AX283" s="1025"/>
      <c r="AY283" s="1025"/>
      <c r="AZ283" s="1025"/>
      <c r="BA283" s="1025"/>
      <c r="BB283" s="1025"/>
      <c r="BC283" s="1025"/>
      <c r="BD283" s="1026"/>
      <c r="BE283" s="1026"/>
      <c r="BF283" s="1026"/>
      <c r="BG283" s="1026"/>
      <c r="BH283" s="1026"/>
      <c r="BI283" s="1025"/>
      <c r="BJ283" s="1025"/>
      <c r="BK283" s="1025"/>
      <c r="BL283" s="1025"/>
      <c r="BM283" s="1025"/>
      <c r="BN283" s="1025"/>
      <c r="BO283" s="1025"/>
      <c r="BP283" s="1025"/>
      <c r="BQ283" s="1025"/>
      <c r="BR283" s="1025"/>
      <c r="BS283" s="1025"/>
      <c r="BT283" s="1025"/>
      <c r="BU283" s="1025"/>
      <c r="BV283" s="1025"/>
      <c r="BW283" s="1025"/>
      <c r="BX283" s="1025"/>
      <c r="BY283" s="1025"/>
      <c r="BZ283" s="1025"/>
      <c r="CA283" s="1025"/>
      <c r="CB283" s="1025"/>
      <c r="CC283" s="1025"/>
      <c r="CD283" s="1025"/>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99"/>
      <c r="AJ285" s="1299" t="s">
        <v>39</v>
      </c>
      <c r="AK285" s="2365">
        <f>$AJ$129+$AJ$144+$AJ$156+$AJ$189+$AJ$208+$AJ$220+$AJ$232+$AJ$246+$AJ$258+$AJ$273+AJ283</f>
        <v>26</v>
      </c>
      <c r="AL285" s="2366"/>
      <c r="AM285" s="236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1" t="s">
        <v>2486</v>
      </c>
      <c r="I289" s="1691"/>
      <c r="J289" s="1691"/>
      <c r="K289" s="1691"/>
      <c r="L289" s="1691"/>
      <c r="M289" s="1691"/>
      <c r="N289" s="1691"/>
      <c r="O289" s="1691"/>
      <c r="P289" s="1691"/>
      <c r="Q289" s="1691"/>
      <c r="R289" s="1691"/>
      <c r="S289" s="16"/>
      <c r="T289" s="72" t="s">
        <v>100</v>
      </c>
      <c r="U289" s="16"/>
      <c r="V289" s="72"/>
      <c r="W289" s="72"/>
      <c r="X289" s="72"/>
      <c r="Y289" s="72"/>
      <c r="Z289" s="16"/>
      <c r="AA289" s="1691" t="s">
        <v>2491</v>
      </c>
      <c r="AB289" s="1691"/>
      <c r="AC289" s="1691"/>
      <c r="AD289" s="1691"/>
      <c r="AE289" s="1691"/>
      <c r="AF289" s="1691"/>
      <c r="AG289" s="1691"/>
      <c r="AH289" s="1691"/>
      <c r="AI289" s="1691"/>
      <c r="AJ289" s="1691"/>
      <c r="AK289" s="1691"/>
      <c r="AL289" s="25"/>
      <c r="AM289" s="137"/>
      <c r="AN289" s="439"/>
    </row>
    <row r="290" spans="1:41" s="46" customFormat="1" ht="12.75" customHeight="1">
      <c r="A290" s="153"/>
      <c r="B290" s="72" t="s">
        <v>765</v>
      </c>
      <c r="C290" s="72"/>
      <c r="D290" s="72"/>
      <c r="E290" s="72"/>
      <c r="F290" s="72"/>
      <c r="G290" s="16"/>
      <c r="H290" s="1690" t="s">
        <v>2487</v>
      </c>
      <c r="I290" s="1690"/>
      <c r="J290" s="1690"/>
      <c r="K290" s="1690"/>
      <c r="L290" s="1690"/>
      <c r="M290" s="1690"/>
      <c r="N290" s="1690"/>
      <c r="O290" s="1690"/>
      <c r="P290" s="1690"/>
      <c r="Q290" s="1690"/>
      <c r="R290" s="1690"/>
      <c r="S290" s="16"/>
      <c r="T290" s="72" t="s">
        <v>765</v>
      </c>
      <c r="U290" s="16"/>
      <c r="V290" s="72"/>
      <c r="W290" s="72"/>
      <c r="X290" s="72"/>
      <c r="Y290" s="72"/>
      <c r="Z290" s="16"/>
      <c r="AA290" s="1690" t="s">
        <v>2492</v>
      </c>
      <c r="AB290" s="1690"/>
      <c r="AC290" s="1690"/>
      <c r="AD290" s="1690"/>
      <c r="AE290" s="1690"/>
      <c r="AF290" s="1690"/>
      <c r="AG290" s="1690"/>
      <c r="AH290" s="1690"/>
      <c r="AI290" s="1690"/>
      <c r="AJ290" s="1690"/>
      <c r="AK290" s="1690"/>
      <c r="AL290" s="25"/>
      <c r="AM290" s="137"/>
      <c r="AN290" s="439"/>
    </row>
    <row r="291" spans="1:41" s="46" customFormat="1" ht="12.75" customHeight="1">
      <c r="A291" s="153"/>
      <c r="B291" s="72" t="s">
        <v>110</v>
      </c>
      <c r="C291" s="72"/>
      <c r="D291" s="72"/>
      <c r="E291" s="72"/>
      <c r="F291" s="72"/>
      <c r="G291" s="16"/>
      <c r="H291" s="1690" t="s">
        <v>2488</v>
      </c>
      <c r="I291" s="1690"/>
      <c r="J291" s="1690"/>
      <c r="K291" s="1690"/>
      <c r="L291" s="1690"/>
      <c r="M291" s="1690"/>
      <c r="N291" s="1690"/>
      <c r="O291" s="1690"/>
      <c r="P291" s="1690"/>
      <c r="Q291" s="1690"/>
      <c r="R291" s="1690"/>
      <c r="S291" s="16"/>
      <c r="T291" s="72" t="s">
        <v>110</v>
      </c>
      <c r="U291" s="16"/>
      <c r="V291" s="72"/>
      <c r="W291" s="72"/>
      <c r="X291" s="72"/>
      <c r="Y291" s="72"/>
      <c r="Z291" s="16"/>
      <c r="AA291" s="1690" t="s">
        <v>2488</v>
      </c>
      <c r="AB291" s="1690"/>
      <c r="AC291" s="1690"/>
      <c r="AD291" s="1690"/>
      <c r="AE291" s="1690"/>
      <c r="AF291" s="1690"/>
      <c r="AG291" s="1690"/>
      <c r="AH291" s="1690"/>
      <c r="AI291" s="1690"/>
      <c r="AJ291" s="1690"/>
      <c r="AK291" s="1690"/>
      <c r="AL291" s="25"/>
      <c r="AM291" s="137"/>
      <c r="AN291" s="439"/>
      <c r="AO291" s="331"/>
    </row>
    <row r="292" spans="1:41" s="46" customFormat="1" ht="12.75" customHeight="1">
      <c r="A292" s="153"/>
      <c r="B292" s="72" t="s">
        <v>418</v>
      </c>
      <c r="C292" s="72"/>
      <c r="D292" s="72"/>
      <c r="E292" s="72"/>
      <c r="F292" s="72"/>
      <c r="G292" s="16"/>
      <c r="H292" s="1690" t="s">
        <v>2489</v>
      </c>
      <c r="I292" s="1690"/>
      <c r="J292" s="1690"/>
      <c r="K292" s="1690"/>
      <c r="L292" s="1690"/>
      <c r="M292" s="1690"/>
      <c r="N292" s="1690"/>
      <c r="O292" s="1690"/>
      <c r="P292" s="1690"/>
      <c r="Q292" s="1690"/>
      <c r="R292" s="1690"/>
      <c r="S292" s="16"/>
      <c r="T292" s="72" t="s">
        <v>418</v>
      </c>
      <c r="U292" s="16"/>
      <c r="V292" s="72"/>
      <c r="W292" s="72"/>
      <c r="X292" s="72"/>
      <c r="Y292" s="72"/>
      <c r="Z292" s="16"/>
      <c r="AA292" s="1690" t="s">
        <v>2493</v>
      </c>
      <c r="AB292" s="1690"/>
      <c r="AC292" s="1690"/>
      <c r="AD292" s="1690"/>
      <c r="AE292" s="1690"/>
      <c r="AF292" s="1690"/>
      <c r="AG292" s="1690"/>
      <c r="AH292" s="1690"/>
      <c r="AI292" s="1690"/>
      <c r="AJ292" s="1690"/>
      <c r="AK292" s="1690"/>
      <c r="AL292" s="25"/>
      <c r="AM292" s="137"/>
      <c r="AN292" s="439"/>
      <c r="AO292" s="331"/>
    </row>
    <row r="293" spans="1:41" s="46" customFormat="1" ht="12.75" customHeight="1">
      <c r="A293" s="153"/>
      <c r="B293" s="72" t="s">
        <v>419</v>
      </c>
      <c r="C293" s="72"/>
      <c r="D293" s="72"/>
      <c r="E293" s="72"/>
      <c r="F293" s="72"/>
      <c r="G293" s="72"/>
      <c r="H293" s="1695" t="s">
        <v>2490</v>
      </c>
      <c r="I293" s="1695"/>
      <c r="J293" s="1695"/>
      <c r="K293" s="1695"/>
      <c r="L293" s="1695"/>
      <c r="M293" s="1695"/>
      <c r="N293" s="8" t="s">
        <v>900</v>
      </c>
      <c r="O293" s="8"/>
      <c r="P293" s="1686"/>
      <c r="Q293" s="1686"/>
      <c r="R293" s="1686"/>
      <c r="S293" s="72"/>
      <c r="T293" s="72" t="s">
        <v>419</v>
      </c>
      <c r="U293" s="16"/>
      <c r="V293" s="72"/>
      <c r="W293" s="72"/>
      <c r="X293" s="72"/>
      <c r="Y293" s="72"/>
      <c r="Z293" s="16"/>
      <c r="AA293" s="1695" t="s">
        <v>2494</v>
      </c>
      <c r="AB293" s="1695"/>
      <c r="AC293" s="1695"/>
      <c r="AD293" s="1695"/>
      <c r="AE293" s="1695"/>
      <c r="AF293" s="1695"/>
      <c r="AG293" s="8" t="s">
        <v>900</v>
      </c>
      <c r="AH293" s="8"/>
      <c r="AI293" s="1686"/>
      <c r="AJ293" s="1686"/>
      <c r="AK293" s="1686"/>
      <c r="AL293" s="25"/>
      <c r="AM293" s="137"/>
      <c r="AN293" s="439"/>
      <c r="AO293" s="331"/>
    </row>
    <row r="294" spans="1:41" s="46" customFormat="1" ht="12.75" customHeight="1">
      <c r="A294" s="153"/>
      <c r="B294" s="72" t="s">
        <v>99</v>
      </c>
      <c r="C294" s="72"/>
      <c r="D294" s="72"/>
      <c r="E294" s="72"/>
      <c r="F294" s="72"/>
      <c r="G294" s="72"/>
      <c r="H294" s="1690" t="s">
        <v>388</v>
      </c>
      <c r="I294" s="1690"/>
      <c r="J294" s="1690"/>
      <c r="K294" s="1690"/>
      <c r="L294" s="1690"/>
      <c r="M294" s="1690"/>
      <c r="N294" s="1690"/>
      <c r="O294" s="1690"/>
      <c r="P294" s="1690"/>
      <c r="Q294" s="1690"/>
      <c r="R294" s="1690"/>
      <c r="S294" s="72"/>
      <c r="T294" s="72" t="s">
        <v>99</v>
      </c>
      <c r="U294" s="16"/>
      <c r="V294" s="72"/>
      <c r="W294" s="72"/>
      <c r="X294" s="72"/>
      <c r="Y294" s="72"/>
      <c r="Z294" s="16"/>
      <c r="AA294" s="1690" t="s">
        <v>103</v>
      </c>
      <c r="AB294" s="1690"/>
      <c r="AC294" s="1690"/>
      <c r="AD294" s="1690"/>
      <c r="AE294" s="1690"/>
      <c r="AF294" s="1690"/>
      <c r="AG294" s="1690"/>
      <c r="AH294" s="1690"/>
      <c r="AI294" s="1690"/>
      <c r="AJ294" s="1690"/>
      <c r="AK294" s="1690"/>
      <c r="AL294" s="25"/>
      <c r="AM294" s="137"/>
      <c r="AN294" s="439"/>
      <c r="AO294" s="331"/>
    </row>
    <row r="295" spans="1:41" s="46" customFormat="1" ht="12.75" customHeight="1">
      <c r="A295" s="153"/>
      <c r="B295" s="72" t="s">
        <v>101</v>
      </c>
      <c r="C295" s="72"/>
      <c r="D295" s="72"/>
      <c r="E295" s="72"/>
      <c r="F295" s="72"/>
      <c r="G295" s="72"/>
      <c r="H295" s="1690" t="s">
        <v>2531</v>
      </c>
      <c r="I295" s="1690"/>
      <c r="J295" s="1690"/>
      <c r="K295" s="1690"/>
      <c r="L295" s="1690"/>
      <c r="M295" s="1690"/>
      <c r="N295" s="1690"/>
      <c r="O295" s="1690"/>
      <c r="P295" s="1690"/>
      <c r="Q295" s="1690"/>
      <c r="R295" s="1690"/>
      <c r="S295" s="72"/>
      <c r="T295" s="72" t="s">
        <v>101</v>
      </c>
      <c r="U295" s="16"/>
      <c r="V295" s="72"/>
      <c r="W295" s="72"/>
      <c r="X295" s="72"/>
      <c r="Y295" s="72"/>
      <c r="Z295" s="16"/>
      <c r="AA295" s="1690" t="s">
        <v>2495</v>
      </c>
      <c r="AB295" s="1690"/>
      <c r="AC295" s="1690"/>
      <c r="AD295" s="1690"/>
      <c r="AE295" s="1690"/>
      <c r="AF295" s="1690"/>
      <c r="AG295" s="1690"/>
      <c r="AH295" s="1690"/>
      <c r="AI295" s="1690"/>
      <c r="AJ295" s="1690"/>
      <c r="AK295" s="1690"/>
      <c r="AL295" s="25"/>
      <c r="AM295" s="137"/>
      <c r="AN295" s="439"/>
    </row>
    <row r="296" spans="1:41" s="137" customFormat="1" ht="12.75" customHeight="1">
      <c r="A296" s="153"/>
      <c r="B296" s="72" t="s">
        <v>112</v>
      </c>
      <c r="C296" s="72"/>
      <c r="D296" s="72"/>
      <c r="E296" s="72"/>
      <c r="F296" s="72"/>
      <c r="G296" s="72"/>
      <c r="H296" s="2419">
        <v>0.4</v>
      </c>
      <c r="I296" s="2419"/>
      <c r="J296" s="2419"/>
      <c r="K296" s="2419"/>
      <c r="L296" s="2419"/>
      <c r="M296" s="2419"/>
      <c r="N296" s="2419"/>
      <c r="O296" s="2419"/>
      <c r="P296" s="2419"/>
      <c r="Q296" s="2419"/>
      <c r="R296" s="2419"/>
      <c r="S296" s="72"/>
      <c r="T296" s="72" t="s">
        <v>112</v>
      </c>
      <c r="U296" s="72"/>
      <c r="V296" s="72"/>
      <c r="W296" s="72"/>
      <c r="X296" s="72"/>
      <c r="Y296" s="72"/>
      <c r="Z296" s="18"/>
      <c r="AA296" s="2419">
        <v>0.26</v>
      </c>
      <c r="AB296" s="2419"/>
      <c r="AC296" s="2419"/>
      <c r="AD296" s="2419"/>
      <c r="AE296" s="2419"/>
      <c r="AF296" s="2419"/>
      <c r="AG296" s="2419"/>
      <c r="AH296" s="2419"/>
      <c r="AI296" s="2419"/>
      <c r="AJ296" s="2419"/>
      <c r="AK296" s="2419"/>
      <c r="AL296" s="25"/>
      <c r="AM296" s="423"/>
      <c r="AN296" s="1132"/>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1" t="s">
        <v>2496</v>
      </c>
      <c r="I298" s="1691"/>
      <c r="J298" s="1691"/>
      <c r="K298" s="1691"/>
      <c r="L298" s="1691"/>
      <c r="M298" s="1691"/>
      <c r="N298" s="1691"/>
      <c r="O298" s="1691"/>
      <c r="P298" s="1691"/>
      <c r="Q298" s="1691"/>
      <c r="R298" s="1691"/>
      <c r="S298" s="16"/>
      <c r="T298" s="72" t="s">
        <v>100</v>
      </c>
      <c r="U298" s="16"/>
      <c r="V298" s="72"/>
      <c r="W298" s="72"/>
      <c r="X298" s="72"/>
      <c r="Y298" s="72"/>
      <c r="Z298" s="16"/>
      <c r="AA298" s="1691" t="s">
        <v>2501</v>
      </c>
      <c r="AB298" s="1691"/>
      <c r="AC298" s="1691"/>
      <c r="AD298" s="1691"/>
      <c r="AE298" s="1691"/>
      <c r="AF298" s="1691"/>
      <c r="AG298" s="1691"/>
      <c r="AH298" s="1691"/>
      <c r="AI298" s="1691"/>
      <c r="AJ298" s="1691"/>
      <c r="AK298" s="1691"/>
      <c r="AL298" s="25"/>
      <c r="AM298" s="137"/>
      <c r="AN298" s="439"/>
    </row>
    <row r="299" spans="1:41" s="205" customFormat="1" ht="12.75" customHeight="1">
      <c r="A299" s="153"/>
      <c r="B299" s="72" t="s">
        <v>765</v>
      </c>
      <c r="C299" s="72"/>
      <c r="D299" s="72"/>
      <c r="E299" s="72"/>
      <c r="F299" s="72"/>
      <c r="G299" s="16"/>
      <c r="H299" s="1690" t="s">
        <v>2497</v>
      </c>
      <c r="I299" s="1690"/>
      <c r="J299" s="1690"/>
      <c r="K299" s="1690"/>
      <c r="L299" s="1690"/>
      <c r="M299" s="1690"/>
      <c r="N299" s="1690"/>
      <c r="O299" s="1690"/>
      <c r="P299" s="1690"/>
      <c r="Q299" s="1690"/>
      <c r="R299" s="1690"/>
      <c r="S299" s="16"/>
      <c r="T299" s="72" t="s">
        <v>765</v>
      </c>
      <c r="U299" s="16"/>
      <c r="V299" s="72"/>
      <c r="W299" s="72"/>
      <c r="X299" s="72"/>
      <c r="Y299" s="72"/>
      <c r="Z299" s="16"/>
      <c r="AA299" s="1690" t="s">
        <v>2502</v>
      </c>
      <c r="AB299" s="1690"/>
      <c r="AC299" s="1690"/>
      <c r="AD299" s="1690"/>
      <c r="AE299" s="1690"/>
      <c r="AF299" s="1690"/>
      <c r="AG299" s="1690"/>
      <c r="AH299" s="1690"/>
      <c r="AI299" s="1690"/>
      <c r="AJ299" s="1690"/>
      <c r="AK299" s="1690"/>
      <c r="AL299" s="25"/>
      <c r="AM299" s="137"/>
      <c r="AN299" s="439"/>
      <c r="AO299" s="46"/>
    </row>
    <row r="300" spans="1:41" s="205" customFormat="1" ht="12.75" customHeight="1">
      <c r="A300" s="153"/>
      <c r="B300" s="72" t="s">
        <v>110</v>
      </c>
      <c r="C300" s="72"/>
      <c r="D300" s="72"/>
      <c r="E300" s="72"/>
      <c r="F300" s="72"/>
      <c r="G300" s="16"/>
      <c r="H300" s="1690" t="s">
        <v>2488</v>
      </c>
      <c r="I300" s="1690"/>
      <c r="J300" s="1690"/>
      <c r="K300" s="1690"/>
      <c r="L300" s="1690"/>
      <c r="M300" s="1690"/>
      <c r="N300" s="1690"/>
      <c r="O300" s="1690"/>
      <c r="P300" s="1690"/>
      <c r="Q300" s="1690"/>
      <c r="R300" s="1690"/>
      <c r="S300" s="16"/>
      <c r="T300" s="72" t="s">
        <v>110</v>
      </c>
      <c r="U300" s="16"/>
      <c r="V300" s="72"/>
      <c r="W300" s="72"/>
      <c r="X300" s="72"/>
      <c r="Y300" s="72"/>
      <c r="Z300" s="16"/>
      <c r="AA300" s="1690" t="s">
        <v>2488</v>
      </c>
      <c r="AB300" s="1690"/>
      <c r="AC300" s="1690"/>
      <c r="AD300" s="1690"/>
      <c r="AE300" s="1690"/>
      <c r="AF300" s="1690"/>
      <c r="AG300" s="1690"/>
      <c r="AH300" s="1690"/>
      <c r="AI300" s="1690"/>
      <c r="AJ300" s="1690"/>
      <c r="AK300" s="1690"/>
      <c r="AL300" s="25"/>
      <c r="AM300" s="137"/>
      <c r="AN300" s="439"/>
      <c r="AO300" s="46"/>
    </row>
    <row r="301" spans="1:41" s="46" customFormat="1" ht="12.75" customHeight="1">
      <c r="A301" s="153"/>
      <c r="B301" s="72" t="s">
        <v>418</v>
      </c>
      <c r="C301" s="72"/>
      <c r="D301" s="72"/>
      <c r="E301" s="72"/>
      <c r="F301" s="72"/>
      <c r="G301" s="16"/>
      <c r="H301" s="1690" t="s">
        <v>2498</v>
      </c>
      <c r="I301" s="1690"/>
      <c r="J301" s="1690"/>
      <c r="K301" s="1690"/>
      <c r="L301" s="1690"/>
      <c r="M301" s="1690"/>
      <c r="N301" s="1690"/>
      <c r="O301" s="1690"/>
      <c r="P301" s="1690"/>
      <c r="Q301" s="1690"/>
      <c r="R301" s="1690"/>
      <c r="S301" s="16"/>
      <c r="T301" s="72" t="s">
        <v>418</v>
      </c>
      <c r="U301" s="16"/>
      <c r="V301" s="72"/>
      <c r="W301" s="72"/>
      <c r="X301" s="72"/>
      <c r="Y301" s="72"/>
      <c r="Z301" s="16"/>
      <c r="AA301" s="1690" t="s">
        <v>2503</v>
      </c>
      <c r="AB301" s="1690"/>
      <c r="AC301" s="1690"/>
      <c r="AD301" s="1690"/>
      <c r="AE301" s="1690"/>
      <c r="AF301" s="1690"/>
      <c r="AG301" s="1690"/>
      <c r="AH301" s="1690"/>
      <c r="AI301" s="1690"/>
      <c r="AJ301" s="1690"/>
      <c r="AK301" s="1690"/>
      <c r="AL301" s="25"/>
      <c r="AM301" s="137"/>
      <c r="AN301" s="439"/>
    </row>
    <row r="302" spans="1:41" s="46" customFormat="1" ht="12.75" customHeight="1">
      <c r="A302" s="153"/>
      <c r="B302" s="72" t="s">
        <v>419</v>
      </c>
      <c r="C302" s="72"/>
      <c r="D302" s="72"/>
      <c r="E302" s="72"/>
      <c r="F302" s="72"/>
      <c r="G302" s="72"/>
      <c r="H302" s="1695" t="s">
        <v>2499</v>
      </c>
      <c r="I302" s="1695"/>
      <c r="J302" s="1695"/>
      <c r="K302" s="1695"/>
      <c r="L302" s="1695"/>
      <c r="M302" s="1695"/>
      <c r="N302" s="8" t="s">
        <v>900</v>
      </c>
      <c r="O302" s="8"/>
      <c r="P302" s="1686"/>
      <c r="Q302" s="1686"/>
      <c r="R302" s="1686"/>
      <c r="S302" s="72"/>
      <c r="T302" s="72" t="s">
        <v>419</v>
      </c>
      <c r="U302" s="16"/>
      <c r="V302" s="72"/>
      <c r="W302" s="72"/>
      <c r="X302" s="72"/>
      <c r="Y302" s="72"/>
      <c r="Z302" s="16"/>
      <c r="AA302" s="1695" t="s">
        <v>2504</v>
      </c>
      <c r="AB302" s="1695"/>
      <c r="AC302" s="1695"/>
      <c r="AD302" s="1695"/>
      <c r="AE302" s="1695"/>
      <c r="AF302" s="1695"/>
      <c r="AG302" s="8" t="s">
        <v>900</v>
      </c>
      <c r="AH302" s="8"/>
      <c r="AI302" s="1686"/>
      <c r="AJ302" s="1686"/>
      <c r="AK302" s="1686"/>
      <c r="AL302" s="25"/>
      <c r="AM302" s="137"/>
      <c r="AN302" s="439"/>
    </row>
    <row r="303" spans="1:41" s="46" customFormat="1" ht="12.75" customHeight="1">
      <c r="A303" s="153"/>
      <c r="B303" s="72" t="s">
        <v>99</v>
      </c>
      <c r="C303" s="72"/>
      <c r="D303" s="72"/>
      <c r="E303" s="72"/>
      <c r="F303" s="72"/>
      <c r="G303" s="72"/>
      <c r="H303" s="1690" t="s">
        <v>104</v>
      </c>
      <c r="I303" s="1690"/>
      <c r="J303" s="1690"/>
      <c r="K303" s="1690"/>
      <c r="L303" s="1690"/>
      <c r="M303" s="1690"/>
      <c r="N303" s="1690"/>
      <c r="O303" s="1690"/>
      <c r="P303" s="1690"/>
      <c r="Q303" s="1690"/>
      <c r="R303" s="1690"/>
      <c r="S303" s="72"/>
      <c r="T303" s="72" t="s">
        <v>99</v>
      </c>
      <c r="U303" s="16"/>
      <c r="V303" s="72"/>
      <c r="W303" s="72"/>
      <c r="X303" s="72"/>
      <c r="Y303" s="72"/>
      <c r="Z303" s="16"/>
      <c r="AA303" s="1690" t="s">
        <v>106</v>
      </c>
      <c r="AB303" s="1690"/>
      <c r="AC303" s="1690"/>
      <c r="AD303" s="1690"/>
      <c r="AE303" s="1690"/>
      <c r="AF303" s="1690"/>
      <c r="AG303" s="1690"/>
      <c r="AH303" s="1690"/>
      <c r="AI303" s="1690"/>
      <c r="AJ303" s="1690"/>
      <c r="AK303" s="1690"/>
      <c r="AL303" s="25"/>
      <c r="AM303" s="137"/>
      <c r="AN303" s="439"/>
    </row>
    <row r="304" spans="1:41" s="46" customFormat="1" ht="12.75" customHeight="1">
      <c r="A304" s="153"/>
      <c r="B304" s="72" t="s">
        <v>101</v>
      </c>
      <c r="C304" s="72"/>
      <c r="D304" s="72"/>
      <c r="E304" s="72"/>
      <c r="F304" s="72"/>
      <c r="G304" s="72"/>
      <c r="H304" s="1690" t="s">
        <v>2500</v>
      </c>
      <c r="I304" s="1690"/>
      <c r="J304" s="1690"/>
      <c r="K304" s="1690"/>
      <c r="L304" s="1690"/>
      <c r="M304" s="1690"/>
      <c r="N304" s="1690"/>
      <c r="O304" s="1690"/>
      <c r="P304" s="1690"/>
      <c r="Q304" s="1690"/>
      <c r="R304" s="1690"/>
      <c r="S304" s="72"/>
      <c r="T304" s="72" t="s">
        <v>101</v>
      </c>
      <c r="U304" s="16"/>
      <c r="V304" s="72"/>
      <c r="W304" s="72"/>
      <c r="X304" s="72"/>
      <c r="Y304" s="72"/>
      <c r="Z304" s="16"/>
      <c r="AA304" s="1690" t="s">
        <v>2505</v>
      </c>
      <c r="AB304" s="1690"/>
      <c r="AC304" s="1690"/>
      <c r="AD304" s="1690"/>
      <c r="AE304" s="1690"/>
      <c r="AF304" s="1690"/>
      <c r="AG304" s="1690"/>
      <c r="AH304" s="1690"/>
      <c r="AI304" s="1690"/>
      <c r="AJ304" s="1690"/>
      <c r="AK304" s="1690"/>
      <c r="AL304" s="25"/>
      <c r="AM304" s="137"/>
      <c r="AN304" s="439"/>
    </row>
    <row r="305" spans="1:40" s="46" customFormat="1" ht="12.75" customHeight="1">
      <c r="A305" s="153"/>
      <c r="B305" s="72" t="s">
        <v>112</v>
      </c>
      <c r="C305" s="72"/>
      <c r="D305" s="72"/>
      <c r="E305" s="72"/>
      <c r="F305" s="72"/>
      <c r="G305" s="72"/>
      <c r="H305" s="2419">
        <v>0.42</v>
      </c>
      <c r="I305" s="2419"/>
      <c r="J305" s="2419"/>
      <c r="K305" s="2419"/>
      <c r="L305" s="2419"/>
      <c r="M305" s="2419"/>
      <c r="N305" s="2419"/>
      <c r="O305" s="2419"/>
      <c r="P305" s="2419"/>
      <c r="Q305" s="2419"/>
      <c r="R305" s="2419"/>
      <c r="S305" s="72"/>
      <c r="T305" s="72" t="s">
        <v>112</v>
      </c>
      <c r="U305" s="72"/>
      <c r="V305" s="72"/>
      <c r="W305" s="72"/>
      <c r="X305" s="72"/>
      <c r="Y305" s="72"/>
      <c r="Z305" s="18"/>
      <c r="AA305" s="2419">
        <v>0.1</v>
      </c>
      <c r="AB305" s="2419"/>
      <c r="AC305" s="2419"/>
      <c r="AD305" s="2419"/>
      <c r="AE305" s="2419"/>
      <c r="AF305" s="2419"/>
      <c r="AG305" s="2419"/>
      <c r="AH305" s="2419"/>
      <c r="AI305" s="2419"/>
      <c r="AJ305" s="2419"/>
      <c r="AK305" s="241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1" t="s">
        <v>2501</v>
      </c>
      <c r="I307" s="1691"/>
      <c r="J307" s="1691"/>
      <c r="K307" s="1691"/>
      <c r="L307" s="1691"/>
      <c r="M307" s="1691"/>
      <c r="N307" s="1691"/>
      <c r="O307" s="1691"/>
      <c r="P307" s="1691"/>
      <c r="Q307" s="1691"/>
      <c r="R307" s="1691"/>
      <c r="S307" s="16"/>
      <c r="T307" s="72" t="s">
        <v>100</v>
      </c>
      <c r="U307" s="16"/>
      <c r="V307" s="72"/>
      <c r="W307" s="72"/>
      <c r="X307" s="72"/>
      <c r="Y307" s="72"/>
      <c r="Z307" s="16"/>
      <c r="AA307" s="1691" t="s">
        <v>2507</v>
      </c>
      <c r="AB307" s="1691"/>
      <c r="AC307" s="1691"/>
      <c r="AD307" s="1691"/>
      <c r="AE307" s="1691"/>
      <c r="AF307" s="1691"/>
      <c r="AG307" s="1691"/>
      <c r="AH307" s="1691"/>
      <c r="AI307" s="1691"/>
      <c r="AJ307" s="1691"/>
      <c r="AK307" s="1691"/>
      <c r="AL307" s="25"/>
      <c r="AM307" s="137"/>
      <c r="AN307" s="439"/>
    </row>
    <row r="308" spans="1:40" s="46" customFormat="1" ht="12.75" customHeight="1">
      <c r="A308" s="153"/>
      <c r="B308" s="72" t="s">
        <v>765</v>
      </c>
      <c r="C308" s="72"/>
      <c r="D308" s="72"/>
      <c r="E308" s="72"/>
      <c r="F308" s="72"/>
      <c r="G308" s="16"/>
      <c r="H308" s="1690" t="s">
        <v>2502</v>
      </c>
      <c r="I308" s="1690"/>
      <c r="J308" s="1690"/>
      <c r="K308" s="1690"/>
      <c r="L308" s="1690"/>
      <c r="M308" s="1690"/>
      <c r="N308" s="1690"/>
      <c r="O308" s="1690"/>
      <c r="P308" s="1690"/>
      <c r="Q308" s="1690"/>
      <c r="R308" s="1690"/>
      <c r="S308" s="16"/>
      <c r="T308" s="72" t="s">
        <v>765</v>
      </c>
      <c r="U308" s="16"/>
      <c r="V308" s="72"/>
      <c r="W308" s="72"/>
      <c r="X308" s="72"/>
      <c r="Y308" s="72"/>
      <c r="Z308" s="16"/>
      <c r="AA308" s="1690" t="s">
        <v>2508</v>
      </c>
      <c r="AB308" s="1690"/>
      <c r="AC308" s="1690"/>
      <c r="AD308" s="1690"/>
      <c r="AE308" s="1690"/>
      <c r="AF308" s="1690"/>
      <c r="AG308" s="1690"/>
      <c r="AH308" s="1690"/>
      <c r="AI308" s="1690"/>
      <c r="AJ308" s="1690"/>
      <c r="AK308" s="1690"/>
      <c r="AL308" s="25"/>
      <c r="AM308" s="137"/>
      <c r="AN308" s="439"/>
    </row>
    <row r="309" spans="1:40" s="46" customFormat="1" ht="12.75" customHeight="1">
      <c r="A309" s="153"/>
      <c r="B309" s="72" t="s">
        <v>110</v>
      </c>
      <c r="C309" s="72"/>
      <c r="D309" s="72"/>
      <c r="E309" s="72"/>
      <c r="F309" s="72"/>
      <c r="G309" s="16"/>
      <c r="H309" s="1690" t="s">
        <v>2488</v>
      </c>
      <c r="I309" s="1690"/>
      <c r="J309" s="1690"/>
      <c r="K309" s="1690"/>
      <c r="L309" s="1690"/>
      <c r="M309" s="1690"/>
      <c r="N309" s="1690"/>
      <c r="O309" s="1690"/>
      <c r="P309" s="1690"/>
      <c r="Q309" s="1690"/>
      <c r="R309" s="1690"/>
      <c r="S309" s="16"/>
      <c r="T309" s="72" t="s">
        <v>110</v>
      </c>
      <c r="U309" s="16"/>
      <c r="V309" s="72"/>
      <c r="W309" s="72"/>
      <c r="X309" s="72"/>
      <c r="Y309" s="72"/>
      <c r="Z309" s="16"/>
      <c r="AA309" s="1690" t="s">
        <v>2488</v>
      </c>
      <c r="AB309" s="1690"/>
      <c r="AC309" s="1690"/>
      <c r="AD309" s="1690"/>
      <c r="AE309" s="1690"/>
      <c r="AF309" s="1690"/>
      <c r="AG309" s="1690"/>
      <c r="AH309" s="1690"/>
      <c r="AI309" s="1690"/>
      <c r="AJ309" s="1690"/>
      <c r="AK309" s="1690"/>
      <c r="AL309" s="25"/>
      <c r="AM309" s="137"/>
      <c r="AN309" s="439"/>
    </row>
    <row r="310" spans="1:40" s="46" customFormat="1" ht="12.75" customHeight="1">
      <c r="A310" s="153"/>
      <c r="B310" s="72" t="s">
        <v>418</v>
      </c>
      <c r="C310" s="72"/>
      <c r="D310" s="72"/>
      <c r="E310" s="72"/>
      <c r="F310" s="72"/>
      <c r="G310" s="16"/>
      <c r="H310" s="1690" t="s">
        <v>2506</v>
      </c>
      <c r="I310" s="1690"/>
      <c r="J310" s="1690"/>
      <c r="K310" s="1690"/>
      <c r="L310" s="1690"/>
      <c r="M310" s="1690"/>
      <c r="N310" s="1690"/>
      <c r="O310" s="1690"/>
      <c r="P310" s="1690"/>
      <c r="Q310" s="1690"/>
      <c r="R310" s="1690"/>
      <c r="S310" s="16"/>
      <c r="T310" s="72" t="s">
        <v>418</v>
      </c>
      <c r="U310" s="16"/>
      <c r="V310" s="72"/>
      <c r="W310" s="72"/>
      <c r="X310" s="72"/>
      <c r="Y310" s="72"/>
      <c r="Z310" s="16"/>
      <c r="AA310" s="1690"/>
      <c r="AB310" s="1690"/>
      <c r="AC310" s="1690"/>
      <c r="AD310" s="1690"/>
      <c r="AE310" s="1690"/>
      <c r="AF310" s="1690"/>
      <c r="AG310" s="1690"/>
      <c r="AH310" s="1690"/>
      <c r="AI310" s="1690"/>
      <c r="AJ310" s="1690"/>
      <c r="AK310" s="1690"/>
      <c r="AL310" s="25"/>
      <c r="AM310" s="137"/>
      <c r="AN310" s="439"/>
    </row>
    <row r="311" spans="1:40" s="46" customFormat="1" ht="12.75" customHeight="1">
      <c r="A311" s="153"/>
      <c r="B311" s="72" t="s">
        <v>419</v>
      </c>
      <c r="C311" s="72"/>
      <c r="D311" s="72"/>
      <c r="E311" s="72"/>
      <c r="F311" s="72"/>
      <c r="G311" s="72"/>
      <c r="H311" s="1695" t="s">
        <v>2504</v>
      </c>
      <c r="I311" s="1695"/>
      <c r="J311" s="1695"/>
      <c r="K311" s="1695"/>
      <c r="L311" s="1695"/>
      <c r="M311" s="1695"/>
      <c r="N311" s="8" t="s">
        <v>900</v>
      </c>
      <c r="O311" s="8"/>
      <c r="P311" s="1686"/>
      <c r="Q311" s="1686"/>
      <c r="R311" s="1686"/>
      <c r="S311" s="72"/>
      <c r="T311" s="72" t="s">
        <v>419</v>
      </c>
      <c r="U311" s="16"/>
      <c r="V311" s="72"/>
      <c r="W311" s="72"/>
      <c r="X311" s="72"/>
      <c r="Y311" s="72"/>
      <c r="Z311" s="16"/>
      <c r="AA311" s="1695" t="s">
        <v>2509</v>
      </c>
      <c r="AB311" s="1695"/>
      <c r="AC311" s="1695"/>
      <c r="AD311" s="1695"/>
      <c r="AE311" s="1695"/>
      <c r="AF311" s="1695"/>
      <c r="AG311" s="8" t="s">
        <v>900</v>
      </c>
      <c r="AH311" s="8"/>
      <c r="AI311" s="1686"/>
      <c r="AJ311" s="1686"/>
      <c r="AK311" s="1686"/>
      <c r="AL311" s="25"/>
      <c r="AM311" s="137"/>
      <c r="AN311" s="439"/>
    </row>
    <row r="312" spans="1:40" s="46" customFormat="1" ht="12.75" customHeight="1">
      <c r="A312" s="153"/>
      <c r="B312" s="72" t="s">
        <v>99</v>
      </c>
      <c r="C312" s="72"/>
      <c r="D312" s="72"/>
      <c r="E312" s="72"/>
      <c r="F312" s="72"/>
      <c r="G312" s="72"/>
      <c r="H312" s="1690" t="s">
        <v>107</v>
      </c>
      <c r="I312" s="1690"/>
      <c r="J312" s="1690"/>
      <c r="K312" s="1690"/>
      <c r="L312" s="1690"/>
      <c r="M312" s="1690"/>
      <c r="N312" s="1690"/>
      <c r="O312" s="1690"/>
      <c r="P312" s="1690"/>
      <c r="Q312" s="1690"/>
      <c r="R312" s="1690"/>
      <c r="S312" s="72"/>
      <c r="T312" s="72" t="s">
        <v>99</v>
      </c>
      <c r="U312" s="16"/>
      <c r="V312" s="72"/>
      <c r="W312" s="72"/>
      <c r="X312" s="72"/>
      <c r="Y312" s="72"/>
      <c r="Z312" s="16"/>
      <c r="AA312" s="1690" t="s">
        <v>108</v>
      </c>
      <c r="AB312" s="1690"/>
      <c r="AC312" s="1690"/>
      <c r="AD312" s="1690"/>
      <c r="AE312" s="1690"/>
      <c r="AF312" s="1690"/>
      <c r="AG312" s="1690"/>
      <c r="AH312" s="1690"/>
      <c r="AI312" s="1690"/>
      <c r="AJ312" s="1690"/>
      <c r="AK312" s="1690"/>
      <c r="AL312" s="25"/>
      <c r="AM312" s="137"/>
      <c r="AN312" s="439"/>
    </row>
    <row r="313" spans="1:40" s="46" customFormat="1" ht="12.75" customHeight="1">
      <c r="A313" s="153"/>
      <c r="B313" s="72" t="s">
        <v>101</v>
      </c>
      <c r="C313" s="72"/>
      <c r="D313" s="72"/>
      <c r="E313" s="72"/>
      <c r="F313" s="72"/>
      <c r="G313" s="72"/>
      <c r="H313" s="1690" t="s">
        <v>2505</v>
      </c>
      <c r="I313" s="1690"/>
      <c r="J313" s="1690"/>
      <c r="K313" s="1690"/>
      <c r="L313" s="1690"/>
      <c r="M313" s="1690"/>
      <c r="N313" s="1690"/>
      <c r="O313" s="1690"/>
      <c r="P313" s="1690"/>
      <c r="Q313" s="1690"/>
      <c r="R313" s="1690"/>
      <c r="S313" s="72"/>
      <c r="T313" s="72" t="s">
        <v>101</v>
      </c>
      <c r="U313" s="16"/>
      <c r="V313" s="72"/>
      <c r="W313" s="72"/>
      <c r="X313" s="72"/>
      <c r="Y313" s="72"/>
      <c r="Z313" s="16"/>
      <c r="AA313" s="1690" t="s">
        <v>2510</v>
      </c>
      <c r="AB313" s="1690"/>
      <c r="AC313" s="1690"/>
      <c r="AD313" s="1690"/>
      <c r="AE313" s="1690"/>
      <c r="AF313" s="1690"/>
      <c r="AG313" s="1690"/>
      <c r="AH313" s="1690"/>
      <c r="AI313" s="1690"/>
      <c r="AJ313" s="1690"/>
      <c r="AK313" s="1690"/>
      <c r="AL313" s="25"/>
      <c r="AM313" s="137"/>
      <c r="AN313" s="439"/>
    </row>
    <row r="314" spans="1:40" s="46" customFormat="1" ht="12.75" customHeight="1">
      <c r="A314" s="153"/>
      <c r="B314" s="72" t="s">
        <v>112</v>
      </c>
      <c r="C314" s="72"/>
      <c r="D314" s="72"/>
      <c r="E314" s="72"/>
      <c r="F314" s="72"/>
      <c r="G314" s="72"/>
      <c r="H314" s="2419">
        <v>0.1</v>
      </c>
      <c r="I314" s="2419"/>
      <c r="J314" s="2419"/>
      <c r="K314" s="2419"/>
      <c r="L314" s="2419"/>
      <c r="M314" s="2419"/>
      <c r="N314" s="2419"/>
      <c r="O314" s="2419"/>
      <c r="P314" s="2419"/>
      <c r="Q314" s="2419"/>
      <c r="R314" s="2419"/>
      <c r="S314" s="72"/>
      <c r="T314" s="72" t="s">
        <v>112</v>
      </c>
      <c r="U314" s="72"/>
      <c r="V314" s="72"/>
      <c r="W314" s="72"/>
      <c r="X314" s="72"/>
      <c r="Y314" s="72"/>
      <c r="Z314" s="18"/>
      <c r="AA314" s="2419">
        <v>0.37</v>
      </c>
      <c r="AB314" s="2419"/>
      <c r="AC314" s="2419"/>
      <c r="AD314" s="2419"/>
      <c r="AE314" s="2419"/>
      <c r="AF314" s="2419"/>
      <c r="AG314" s="2419"/>
      <c r="AH314" s="2419"/>
      <c r="AI314" s="2419"/>
      <c r="AJ314" s="2419"/>
      <c r="AK314" s="241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1" t="s">
        <v>2511</v>
      </c>
      <c r="I316" s="1691"/>
      <c r="J316" s="1691"/>
      <c r="K316" s="1691"/>
      <c r="L316" s="1691"/>
      <c r="M316" s="1691"/>
      <c r="N316" s="1691"/>
      <c r="O316" s="1691"/>
      <c r="P316" s="1691"/>
      <c r="Q316" s="1691"/>
      <c r="R316" s="1691"/>
      <c r="S316" s="16"/>
      <c r="T316" s="72" t="s">
        <v>100</v>
      </c>
      <c r="U316" s="16"/>
      <c r="V316" s="72"/>
      <c r="W316" s="72"/>
      <c r="X316" s="72"/>
      <c r="Y316" s="72"/>
      <c r="Z316" s="16"/>
      <c r="AA316" s="1691"/>
      <c r="AB316" s="1691"/>
      <c r="AC316" s="1691"/>
      <c r="AD316" s="1691"/>
      <c r="AE316" s="1691"/>
      <c r="AF316" s="1691"/>
      <c r="AG316" s="1691"/>
      <c r="AH316" s="1691"/>
      <c r="AI316" s="1691"/>
      <c r="AJ316" s="1691"/>
      <c r="AK316" s="1691"/>
      <c r="AL316" s="25"/>
      <c r="AM316" s="137"/>
      <c r="AN316" s="439"/>
    </row>
    <row r="317" spans="1:40" s="46" customFormat="1" ht="12.75" customHeight="1">
      <c r="A317" s="153"/>
      <c r="B317" s="72" t="s">
        <v>765</v>
      </c>
      <c r="C317" s="72"/>
      <c r="D317" s="72"/>
      <c r="E317" s="72"/>
      <c r="F317" s="72"/>
      <c r="G317" s="16"/>
      <c r="H317" s="1690" t="s">
        <v>2512</v>
      </c>
      <c r="I317" s="1690"/>
      <c r="J317" s="1690"/>
      <c r="K317" s="1690"/>
      <c r="L317" s="1690"/>
      <c r="M317" s="1690"/>
      <c r="N317" s="1690"/>
      <c r="O317" s="1690"/>
      <c r="P317" s="1690"/>
      <c r="Q317" s="1690"/>
      <c r="R317" s="1690"/>
      <c r="S317" s="16"/>
      <c r="T317" s="72" t="s">
        <v>765</v>
      </c>
      <c r="U317" s="16"/>
      <c r="V317" s="72"/>
      <c r="W317" s="72"/>
      <c r="X317" s="72"/>
      <c r="Y317" s="72"/>
      <c r="Z317" s="16"/>
      <c r="AA317" s="1690"/>
      <c r="AB317" s="1690"/>
      <c r="AC317" s="1690"/>
      <c r="AD317" s="1690"/>
      <c r="AE317" s="1690"/>
      <c r="AF317" s="1690"/>
      <c r="AG317" s="1690"/>
      <c r="AH317" s="1690"/>
      <c r="AI317" s="1690"/>
      <c r="AJ317" s="1690"/>
      <c r="AK317" s="1690"/>
      <c r="AL317" s="25"/>
      <c r="AM317" s="137"/>
      <c r="AN317" s="439"/>
    </row>
    <row r="318" spans="1:40" s="46" customFormat="1" ht="12.75" customHeight="1">
      <c r="A318" s="153"/>
      <c r="B318" s="72" t="s">
        <v>110</v>
      </c>
      <c r="C318" s="72"/>
      <c r="D318" s="72"/>
      <c r="E318" s="72"/>
      <c r="F318" s="72"/>
      <c r="G318" s="16"/>
      <c r="H318" s="1690" t="s">
        <v>2488</v>
      </c>
      <c r="I318" s="1690"/>
      <c r="J318" s="1690"/>
      <c r="K318" s="1690"/>
      <c r="L318" s="1690"/>
      <c r="M318" s="1690"/>
      <c r="N318" s="1690"/>
      <c r="O318" s="1690"/>
      <c r="P318" s="1690"/>
      <c r="Q318" s="1690"/>
      <c r="R318" s="1690"/>
      <c r="S318" s="16"/>
      <c r="T318" s="72" t="s">
        <v>110</v>
      </c>
      <c r="U318" s="16"/>
      <c r="V318" s="72"/>
      <c r="W318" s="72"/>
      <c r="X318" s="72"/>
      <c r="Y318" s="72"/>
      <c r="Z318" s="16"/>
      <c r="AA318" s="1690"/>
      <c r="AB318" s="1690"/>
      <c r="AC318" s="1690"/>
      <c r="AD318" s="1690"/>
      <c r="AE318" s="1690"/>
      <c r="AF318" s="1690"/>
      <c r="AG318" s="1690"/>
      <c r="AH318" s="1690"/>
      <c r="AI318" s="1690"/>
      <c r="AJ318" s="1690"/>
      <c r="AK318" s="1690"/>
      <c r="AL318" s="25"/>
      <c r="AM318" s="137"/>
      <c r="AN318" s="439"/>
    </row>
    <row r="319" spans="1:40" s="46" customFormat="1" ht="12.75" customHeight="1">
      <c r="A319" s="153"/>
      <c r="B319" s="72" t="s">
        <v>418</v>
      </c>
      <c r="C319" s="72"/>
      <c r="D319" s="72"/>
      <c r="E319" s="72"/>
      <c r="F319" s="72"/>
      <c r="G319" s="16"/>
      <c r="H319" s="1690" t="s">
        <v>2513</v>
      </c>
      <c r="I319" s="1690"/>
      <c r="J319" s="1690"/>
      <c r="K319" s="1690"/>
      <c r="L319" s="1690"/>
      <c r="M319" s="1690"/>
      <c r="N319" s="1690"/>
      <c r="O319" s="1690"/>
      <c r="P319" s="1690"/>
      <c r="Q319" s="1690"/>
      <c r="R319" s="1690"/>
      <c r="S319" s="16"/>
      <c r="T319" s="72" t="s">
        <v>418</v>
      </c>
      <c r="U319" s="16"/>
      <c r="V319" s="72"/>
      <c r="W319" s="72"/>
      <c r="X319" s="72"/>
      <c r="Y319" s="72"/>
      <c r="Z319" s="16"/>
      <c r="AA319" s="1690"/>
      <c r="AB319" s="1690"/>
      <c r="AC319" s="1690"/>
      <c r="AD319" s="1690"/>
      <c r="AE319" s="1690"/>
      <c r="AF319" s="1690"/>
      <c r="AG319" s="1690"/>
      <c r="AH319" s="1690"/>
      <c r="AI319" s="1690"/>
      <c r="AJ319" s="1690"/>
      <c r="AK319" s="1690"/>
      <c r="AL319" s="25"/>
      <c r="AM319" s="137"/>
      <c r="AN319" s="439"/>
    </row>
    <row r="320" spans="1:40" s="46" customFormat="1" ht="12.75" customHeight="1">
      <c r="A320" s="153"/>
      <c r="B320" s="72" t="s">
        <v>419</v>
      </c>
      <c r="C320" s="72"/>
      <c r="D320" s="72"/>
      <c r="E320" s="72"/>
      <c r="F320" s="72"/>
      <c r="G320" s="72"/>
      <c r="H320" s="1695" t="s">
        <v>2514</v>
      </c>
      <c r="I320" s="1695"/>
      <c r="J320" s="1695"/>
      <c r="K320" s="1695"/>
      <c r="L320" s="1695"/>
      <c r="M320" s="1695"/>
      <c r="N320" s="8" t="s">
        <v>900</v>
      </c>
      <c r="O320" s="8"/>
      <c r="P320" s="1686"/>
      <c r="Q320" s="1686"/>
      <c r="R320" s="1686"/>
      <c r="S320" s="72"/>
      <c r="T320" s="72" t="s">
        <v>419</v>
      </c>
      <c r="U320" s="16"/>
      <c r="V320" s="72"/>
      <c r="W320" s="72"/>
      <c r="X320" s="72"/>
      <c r="Y320" s="72"/>
      <c r="Z320" s="16"/>
      <c r="AA320" s="1693"/>
      <c r="AB320" s="1693"/>
      <c r="AC320" s="1693"/>
      <c r="AD320" s="1693"/>
      <c r="AE320" s="1693"/>
      <c r="AF320" s="1693"/>
      <c r="AG320" s="8" t="s">
        <v>900</v>
      </c>
      <c r="AH320" s="8"/>
      <c r="AI320" s="1686"/>
      <c r="AJ320" s="1686"/>
      <c r="AK320" s="1686"/>
      <c r="AL320" s="25"/>
      <c r="AM320" s="137"/>
      <c r="AN320" s="439"/>
    </row>
    <row r="321" spans="1:76" s="46" customFormat="1" ht="12.75" customHeight="1">
      <c r="A321" s="153"/>
      <c r="B321" s="72" t="s">
        <v>99</v>
      </c>
      <c r="C321" s="72"/>
      <c r="D321" s="72"/>
      <c r="E321" s="72"/>
      <c r="F321" s="72"/>
      <c r="G321" s="72"/>
      <c r="H321" s="1690" t="s">
        <v>102</v>
      </c>
      <c r="I321" s="1690"/>
      <c r="J321" s="1690"/>
      <c r="K321" s="1690"/>
      <c r="L321" s="1690"/>
      <c r="M321" s="1690"/>
      <c r="N321" s="1690"/>
      <c r="O321" s="1690"/>
      <c r="P321" s="1690"/>
      <c r="Q321" s="1690"/>
      <c r="R321" s="1690"/>
      <c r="S321" s="72"/>
      <c r="T321" s="72" t="s">
        <v>99</v>
      </c>
      <c r="U321" s="16"/>
      <c r="V321" s="72"/>
      <c r="W321" s="72"/>
      <c r="X321" s="72"/>
      <c r="Y321" s="72"/>
      <c r="Z321" s="16"/>
      <c r="AA321" s="1690"/>
      <c r="AB321" s="1690"/>
      <c r="AC321" s="1690"/>
      <c r="AD321" s="1690"/>
      <c r="AE321" s="1690"/>
      <c r="AF321" s="1690"/>
      <c r="AG321" s="1690"/>
      <c r="AH321" s="1690"/>
      <c r="AI321" s="1690"/>
      <c r="AJ321" s="1690"/>
      <c r="AK321" s="1690"/>
      <c r="AL321" s="25"/>
      <c r="AM321" s="137"/>
      <c r="AN321" s="439"/>
    </row>
    <row r="322" spans="1:76" s="46" customFormat="1" ht="12.75" customHeight="1">
      <c r="A322" s="153"/>
      <c r="B322" s="72" t="s">
        <v>101</v>
      </c>
      <c r="C322" s="72"/>
      <c r="D322" s="72"/>
      <c r="E322" s="72"/>
      <c r="F322" s="72"/>
      <c r="G322" s="72"/>
      <c r="H322" s="1690" t="s">
        <v>2515</v>
      </c>
      <c r="I322" s="1690"/>
      <c r="J322" s="1690"/>
      <c r="K322" s="1690"/>
      <c r="L322" s="1690"/>
      <c r="M322" s="1690"/>
      <c r="N322" s="1690"/>
      <c r="O322" s="1690"/>
      <c r="P322" s="1690"/>
      <c r="Q322" s="1690"/>
      <c r="R322" s="1690"/>
      <c r="S322" s="72"/>
      <c r="T322" s="72" t="s">
        <v>101</v>
      </c>
      <c r="U322" s="16"/>
      <c r="V322" s="72"/>
      <c r="W322" s="72"/>
      <c r="X322" s="72"/>
      <c r="Y322" s="72"/>
      <c r="Z322" s="16"/>
      <c r="AA322" s="1690"/>
      <c r="AB322" s="1690"/>
      <c r="AC322" s="1690"/>
      <c r="AD322" s="1690"/>
      <c r="AE322" s="1690"/>
      <c r="AF322" s="1690"/>
      <c r="AG322" s="1690"/>
      <c r="AH322" s="1690"/>
      <c r="AI322" s="1690"/>
      <c r="AJ322" s="1690"/>
      <c r="AK322" s="1690"/>
      <c r="AL322" s="25"/>
      <c r="AM322" s="137"/>
      <c r="AN322" s="439"/>
    </row>
    <row r="323" spans="1:76" s="46" customFormat="1" ht="12.75" customHeight="1">
      <c r="A323" s="153"/>
      <c r="B323" s="72" t="s">
        <v>112</v>
      </c>
      <c r="C323" s="72"/>
      <c r="D323" s="72"/>
      <c r="E323" s="72"/>
      <c r="F323" s="72"/>
      <c r="G323" s="72"/>
      <c r="H323" s="2419">
        <v>0.1</v>
      </c>
      <c r="I323" s="2419"/>
      <c r="J323" s="2419"/>
      <c r="K323" s="2419"/>
      <c r="L323" s="2419"/>
      <c r="M323" s="2419"/>
      <c r="N323" s="2419"/>
      <c r="O323" s="2419"/>
      <c r="P323" s="2419"/>
      <c r="Q323" s="2419"/>
      <c r="R323" s="2419"/>
      <c r="S323" s="72"/>
      <c r="T323" s="72" t="s">
        <v>112</v>
      </c>
      <c r="U323" s="72"/>
      <c r="V323" s="72"/>
      <c r="W323" s="72"/>
      <c r="X323" s="72"/>
      <c r="Y323" s="72"/>
      <c r="Z323" s="18"/>
      <c r="AA323" s="2419"/>
      <c r="AB323" s="2419"/>
      <c r="AC323" s="2419"/>
      <c r="AD323" s="2419"/>
      <c r="AE323" s="2419"/>
      <c r="AF323" s="2419"/>
      <c r="AG323" s="2419"/>
      <c r="AH323" s="2419"/>
      <c r="AI323" s="2419"/>
      <c r="AJ323" s="2419"/>
      <c r="AK323" s="241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1"/>
      <c r="I325" s="1691"/>
      <c r="J325" s="1691"/>
      <c r="K325" s="1691"/>
      <c r="L325" s="1691"/>
      <c r="M325" s="1691"/>
      <c r="N325" s="1691"/>
      <c r="O325" s="1691"/>
      <c r="P325" s="1691"/>
      <c r="Q325" s="1691"/>
      <c r="R325" s="1691"/>
      <c r="S325" s="16"/>
      <c r="T325" s="72" t="s">
        <v>100</v>
      </c>
      <c r="U325" s="16"/>
      <c r="V325" s="72"/>
      <c r="W325" s="72"/>
      <c r="X325" s="72"/>
      <c r="Y325" s="72"/>
      <c r="Z325" s="16"/>
      <c r="AA325" s="1691"/>
      <c r="AB325" s="1691"/>
      <c r="AC325" s="1691"/>
      <c r="AD325" s="1691"/>
      <c r="AE325" s="1691"/>
      <c r="AF325" s="1691"/>
      <c r="AG325" s="1691"/>
      <c r="AH325" s="1691"/>
      <c r="AI325" s="1691"/>
      <c r="AJ325" s="1691"/>
      <c r="AK325" s="1691"/>
      <c r="AL325" s="327"/>
      <c r="AM325" s="137"/>
      <c r="AN325" s="439"/>
    </row>
    <row r="326" spans="1:76" s="46" customFormat="1" ht="12.75" customHeight="1">
      <c r="A326" s="153"/>
      <c r="B326" s="72" t="s">
        <v>765</v>
      </c>
      <c r="C326" s="72"/>
      <c r="D326" s="72"/>
      <c r="E326" s="72"/>
      <c r="F326" s="72"/>
      <c r="G326" s="16"/>
      <c r="H326" s="1690"/>
      <c r="I326" s="1690"/>
      <c r="J326" s="1690"/>
      <c r="K326" s="1690"/>
      <c r="L326" s="1690"/>
      <c r="M326" s="1690"/>
      <c r="N326" s="1690"/>
      <c r="O326" s="1690"/>
      <c r="P326" s="1690"/>
      <c r="Q326" s="1690"/>
      <c r="R326" s="1690"/>
      <c r="S326" s="16"/>
      <c r="T326" s="72" t="s">
        <v>765</v>
      </c>
      <c r="U326" s="16"/>
      <c r="V326" s="72"/>
      <c r="W326" s="72"/>
      <c r="X326" s="72"/>
      <c r="Y326" s="72"/>
      <c r="Z326" s="16"/>
      <c r="AA326" s="1690"/>
      <c r="AB326" s="1690"/>
      <c r="AC326" s="1690"/>
      <c r="AD326" s="1690"/>
      <c r="AE326" s="1690"/>
      <c r="AF326" s="1690"/>
      <c r="AG326" s="1690"/>
      <c r="AH326" s="1690"/>
      <c r="AI326" s="1690"/>
      <c r="AJ326" s="1690"/>
      <c r="AK326" s="1690"/>
      <c r="AL326" s="327"/>
      <c r="AM326" s="137"/>
      <c r="AN326" s="439"/>
    </row>
    <row r="327" spans="1:76" s="46" customFormat="1" ht="18" customHeight="1">
      <c r="A327" s="153"/>
      <c r="B327" s="72" t="s">
        <v>110</v>
      </c>
      <c r="C327" s="72"/>
      <c r="D327" s="72"/>
      <c r="E327" s="72"/>
      <c r="F327" s="72"/>
      <c r="G327" s="16"/>
      <c r="H327" s="1690"/>
      <c r="I327" s="1690"/>
      <c r="J327" s="1690"/>
      <c r="K327" s="1690"/>
      <c r="L327" s="1690"/>
      <c r="M327" s="1690"/>
      <c r="N327" s="1690"/>
      <c r="O327" s="1690"/>
      <c r="P327" s="1690"/>
      <c r="Q327" s="1690"/>
      <c r="R327" s="1690"/>
      <c r="S327" s="16"/>
      <c r="T327" s="72" t="s">
        <v>110</v>
      </c>
      <c r="U327" s="16"/>
      <c r="V327" s="72"/>
      <c r="W327" s="72"/>
      <c r="X327" s="72"/>
      <c r="Y327" s="72"/>
      <c r="Z327" s="16"/>
      <c r="AA327" s="1690"/>
      <c r="AB327" s="1690"/>
      <c r="AC327" s="1690"/>
      <c r="AD327" s="1690"/>
      <c r="AE327" s="1690"/>
      <c r="AF327" s="1690"/>
      <c r="AG327" s="1690"/>
      <c r="AH327" s="1690"/>
      <c r="AI327" s="1690"/>
      <c r="AJ327" s="1690"/>
      <c r="AK327" s="1690"/>
      <c r="AL327" s="327"/>
      <c r="AM327" s="137"/>
      <c r="AN327" s="439"/>
    </row>
    <row r="328" spans="1:76" s="46" customFormat="1" ht="12.75" customHeight="1">
      <c r="A328" s="153"/>
      <c r="B328" s="72" t="s">
        <v>418</v>
      </c>
      <c r="C328" s="72"/>
      <c r="D328" s="72"/>
      <c r="E328" s="72"/>
      <c r="F328" s="72"/>
      <c r="G328" s="16"/>
      <c r="H328" s="1690"/>
      <c r="I328" s="1690"/>
      <c r="J328" s="1690"/>
      <c r="K328" s="1690"/>
      <c r="L328" s="1690"/>
      <c r="M328" s="1690"/>
      <c r="N328" s="1690"/>
      <c r="O328" s="1690"/>
      <c r="P328" s="1690"/>
      <c r="Q328" s="1690"/>
      <c r="R328" s="1690"/>
      <c r="S328" s="16"/>
      <c r="T328" s="72" t="s">
        <v>418</v>
      </c>
      <c r="U328" s="16"/>
      <c r="V328" s="72"/>
      <c r="W328" s="72"/>
      <c r="X328" s="72"/>
      <c r="Y328" s="72"/>
      <c r="Z328" s="16"/>
      <c r="AA328" s="1690"/>
      <c r="AB328" s="1690"/>
      <c r="AC328" s="1690"/>
      <c r="AD328" s="1690"/>
      <c r="AE328" s="1690"/>
      <c r="AF328" s="1690"/>
      <c r="AG328" s="1690"/>
      <c r="AH328" s="1690"/>
      <c r="AI328" s="1690"/>
      <c r="AJ328" s="1690"/>
      <c r="AK328" s="1690"/>
      <c r="AL328" s="327"/>
      <c r="AM328" s="137"/>
      <c r="AN328" s="439"/>
    </row>
    <row r="329" spans="1:76" s="46" customFormat="1" ht="12.75" customHeight="1">
      <c r="A329" s="153"/>
      <c r="B329" s="72" t="s">
        <v>419</v>
      </c>
      <c r="C329" s="72"/>
      <c r="D329" s="72"/>
      <c r="E329" s="72"/>
      <c r="F329" s="72"/>
      <c r="G329" s="72"/>
      <c r="H329" s="1693"/>
      <c r="I329" s="1693"/>
      <c r="J329" s="1693"/>
      <c r="K329" s="1693"/>
      <c r="L329" s="1693"/>
      <c r="M329" s="1693"/>
      <c r="N329" s="8" t="s">
        <v>900</v>
      </c>
      <c r="O329" s="8"/>
      <c r="P329" s="1686"/>
      <c r="Q329" s="1686"/>
      <c r="R329" s="1686"/>
      <c r="S329" s="72"/>
      <c r="T329" s="72" t="s">
        <v>419</v>
      </c>
      <c r="U329" s="16"/>
      <c r="V329" s="72"/>
      <c r="W329" s="72"/>
      <c r="X329" s="72"/>
      <c r="Y329" s="72"/>
      <c r="Z329" s="16"/>
      <c r="AA329" s="1693"/>
      <c r="AB329" s="1693"/>
      <c r="AC329" s="1693"/>
      <c r="AD329" s="1693"/>
      <c r="AE329" s="1693"/>
      <c r="AF329" s="1693"/>
      <c r="AG329" s="8" t="s">
        <v>900</v>
      </c>
      <c r="AH329" s="8"/>
      <c r="AI329" s="1686"/>
      <c r="AJ329" s="1686"/>
      <c r="AK329" s="1686"/>
      <c r="AL329" s="327"/>
      <c r="AM329" s="137"/>
      <c r="AN329" s="439"/>
    </row>
    <row r="330" spans="1:76" s="137" customFormat="1" ht="12.75" customHeight="1">
      <c r="A330" s="153"/>
      <c r="B330" s="72" t="s">
        <v>99</v>
      </c>
      <c r="C330" s="72"/>
      <c r="D330" s="72"/>
      <c r="E330" s="72"/>
      <c r="F330" s="72"/>
      <c r="G330" s="72"/>
      <c r="H330" s="1690"/>
      <c r="I330" s="1690"/>
      <c r="J330" s="1690"/>
      <c r="K330" s="1690"/>
      <c r="L330" s="1690"/>
      <c r="M330" s="1690"/>
      <c r="N330" s="1690"/>
      <c r="O330" s="1690"/>
      <c r="P330" s="1690"/>
      <c r="Q330" s="1690"/>
      <c r="R330" s="1690"/>
      <c r="S330" s="72"/>
      <c r="T330" s="72" t="s">
        <v>99</v>
      </c>
      <c r="U330" s="16"/>
      <c r="V330" s="72"/>
      <c r="W330" s="72"/>
      <c r="X330" s="72"/>
      <c r="Y330" s="72"/>
      <c r="Z330" s="16"/>
      <c r="AA330" s="1690"/>
      <c r="AB330" s="1690"/>
      <c r="AC330" s="1690"/>
      <c r="AD330" s="1690"/>
      <c r="AE330" s="1690"/>
      <c r="AF330" s="1690"/>
      <c r="AG330" s="1690"/>
      <c r="AH330" s="1690"/>
      <c r="AI330" s="1690"/>
      <c r="AJ330" s="1690"/>
      <c r="AK330" s="1690"/>
      <c r="AL330" s="327"/>
      <c r="AN330" s="1132"/>
    </row>
    <row r="331" spans="1:76" s="46" customFormat="1" ht="12.75" customHeight="1">
      <c r="A331" s="153"/>
      <c r="B331" s="72" t="s">
        <v>101</v>
      </c>
      <c r="C331" s="72"/>
      <c r="D331" s="72"/>
      <c r="E331" s="72"/>
      <c r="F331" s="72"/>
      <c r="G331" s="72"/>
      <c r="H331" s="1690"/>
      <c r="I331" s="1690"/>
      <c r="J331" s="1690"/>
      <c r="K331" s="1690"/>
      <c r="L331" s="1690"/>
      <c r="M331" s="1690"/>
      <c r="N331" s="1690"/>
      <c r="O331" s="1690"/>
      <c r="P331" s="1690"/>
      <c r="Q331" s="1690"/>
      <c r="R331" s="1690"/>
      <c r="S331" s="72"/>
      <c r="T331" s="72" t="s">
        <v>101</v>
      </c>
      <c r="U331" s="16"/>
      <c r="V331" s="72"/>
      <c r="W331" s="72"/>
      <c r="X331" s="72"/>
      <c r="Y331" s="72"/>
      <c r="Z331" s="16"/>
      <c r="AA331" s="1690"/>
      <c r="AB331" s="1690"/>
      <c r="AC331" s="1690"/>
      <c r="AD331" s="1690"/>
      <c r="AE331" s="1690"/>
      <c r="AF331" s="1690"/>
      <c r="AG331" s="1690"/>
      <c r="AH331" s="1690"/>
      <c r="AI331" s="1690"/>
      <c r="AJ331" s="1690"/>
      <c r="AK331" s="1690"/>
      <c r="AL331" s="327"/>
      <c r="AM331" s="137"/>
      <c r="AN331" s="439"/>
    </row>
    <row r="332" spans="1:76" s="46" customFormat="1" ht="12.75" customHeight="1">
      <c r="A332" s="153"/>
      <c r="B332" s="72" t="s">
        <v>112</v>
      </c>
      <c r="C332" s="72"/>
      <c r="D332" s="72"/>
      <c r="E332" s="72"/>
      <c r="F332" s="72"/>
      <c r="G332" s="72"/>
      <c r="H332" s="2419"/>
      <c r="I332" s="2419"/>
      <c r="J332" s="2419"/>
      <c r="K332" s="2419"/>
      <c r="L332" s="2419"/>
      <c r="M332" s="2419"/>
      <c r="N332" s="2419"/>
      <c r="O332" s="2419"/>
      <c r="P332" s="2419"/>
      <c r="Q332" s="2419"/>
      <c r="R332" s="2419"/>
      <c r="S332" s="72"/>
      <c r="T332" s="72" t="s">
        <v>112</v>
      </c>
      <c r="U332" s="72"/>
      <c r="V332" s="72"/>
      <c r="W332" s="72"/>
      <c r="X332" s="72"/>
      <c r="Y332" s="72"/>
      <c r="Z332" s="18"/>
      <c r="AA332" s="2419"/>
      <c r="AB332" s="2419"/>
      <c r="AC332" s="2419"/>
      <c r="AD332" s="2419"/>
      <c r="AE332" s="2419"/>
      <c r="AF332" s="2419"/>
      <c r="AG332" s="2419"/>
      <c r="AH332" s="2419"/>
      <c r="AI332" s="2419"/>
      <c r="AJ332" s="2419"/>
      <c r="AK332" s="241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0" t="s">
        <v>408</v>
      </c>
      <c r="AF335" s="2420"/>
      <c r="AG335" s="2420"/>
      <c r="AH335" s="2420"/>
      <c r="AI335" s="2420"/>
      <c r="AJ335" s="2420"/>
      <c r="AK335" s="2420"/>
      <c r="AL335" s="152"/>
      <c r="AM335" s="1408"/>
      <c r="AN335" s="152"/>
    </row>
    <row r="336" spans="1:76" s="46" customFormat="1" ht="12.75" customHeight="1">
      <c r="A336" s="152"/>
      <c r="B336" s="161"/>
      <c r="C336" s="2421" t="s">
        <v>2085</v>
      </c>
      <c r="D336" s="2421"/>
      <c r="E336" s="2421"/>
      <c r="F336" s="2421"/>
      <c r="G336" s="2421"/>
      <c r="H336" s="2421"/>
      <c r="I336" s="2421"/>
      <c r="J336" s="2421"/>
      <c r="K336" s="2421"/>
      <c r="L336" s="2421"/>
      <c r="M336" s="2421"/>
      <c r="N336" s="2421"/>
      <c r="O336" s="2421"/>
      <c r="P336" s="2421"/>
      <c r="Q336" s="2421"/>
      <c r="R336" s="2421"/>
      <c r="S336" s="2421"/>
      <c r="T336" s="2421"/>
      <c r="U336" s="2421"/>
      <c r="V336" s="2421"/>
      <c r="W336" s="2421"/>
      <c r="X336" s="2421"/>
      <c r="Y336" s="2421"/>
      <c r="Z336" s="2421"/>
      <c r="AA336" s="2421"/>
      <c r="AB336" s="2421"/>
      <c r="AC336" s="2421"/>
      <c r="AD336" s="2421"/>
      <c r="AE336" s="2421"/>
      <c r="AF336" s="2421"/>
      <c r="AG336" s="2421"/>
      <c r="AH336" s="2421"/>
      <c r="AI336" s="2421"/>
      <c r="AJ336" s="2421"/>
      <c r="AM336" s="1409"/>
      <c r="AS336" s="1317"/>
      <c r="AT336" s="1317"/>
      <c r="AU336" s="1317"/>
      <c r="AV336" s="1317"/>
      <c r="AW336" s="1317"/>
      <c r="AX336" s="1317"/>
      <c r="AY336" s="1317"/>
      <c r="AZ336" s="1317"/>
      <c r="BA336" s="1317"/>
      <c r="BB336" s="1317"/>
      <c r="BC336" s="1317"/>
      <c r="BD336" s="1317"/>
      <c r="BE336" s="1317"/>
      <c r="BF336" s="1317"/>
      <c r="BG336" s="1317"/>
      <c r="BH336" s="1317"/>
      <c r="BI336" s="1317"/>
      <c r="BJ336" s="1317"/>
      <c r="BK336" s="1317"/>
      <c r="BL336" s="1317"/>
      <c r="BM336" s="1317"/>
      <c r="BN336" s="1317"/>
      <c r="BO336" s="1317"/>
      <c r="BP336" s="1317"/>
      <c r="BQ336" s="1317"/>
      <c r="BR336" s="1317"/>
      <c r="BS336" s="1317"/>
      <c r="BT336" s="1317"/>
      <c r="BU336" s="1317"/>
      <c r="BV336" s="1317"/>
      <c r="BW336" s="1317"/>
      <c r="BX336" s="1317"/>
    </row>
    <row r="337" spans="1:76" s="46" customFormat="1" ht="12.75" customHeight="1">
      <c r="A337" s="16"/>
      <c r="C337" s="2421"/>
      <c r="D337" s="2421"/>
      <c r="E337" s="2421"/>
      <c r="F337" s="2421"/>
      <c r="G337" s="2421"/>
      <c r="H337" s="2421"/>
      <c r="I337" s="2421"/>
      <c r="J337" s="2421"/>
      <c r="K337" s="2421"/>
      <c r="L337" s="2421"/>
      <c r="M337" s="2421"/>
      <c r="N337" s="2421"/>
      <c r="O337" s="2421"/>
      <c r="P337" s="2421"/>
      <c r="Q337" s="2421"/>
      <c r="R337" s="2421"/>
      <c r="S337" s="2421"/>
      <c r="T337" s="2421"/>
      <c r="U337" s="2421"/>
      <c r="V337" s="2421"/>
      <c r="W337" s="2421"/>
      <c r="X337" s="2421"/>
      <c r="Y337" s="2421"/>
      <c r="Z337" s="2421"/>
      <c r="AA337" s="2421"/>
      <c r="AB337" s="2421"/>
      <c r="AC337" s="2421"/>
      <c r="AD337" s="2421"/>
      <c r="AE337" s="2421"/>
      <c r="AF337" s="2421"/>
      <c r="AG337" s="2421"/>
      <c r="AH337" s="2421"/>
      <c r="AI337" s="2421"/>
      <c r="AJ337" s="2421"/>
      <c r="AK337" s="152"/>
      <c r="AL337" s="152"/>
      <c r="AM337" s="163"/>
      <c r="AN337" s="439"/>
      <c r="AR337" s="1317"/>
      <c r="AS337" s="1317"/>
      <c r="AT337" s="1317"/>
      <c r="AU337" s="1317"/>
      <c r="AV337" s="1317"/>
      <c r="AW337" s="1317"/>
      <c r="AX337" s="1317"/>
      <c r="AY337" s="1317"/>
      <c r="AZ337" s="1317"/>
      <c r="BA337" s="1317"/>
      <c r="BB337" s="1317"/>
      <c r="BC337" s="1317"/>
      <c r="BD337" s="1317"/>
      <c r="BE337" s="1317"/>
      <c r="BF337" s="1317"/>
      <c r="BG337" s="1317"/>
      <c r="BH337" s="1317"/>
      <c r="BI337" s="1317"/>
      <c r="BJ337" s="1317"/>
      <c r="BK337" s="1317"/>
      <c r="BL337" s="1317"/>
      <c r="BM337" s="1317"/>
      <c r="BN337" s="1317"/>
      <c r="BO337" s="1317"/>
      <c r="BP337" s="1317"/>
      <c r="BQ337" s="1317"/>
      <c r="BR337" s="1317"/>
      <c r="BS337" s="1317"/>
      <c r="BT337" s="1317"/>
      <c r="BU337" s="1317"/>
      <c r="BV337" s="1317"/>
      <c r="BW337" s="1317"/>
      <c r="BX337" s="1317"/>
    </row>
    <row r="338" spans="1:76" s="46" customFormat="1" ht="12.75" customHeight="1">
      <c r="A338" s="163"/>
      <c r="B338" s="164"/>
      <c r="C338" s="2421"/>
      <c r="D338" s="2421"/>
      <c r="E338" s="2421"/>
      <c r="F338" s="2421"/>
      <c r="G338" s="2421"/>
      <c r="H338" s="2421"/>
      <c r="I338" s="2421"/>
      <c r="J338" s="2421"/>
      <c r="K338" s="2421"/>
      <c r="L338" s="2421"/>
      <c r="M338" s="2421"/>
      <c r="N338" s="2421"/>
      <c r="O338" s="2421"/>
      <c r="P338" s="2421"/>
      <c r="Q338" s="2421"/>
      <c r="R338" s="2421"/>
      <c r="S338" s="2421"/>
      <c r="T338" s="2421"/>
      <c r="U338" s="2421"/>
      <c r="V338" s="2421"/>
      <c r="W338" s="2421"/>
      <c r="X338" s="2421"/>
      <c r="Y338" s="2421"/>
      <c r="Z338" s="2421"/>
      <c r="AA338" s="2421"/>
      <c r="AB338" s="2421"/>
      <c r="AC338" s="2421"/>
      <c r="AD338" s="2421"/>
      <c r="AE338" s="2421"/>
      <c r="AF338" s="2421"/>
      <c r="AG338" s="2421"/>
      <c r="AH338" s="2421"/>
      <c r="AI338" s="2421"/>
      <c r="AJ338" s="2421"/>
      <c r="AK338" s="163"/>
      <c r="AL338" s="163"/>
      <c r="AM338" s="163"/>
      <c r="AN338" s="439"/>
      <c r="AO338" s="293"/>
      <c r="AR338" s="1317"/>
      <c r="AS338" s="1317"/>
      <c r="AT338" s="1317"/>
      <c r="AU338" s="1317"/>
      <c r="AV338" s="1317"/>
      <c r="AW338" s="1317"/>
      <c r="AX338" s="1317"/>
      <c r="AY338" s="1317"/>
      <c r="AZ338" s="1317"/>
      <c r="BA338" s="1317"/>
      <c r="BB338" s="1317"/>
      <c r="BC338" s="1317"/>
      <c r="BD338" s="1317"/>
      <c r="BE338" s="1317"/>
      <c r="BF338" s="1317"/>
      <c r="BG338" s="1317"/>
      <c r="BH338" s="1317"/>
      <c r="BI338" s="1317"/>
      <c r="BJ338" s="1317"/>
      <c r="BK338" s="1317"/>
      <c r="BL338" s="1317"/>
      <c r="BM338" s="1317"/>
      <c r="BN338" s="1317"/>
      <c r="BO338" s="1317"/>
      <c r="BP338" s="1317"/>
      <c r="BQ338" s="1317"/>
      <c r="BR338" s="1317"/>
      <c r="BS338" s="1317"/>
      <c r="BT338" s="1317"/>
      <c r="BU338" s="1317"/>
      <c r="BV338" s="1317"/>
      <c r="BW338" s="1317"/>
      <c r="BX338" s="1317"/>
    </row>
    <row r="339" spans="1:76" s="46" customFormat="1" ht="12.75" customHeight="1">
      <c r="A339" s="163"/>
      <c r="B339" s="164"/>
      <c r="C339" s="2421"/>
      <c r="D339" s="2421"/>
      <c r="E339" s="2421"/>
      <c r="F339" s="2421"/>
      <c r="G339" s="2421"/>
      <c r="H339" s="2421"/>
      <c r="I339" s="2421"/>
      <c r="J339" s="2421"/>
      <c r="K339" s="2421"/>
      <c r="L339" s="2421"/>
      <c r="M339" s="2421"/>
      <c r="N339" s="2421"/>
      <c r="O339" s="2421"/>
      <c r="P339" s="2421"/>
      <c r="Q339" s="2421"/>
      <c r="R339" s="2421"/>
      <c r="S339" s="2421"/>
      <c r="T339" s="2421"/>
      <c r="U339" s="2421"/>
      <c r="V339" s="2421"/>
      <c r="W339" s="2421"/>
      <c r="X339" s="2421"/>
      <c r="Y339" s="2421"/>
      <c r="Z339" s="2421"/>
      <c r="AA339" s="2421"/>
      <c r="AB339" s="2421"/>
      <c r="AC339" s="2421"/>
      <c r="AD339" s="2421"/>
      <c r="AE339" s="2421"/>
      <c r="AF339" s="2421"/>
      <c r="AG339" s="2421"/>
      <c r="AH339" s="2421"/>
      <c r="AI339" s="2421"/>
      <c r="AJ339" s="2421"/>
      <c r="AK339" s="163"/>
      <c r="AL339" s="163"/>
      <c r="AM339" s="163"/>
      <c r="AN339" s="439"/>
      <c r="AO339" s="293"/>
      <c r="AR339" s="1317"/>
      <c r="AS339" s="1317"/>
      <c r="AT339" s="1317"/>
      <c r="AU339" s="1317"/>
      <c r="AV339" s="1317"/>
      <c r="AW339" s="1317"/>
      <c r="AX339" s="1317"/>
      <c r="AY339" s="1317"/>
      <c r="AZ339" s="1317"/>
      <c r="BA339" s="1317"/>
      <c r="BB339" s="1317"/>
      <c r="BC339" s="1317"/>
      <c r="BD339" s="1317"/>
      <c r="BE339" s="1317"/>
      <c r="BF339" s="1317"/>
      <c r="BG339" s="1317"/>
      <c r="BH339" s="1317"/>
      <c r="BI339" s="1317"/>
      <c r="BJ339" s="1317"/>
      <c r="BK339" s="1317"/>
      <c r="BL339" s="1317"/>
      <c r="BM339" s="1317"/>
      <c r="BN339" s="1317"/>
      <c r="BO339" s="1317"/>
      <c r="BP339" s="1317"/>
      <c r="BQ339" s="1317"/>
      <c r="BR339" s="1317"/>
      <c r="BS339" s="1317"/>
      <c r="BT339" s="1317"/>
      <c r="BU339" s="1317"/>
      <c r="BV339" s="1317"/>
      <c r="BW339" s="1317"/>
      <c r="BX339" s="1317"/>
    </row>
    <row r="340" spans="1:76" s="46" customFormat="1" ht="12.75" customHeight="1">
      <c r="A340" s="163"/>
      <c r="B340" s="164"/>
      <c r="C340" s="2421"/>
      <c r="D340" s="2421"/>
      <c r="E340" s="2421"/>
      <c r="F340" s="2421"/>
      <c r="G340" s="2421"/>
      <c r="H340" s="2421"/>
      <c r="I340" s="2421"/>
      <c r="J340" s="2421"/>
      <c r="K340" s="2421"/>
      <c r="L340" s="2421"/>
      <c r="M340" s="2421"/>
      <c r="N340" s="2421"/>
      <c r="O340" s="2421"/>
      <c r="P340" s="2421"/>
      <c r="Q340" s="2421"/>
      <c r="R340" s="2421"/>
      <c r="S340" s="2421"/>
      <c r="T340" s="2421"/>
      <c r="U340" s="2421"/>
      <c r="V340" s="2421"/>
      <c r="W340" s="2421"/>
      <c r="X340" s="2421"/>
      <c r="Y340" s="2421"/>
      <c r="Z340" s="2421"/>
      <c r="AA340" s="2421"/>
      <c r="AB340" s="2421"/>
      <c r="AC340" s="2421"/>
      <c r="AD340" s="2421"/>
      <c r="AE340" s="2421"/>
      <c r="AF340" s="2421"/>
      <c r="AG340" s="2421"/>
      <c r="AH340" s="2421"/>
      <c r="AI340" s="2421"/>
      <c r="AJ340" s="2421"/>
      <c r="AK340" s="163"/>
      <c r="AL340" s="163"/>
      <c r="AM340" s="163"/>
      <c r="AN340" s="439"/>
      <c r="AO340" s="293"/>
      <c r="AR340" s="1317"/>
      <c r="AS340" s="1317"/>
      <c r="AT340" s="1317"/>
      <c r="AU340" s="1317"/>
      <c r="AV340" s="1317"/>
      <c r="AW340" s="1317"/>
      <c r="AX340" s="1317"/>
      <c r="AY340" s="1317"/>
      <c r="AZ340" s="1317"/>
      <c r="BA340" s="1317"/>
      <c r="BB340" s="1317"/>
      <c r="BC340" s="1317"/>
      <c r="BD340" s="1317"/>
      <c r="BE340" s="1317"/>
      <c r="BF340" s="1317"/>
      <c r="BG340" s="1317"/>
      <c r="BH340" s="1317"/>
      <c r="BI340" s="1317"/>
      <c r="BJ340" s="1317"/>
      <c r="BK340" s="1317"/>
      <c r="BL340" s="1317"/>
      <c r="BM340" s="1317"/>
      <c r="BN340" s="1317"/>
      <c r="BO340" s="1317"/>
      <c r="BP340" s="1317"/>
      <c r="BQ340" s="1317"/>
      <c r="BR340" s="1317"/>
      <c r="BS340" s="1317"/>
      <c r="BT340" s="1317"/>
      <c r="BU340" s="1317"/>
      <c r="BV340" s="1317"/>
      <c r="BW340" s="1317"/>
      <c r="BX340" s="1317"/>
    </row>
    <row r="341" spans="1:76" s="46" customFormat="1" ht="12.75" customHeight="1">
      <c r="A341" s="163"/>
      <c r="B341" s="164"/>
      <c r="C341" s="2421"/>
      <c r="D341" s="2421"/>
      <c r="E341" s="2421"/>
      <c r="F341" s="2421"/>
      <c r="G341" s="2421"/>
      <c r="H341" s="2421"/>
      <c r="I341" s="2421"/>
      <c r="J341" s="2421"/>
      <c r="K341" s="2421"/>
      <c r="L341" s="2421"/>
      <c r="M341" s="2421"/>
      <c r="N341" s="2421"/>
      <c r="O341" s="2421"/>
      <c r="P341" s="2421"/>
      <c r="Q341" s="2421"/>
      <c r="R341" s="2421"/>
      <c r="S341" s="2421"/>
      <c r="T341" s="2421"/>
      <c r="U341" s="2421"/>
      <c r="V341" s="2421"/>
      <c r="W341" s="2421"/>
      <c r="X341" s="2421"/>
      <c r="Y341" s="2421"/>
      <c r="Z341" s="2421"/>
      <c r="AA341" s="2421"/>
      <c r="AB341" s="2421"/>
      <c r="AC341" s="2421"/>
      <c r="AD341" s="2421"/>
      <c r="AE341" s="2421"/>
      <c r="AF341" s="2421"/>
      <c r="AG341" s="2421"/>
      <c r="AH341" s="2421"/>
      <c r="AI341" s="2421"/>
      <c r="AJ341" s="2421"/>
      <c r="AK341" s="163"/>
      <c r="AL341" s="163"/>
      <c r="AM341" s="163"/>
      <c r="AN341" s="439"/>
      <c r="AO341" s="293"/>
      <c r="AR341" s="1317"/>
      <c r="AS341" s="1317"/>
      <c r="AT341" s="1317"/>
      <c r="AU341" s="1317"/>
      <c r="AV341" s="1317"/>
      <c r="AW341" s="1317"/>
      <c r="AX341" s="1317"/>
      <c r="AY341" s="1317"/>
      <c r="AZ341" s="1317"/>
      <c r="BA341" s="1317"/>
      <c r="BB341" s="1317"/>
      <c r="BC341" s="1317"/>
      <c r="BD341" s="1317"/>
      <c r="BE341" s="1317"/>
      <c r="BF341" s="1317"/>
      <c r="BG341" s="1317"/>
      <c r="BH341" s="1317"/>
      <c r="BI341" s="1317"/>
      <c r="BJ341" s="1317"/>
      <c r="BK341" s="1317"/>
      <c r="BL341" s="1317"/>
      <c r="BM341" s="1317"/>
      <c r="BN341" s="1317"/>
      <c r="BO341" s="1317"/>
      <c r="BP341" s="1317"/>
      <c r="BQ341" s="1317"/>
      <c r="BR341" s="1317"/>
      <c r="BS341" s="1317"/>
      <c r="BT341" s="1317"/>
      <c r="BU341" s="1317"/>
      <c r="BV341" s="1317"/>
      <c r="BW341" s="1317"/>
      <c r="BX341" s="1317"/>
    </row>
    <row r="342" spans="1:76" s="46" customFormat="1" ht="12.4" customHeight="1">
      <c r="A342" s="163"/>
      <c r="B342" s="164"/>
      <c r="C342" s="2421"/>
      <c r="D342" s="2421"/>
      <c r="E342" s="2421"/>
      <c r="F342" s="2421"/>
      <c r="G342" s="2421"/>
      <c r="H342" s="2421"/>
      <c r="I342" s="2421"/>
      <c r="J342" s="2421"/>
      <c r="K342" s="2421"/>
      <c r="L342" s="2421"/>
      <c r="M342" s="2421"/>
      <c r="N342" s="2421"/>
      <c r="O342" s="2421"/>
      <c r="P342" s="2421"/>
      <c r="Q342" s="2421"/>
      <c r="R342" s="2421"/>
      <c r="S342" s="2421"/>
      <c r="T342" s="2421"/>
      <c r="U342" s="2421"/>
      <c r="V342" s="2421"/>
      <c r="W342" s="2421"/>
      <c r="X342" s="2421"/>
      <c r="Y342" s="2421"/>
      <c r="Z342" s="2421"/>
      <c r="AA342" s="2421"/>
      <c r="AB342" s="2421"/>
      <c r="AC342" s="2421"/>
      <c r="AD342" s="2421"/>
      <c r="AE342" s="2421"/>
      <c r="AF342" s="2421"/>
      <c r="AG342" s="2421"/>
      <c r="AH342" s="2421"/>
      <c r="AI342" s="2421"/>
      <c r="AJ342" s="2421"/>
      <c r="AK342" s="163"/>
      <c r="AL342" s="163"/>
      <c r="AM342" s="163"/>
      <c r="AN342" s="439"/>
      <c r="AO342" s="293"/>
      <c r="AR342" s="1317"/>
      <c r="AS342" s="1317"/>
      <c r="AT342" s="1317"/>
      <c r="AU342" s="1317"/>
      <c r="AV342" s="1317"/>
      <c r="AW342" s="1317"/>
      <c r="AX342" s="1317"/>
      <c r="AY342" s="1317"/>
      <c r="AZ342" s="1317"/>
      <c r="BA342" s="1317"/>
      <c r="BB342" s="1317"/>
      <c r="BC342" s="1317"/>
      <c r="BD342" s="1317"/>
      <c r="BE342" s="1317"/>
      <c r="BF342" s="1317"/>
      <c r="BG342" s="1317"/>
      <c r="BH342" s="1317"/>
      <c r="BI342" s="1317"/>
      <c r="BJ342" s="1317"/>
      <c r="BK342" s="1317"/>
      <c r="BL342" s="1317"/>
      <c r="BM342" s="1317"/>
      <c r="BN342" s="1317"/>
      <c r="BO342" s="1317"/>
      <c r="BP342" s="1317"/>
      <c r="BQ342" s="1317"/>
      <c r="BR342" s="1317"/>
      <c r="BS342" s="1317"/>
      <c r="BT342" s="1317"/>
      <c r="BU342" s="1317"/>
      <c r="BV342" s="1317"/>
      <c r="BW342" s="1317"/>
      <c r="BX342" s="1317"/>
    </row>
    <row r="343" spans="1:76" s="46" customFormat="1" ht="12.4" customHeight="1">
      <c r="A343" s="163"/>
      <c r="B343" s="164"/>
      <c r="C343" s="2421"/>
      <c r="D343" s="2421"/>
      <c r="E343" s="2421"/>
      <c r="F343" s="2421"/>
      <c r="G343" s="2421"/>
      <c r="H343" s="2421"/>
      <c r="I343" s="2421"/>
      <c r="J343" s="2421"/>
      <c r="K343" s="2421"/>
      <c r="L343" s="2421"/>
      <c r="M343" s="2421"/>
      <c r="N343" s="2421"/>
      <c r="O343" s="2421"/>
      <c r="P343" s="2421"/>
      <c r="Q343" s="2421"/>
      <c r="R343" s="2421"/>
      <c r="S343" s="2421"/>
      <c r="T343" s="2421"/>
      <c r="U343" s="2421"/>
      <c r="V343" s="2421"/>
      <c r="W343" s="2421"/>
      <c r="X343" s="2421"/>
      <c r="Y343" s="2421"/>
      <c r="Z343" s="2421"/>
      <c r="AA343" s="2421"/>
      <c r="AB343" s="2421"/>
      <c r="AC343" s="2421"/>
      <c r="AD343" s="2421"/>
      <c r="AE343" s="2421"/>
      <c r="AF343" s="2421"/>
      <c r="AG343" s="2421"/>
      <c r="AH343" s="2421"/>
      <c r="AI343" s="2421"/>
      <c r="AJ343" s="2421"/>
      <c r="AK343" s="163"/>
      <c r="AL343" s="163"/>
      <c r="AM343" s="163"/>
      <c r="AN343" s="439"/>
      <c r="AO343" s="293"/>
    </row>
    <row r="344" spans="1:76" s="46" customFormat="1" ht="12.75" customHeight="1">
      <c r="A344" s="163"/>
      <c r="B344" s="164"/>
      <c r="C344" s="2421" t="s">
        <v>2086</v>
      </c>
      <c r="D344" s="2421"/>
      <c r="E344" s="2421"/>
      <c r="F344" s="2421"/>
      <c r="G344" s="2421"/>
      <c r="H344" s="2421"/>
      <c r="I344" s="2421"/>
      <c r="J344" s="2421"/>
      <c r="K344" s="2421"/>
      <c r="L344" s="2421"/>
      <c r="M344" s="2421"/>
      <c r="N344" s="2421"/>
      <c r="O344" s="2421"/>
      <c r="P344" s="2421"/>
      <c r="Q344" s="2421"/>
      <c r="R344" s="2421"/>
      <c r="S344" s="2421"/>
      <c r="T344" s="2421"/>
      <c r="U344" s="2421"/>
      <c r="V344" s="2421"/>
      <c r="W344" s="2421"/>
      <c r="X344" s="2421"/>
      <c r="Y344" s="2421"/>
      <c r="Z344" s="2421"/>
      <c r="AA344" s="2421"/>
      <c r="AB344" s="2421"/>
      <c r="AC344" s="2421"/>
      <c r="AD344" s="2421"/>
      <c r="AE344" s="2421"/>
      <c r="AF344" s="2421"/>
      <c r="AG344" s="2421"/>
      <c r="AH344" s="2421"/>
      <c r="AI344" s="2421"/>
      <c r="AJ344" s="2421"/>
      <c r="AK344" s="163"/>
      <c r="AL344" s="163"/>
      <c r="AM344" s="163"/>
      <c r="AN344" s="439"/>
    </row>
    <row r="345" spans="1:76" s="46" customFormat="1" ht="12.75" customHeight="1">
      <c r="A345" s="163"/>
      <c r="B345" s="164"/>
      <c r="C345" s="2421"/>
      <c r="D345" s="2421"/>
      <c r="E345" s="2421"/>
      <c r="F345" s="2421"/>
      <c r="G345" s="2421"/>
      <c r="H345" s="2421"/>
      <c r="I345" s="2421"/>
      <c r="J345" s="2421"/>
      <c r="K345" s="2421"/>
      <c r="L345" s="2421"/>
      <c r="M345" s="2421"/>
      <c r="N345" s="2421"/>
      <c r="O345" s="2421"/>
      <c r="P345" s="2421"/>
      <c r="Q345" s="2421"/>
      <c r="R345" s="2421"/>
      <c r="S345" s="2421"/>
      <c r="T345" s="2421"/>
      <c r="U345" s="2421"/>
      <c r="V345" s="2421"/>
      <c r="W345" s="2421"/>
      <c r="X345" s="2421"/>
      <c r="Y345" s="2421"/>
      <c r="Z345" s="2421"/>
      <c r="AA345" s="2421"/>
      <c r="AB345" s="2421"/>
      <c r="AC345" s="2421"/>
      <c r="AD345" s="2421"/>
      <c r="AE345" s="2421"/>
      <c r="AF345" s="2421"/>
      <c r="AG345" s="2421"/>
      <c r="AH345" s="2421"/>
      <c r="AI345" s="2421"/>
      <c r="AJ345" s="2421"/>
      <c r="AK345" s="163"/>
      <c r="AL345" s="163"/>
      <c r="AM345" s="163"/>
      <c r="AN345" s="439"/>
    </row>
    <row r="346" spans="1:76" s="46" customFormat="1" ht="12.75" customHeight="1">
      <c r="A346" s="163"/>
      <c r="B346" s="164"/>
      <c r="C346" s="2421"/>
      <c r="D346" s="2421"/>
      <c r="E346" s="2421"/>
      <c r="F346" s="2421"/>
      <c r="G346" s="2421"/>
      <c r="H346" s="2421"/>
      <c r="I346" s="2421"/>
      <c r="J346" s="2421"/>
      <c r="K346" s="2421"/>
      <c r="L346" s="2421"/>
      <c r="M346" s="2421"/>
      <c r="N346" s="2421"/>
      <c r="O346" s="2421"/>
      <c r="P346" s="2421"/>
      <c r="Q346" s="2421"/>
      <c r="R346" s="2421"/>
      <c r="S346" s="2421"/>
      <c r="T346" s="2421"/>
      <c r="U346" s="2421"/>
      <c r="V346" s="2421"/>
      <c r="W346" s="2421"/>
      <c r="X346" s="2421"/>
      <c r="Y346" s="2421"/>
      <c r="Z346" s="2421"/>
      <c r="AA346" s="2421"/>
      <c r="AB346" s="2421"/>
      <c r="AC346" s="2421"/>
      <c r="AD346" s="2421"/>
      <c r="AE346" s="2421"/>
      <c r="AF346" s="2421"/>
      <c r="AG346" s="2421"/>
      <c r="AH346" s="2421"/>
      <c r="AI346" s="2421"/>
      <c r="AJ346" s="2421"/>
      <c r="AK346" s="163"/>
      <c r="AL346" s="163"/>
      <c r="AM346" s="163"/>
      <c r="AN346" s="439"/>
      <c r="AQ346" s="50"/>
      <c r="AR346" s="137"/>
    </row>
    <row r="347" spans="1:76" s="46" customFormat="1" ht="12.75" customHeight="1">
      <c r="A347" s="163"/>
      <c r="B347" s="144"/>
      <c r="C347" s="2421"/>
      <c r="D347" s="2421"/>
      <c r="E347" s="2421"/>
      <c r="F347" s="2421"/>
      <c r="G347" s="2421"/>
      <c r="H347" s="2421"/>
      <c r="I347" s="2421"/>
      <c r="J347" s="2421"/>
      <c r="K347" s="2421"/>
      <c r="L347" s="2421"/>
      <c r="M347" s="2421"/>
      <c r="N347" s="2421"/>
      <c r="O347" s="2421"/>
      <c r="P347" s="2421"/>
      <c r="Q347" s="2421"/>
      <c r="R347" s="2421"/>
      <c r="S347" s="2421"/>
      <c r="T347" s="2421"/>
      <c r="U347" s="2421"/>
      <c r="V347" s="2421"/>
      <c r="W347" s="2421"/>
      <c r="X347" s="2421"/>
      <c r="Y347" s="2421"/>
      <c r="Z347" s="2421"/>
      <c r="AA347" s="2421"/>
      <c r="AB347" s="2421"/>
      <c r="AC347" s="2421"/>
      <c r="AD347" s="2421"/>
      <c r="AE347" s="2421"/>
      <c r="AF347" s="2421"/>
      <c r="AG347" s="2421"/>
      <c r="AH347" s="2421"/>
      <c r="AI347" s="2421"/>
      <c r="AJ347" s="2421"/>
      <c r="AK347" s="163"/>
      <c r="AL347" s="163"/>
      <c r="AM347" s="163"/>
      <c r="AN347" s="439"/>
      <c r="AQ347" s="50"/>
      <c r="AR347" s="137"/>
    </row>
    <row r="348" spans="1:76" s="46" customFormat="1" ht="12.4" customHeight="1">
      <c r="A348" s="163"/>
      <c r="B348" s="144"/>
      <c r="C348" s="2421"/>
      <c r="D348" s="2421"/>
      <c r="E348" s="2421"/>
      <c r="F348" s="2421"/>
      <c r="G348" s="2421"/>
      <c r="H348" s="2421"/>
      <c r="I348" s="2421"/>
      <c r="J348" s="2421"/>
      <c r="K348" s="2421"/>
      <c r="L348" s="2421"/>
      <c r="M348" s="2421"/>
      <c r="N348" s="2421"/>
      <c r="O348" s="2421"/>
      <c r="P348" s="2421"/>
      <c r="Q348" s="2421"/>
      <c r="R348" s="2421"/>
      <c r="S348" s="2421"/>
      <c r="T348" s="2421"/>
      <c r="U348" s="2421"/>
      <c r="V348" s="2421"/>
      <c r="W348" s="2421"/>
      <c r="X348" s="2421"/>
      <c r="Y348" s="2421"/>
      <c r="Z348" s="2421"/>
      <c r="AA348" s="2421"/>
      <c r="AB348" s="2421"/>
      <c r="AC348" s="2421"/>
      <c r="AD348" s="2421"/>
      <c r="AE348" s="2421"/>
      <c r="AF348" s="2421"/>
      <c r="AG348" s="2421"/>
      <c r="AH348" s="2421"/>
      <c r="AI348" s="2421"/>
      <c r="AJ348" s="2421"/>
      <c r="AK348" s="163"/>
      <c r="AL348" s="163"/>
      <c r="AM348" s="163"/>
      <c r="AN348" s="439"/>
      <c r="AQ348" s="50"/>
      <c r="AR348" s="50"/>
    </row>
    <row r="349" spans="1:76" s="46" customFormat="1" ht="12.75" customHeight="1">
      <c r="A349" s="163"/>
      <c r="B349" s="144"/>
      <c r="C349" s="2421" t="s">
        <v>2087</v>
      </c>
      <c r="D349" s="2421"/>
      <c r="E349" s="2421"/>
      <c r="F349" s="2421"/>
      <c r="G349" s="2421"/>
      <c r="H349" s="2421"/>
      <c r="I349" s="2421"/>
      <c r="J349" s="2421"/>
      <c r="K349" s="2421"/>
      <c r="L349" s="2421"/>
      <c r="M349" s="2421"/>
      <c r="N349" s="2421"/>
      <c r="O349" s="2421"/>
      <c r="P349" s="2421"/>
      <c r="Q349" s="2421"/>
      <c r="R349" s="2421"/>
      <c r="S349" s="2421"/>
      <c r="T349" s="2421"/>
      <c r="U349" s="2421"/>
      <c r="V349" s="2421"/>
      <c r="W349" s="2421"/>
      <c r="X349" s="2421"/>
      <c r="Y349" s="2421"/>
      <c r="Z349" s="2421"/>
      <c r="AA349" s="2421"/>
      <c r="AB349" s="2421"/>
      <c r="AC349" s="2421"/>
      <c r="AD349" s="2421"/>
      <c r="AE349" s="2421"/>
      <c r="AF349" s="2421"/>
      <c r="AG349" s="2421"/>
      <c r="AH349" s="2421"/>
      <c r="AI349" s="2421"/>
      <c r="AJ349" s="2421"/>
      <c r="AK349" s="163"/>
      <c r="AL349" s="163"/>
      <c r="AM349" s="163"/>
      <c r="AN349" s="439"/>
      <c r="AQ349" s="50"/>
      <c r="AR349" s="50"/>
    </row>
    <row r="350" spans="1:76" s="46" customFormat="1" ht="12.75" customHeight="1">
      <c r="A350" s="163"/>
      <c r="B350" s="144"/>
      <c r="C350" s="2421"/>
      <c r="D350" s="2421"/>
      <c r="E350" s="2421"/>
      <c r="F350" s="2421"/>
      <c r="G350" s="2421"/>
      <c r="H350" s="2421"/>
      <c r="I350" s="2421"/>
      <c r="J350" s="2421"/>
      <c r="K350" s="2421"/>
      <c r="L350" s="2421"/>
      <c r="M350" s="2421"/>
      <c r="N350" s="2421"/>
      <c r="O350" s="2421"/>
      <c r="P350" s="2421"/>
      <c r="Q350" s="2421"/>
      <c r="R350" s="2421"/>
      <c r="S350" s="2421"/>
      <c r="T350" s="2421"/>
      <c r="U350" s="2421"/>
      <c r="V350" s="2421"/>
      <c r="W350" s="2421"/>
      <c r="X350" s="2421"/>
      <c r="Y350" s="2421"/>
      <c r="Z350" s="2421"/>
      <c r="AA350" s="2421"/>
      <c r="AB350" s="2421"/>
      <c r="AC350" s="2421"/>
      <c r="AD350" s="2421"/>
      <c r="AE350" s="2421"/>
      <c r="AF350" s="2421"/>
      <c r="AG350" s="2421"/>
      <c r="AH350" s="2421"/>
      <c r="AI350" s="2421"/>
      <c r="AJ350" s="2421"/>
      <c r="AK350" s="163"/>
      <c r="AL350" s="163"/>
      <c r="AM350" s="163"/>
      <c r="AN350" s="439"/>
      <c r="AQ350" s="137"/>
      <c r="AR350" s="50"/>
    </row>
    <row r="351" spans="1:76" s="46" customFormat="1" ht="12.75" customHeight="1">
      <c r="A351" s="163"/>
      <c r="B351" s="144"/>
      <c r="C351" s="2421"/>
      <c r="D351" s="2421"/>
      <c r="E351" s="2421"/>
      <c r="F351" s="2421"/>
      <c r="G351" s="2421"/>
      <c r="H351" s="2421"/>
      <c r="I351" s="2421"/>
      <c r="J351" s="2421"/>
      <c r="K351" s="2421"/>
      <c r="L351" s="2421"/>
      <c r="M351" s="2421"/>
      <c r="N351" s="2421"/>
      <c r="O351" s="2421"/>
      <c r="P351" s="2421"/>
      <c r="Q351" s="2421"/>
      <c r="R351" s="2421"/>
      <c r="S351" s="2421"/>
      <c r="T351" s="2421"/>
      <c r="U351" s="2421"/>
      <c r="V351" s="2421"/>
      <c r="W351" s="2421"/>
      <c r="X351" s="2421"/>
      <c r="Y351" s="2421"/>
      <c r="Z351" s="2421"/>
      <c r="AA351" s="2421"/>
      <c r="AB351" s="2421"/>
      <c r="AC351" s="2421"/>
      <c r="AD351" s="2421"/>
      <c r="AE351" s="2421"/>
      <c r="AF351" s="2421"/>
      <c r="AG351" s="2421"/>
      <c r="AH351" s="2421"/>
      <c r="AI351" s="2421"/>
      <c r="AJ351" s="2421"/>
      <c r="AK351" s="163"/>
      <c r="AL351" s="163"/>
      <c r="AM351" s="163"/>
      <c r="AN351" s="439"/>
      <c r="AQ351" s="137"/>
      <c r="AR351" s="50"/>
    </row>
    <row r="352" spans="1:76" s="46" customFormat="1" ht="12.75" customHeight="1">
      <c r="A352" s="163"/>
      <c r="B352" s="144"/>
      <c r="C352" s="2421" t="s">
        <v>2088</v>
      </c>
      <c r="D352" s="2421"/>
      <c r="E352" s="2421"/>
      <c r="F352" s="2421"/>
      <c r="G352" s="2421"/>
      <c r="H352" s="2421"/>
      <c r="I352" s="2421"/>
      <c r="J352" s="2421"/>
      <c r="K352" s="2421"/>
      <c r="L352" s="2421"/>
      <c r="M352" s="2421"/>
      <c r="N352" s="2421"/>
      <c r="O352" s="2421"/>
      <c r="P352" s="2421"/>
      <c r="Q352" s="2421"/>
      <c r="R352" s="2421"/>
      <c r="S352" s="2421"/>
      <c r="T352" s="2421"/>
      <c r="U352" s="2421"/>
      <c r="V352" s="2421"/>
      <c r="W352" s="2421"/>
      <c r="X352" s="2421"/>
      <c r="Y352" s="2421"/>
      <c r="Z352" s="2421"/>
      <c r="AA352" s="2421"/>
      <c r="AB352" s="2421"/>
      <c r="AC352" s="2421"/>
      <c r="AD352" s="2421"/>
      <c r="AE352" s="2421"/>
      <c r="AF352" s="2421"/>
      <c r="AG352" s="2421"/>
      <c r="AH352" s="2421"/>
      <c r="AI352" s="2421"/>
      <c r="AJ352" s="2421"/>
      <c r="AK352" s="163"/>
      <c r="AL352" s="163"/>
      <c r="AM352" s="163"/>
      <c r="AN352" s="439"/>
      <c r="AQ352" s="50"/>
      <c r="AR352" s="50"/>
    </row>
    <row r="353" spans="1:46" s="46" customFormat="1" ht="12.75" customHeight="1">
      <c r="A353" s="163"/>
      <c r="B353" s="144"/>
      <c r="C353" s="2421"/>
      <c r="D353" s="2421"/>
      <c r="E353" s="2421"/>
      <c r="F353" s="2421"/>
      <c r="G353" s="2421"/>
      <c r="H353" s="2421"/>
      <c r="I353" s="2421"/>
      <c r="J353" s="2421"/>
      <c r="K353" s="2421"/>
      <c r="L353" s="2421"/>
      <c r="M353" s="2421"/>
      <c r="N353" s="2421"/>
      <c r="O353" s="2421"/>
      <c r="P353" s="2421"/>
      <c r="Q353" s="2421"/>
      <c r="R353" s="2421"/>
      <c r="S353" s="2421"/>
      <c r="T353" s="2421"/>
      <c r="U353" s="2421"/>
      <c r="V353" s="2421"/>
      <c r="W353" s="2421"/>
      <c r="X353" s="2421"/>
      <c r="Y353" s="2421"/>
      <c r="Z353" s="2421"/>
      <c r="AA353" s="2421"/>
      <c r="AB353" s="2421"/>
      <c r="AC353" s="2421"/>
      <c r="AD353" s="2421"/>
      <c r="AE353" s="2421"/>
      <c r="AF353" s="2421"/>
      <c r="AG353" s="2421"/>
      <c r="AH353" s="2421"/>
      <c r="AI353" s="2421"/>
      <c r="AJ353" s="2421"/>
      <c r="AK353" s="163"/>
      <c r="AL353" s="163"/>
      <c r="AM353" s="163"/>
      <c r="AN353" s="439"/>
      <c r="AQ353" s="50"/>
      <c r="AR353" s="50"/>
    </row>
    <row r="354" spans="1:46" s="46" customFormat="1" ht="13.15" customHeight="1">
      <c r="A354" s="163"/>
      <c r="B354" s="144"/>
      <c r="C354" s="2421"/>
      <c r="D354" s="2421"/>
      <c r="E354" s="2421"/>
      <c r="F354" s="2421"/>
      <c r="G354" s="2421"/>
      <c r="H354" s="2421"/>
      <c r="I354" s="2421"/>
      <c r="J354" s="2421"/>
      <c r="K354" s="2421"/>
      <c r="L354" s="2421"/>
      <c r="M354" s="2421"/>
      <c r="N354" s="2421"/>
      <c r="O354" s="2421"/>
      <c r="P354" s="2421"/>
      <c r="Q354" s="2421"/>
      <c r="R354" s="2421"/>
      <c r="S354" s="2421"/>
      <c r="T354" s="2421"/>
      <c r="U354" s="2421"/>
      <c r="V354" s="2421"/>
      <c r="W354" s="2421"/>
      <c r="X354" s="2421"/>
      <c r="Y354" s="2421"/>
      <c r="Z354" s="2421"/>
      <c r="AA354" s="2421"/>
      <c r="AB354" s="2421"/>
      <c r="AC354" s="2421"/>
      <c r="AD354" s="2421"/>
      <c r="AE354" s="2421"/>
      <c r="AF354" s="2421"/>
      <c r="AG354" s="2421"/>
      <c r="AH354" s="2421"/>
      <c r="AI354" s="2421"/>
      <c r="AJ354" s="2421"/>
      <c r="AK354" s="163"/>
      <c r="AL354" s="163"/>
      <c r="AM354" s="163"/>
      <c r="AN354" s="439"/>
      <c r="AQ354" s="50"/>
      <c r="AR354" s="50"/>
    </row>
    <row r="355" spans="1:46" s="46" customFormat="1" ht="12.75" customHeight="1">
      <c r="A355" s="163"/>
      <c r="B355" s="144"/>
      <c r="C355" s="2421"/>
      <c r="D355" s="2421"/>
      <c r="E355" s="2421"/>
      <c r="F355" s="2421"/>
      <c r="G355" s="2421"/>
      <c r="H355" s="2421"/>
      <c r="I355" s="2421"/>
      <c r="J355" s="2421"/>
      <c r="K355" s="2421"/>
      <c r="L355" s="2421"/>
      <c r="M355" s="2421"/>
      <c r="N355" s="2421"/>
      <c r="O355" s="2421"/>
      <c r="P355" s="2421"/>
      <c r="Q355" s="2421"/>
      <c r="R355" s="2421"/>
      <c r="S355" s="2421"/>
      <c r="T355" s="2421"/>
      <c r="U355" s="2421"/>
      <c r="V355" s="2421"/>
      <c r="W355" s="2421"/>
      <c r="X355" s="2421"/>
      <c r="Y355" s="2421"/>
      <c r="Z355" s="2421"/>
      <c r="AA355" s="2421"/>
      <c r="AB355" s="2421"/>
      <c r="AC355" s="2421"/>
      <c r="AD355" s="2421"/>
      <c r="AE355" s="2421"/>
      <c r="AF355" s="2421"/>
      <c r="AG355" s="2421"/>
      <c r="AH355" s="2421"/>
      <c r="AI355" s="2421"/>
      <c r="AJ355" s="2421"/>
      <c r="AK355" s="163"/>
      <c r="AL355" s="163"/>
      <c r="AM355" s="163"/>
      <c r="AN355" s="439"/>
      <c r="AO355" s="257"/>
      <c r="AP355" s="257"/>
      <c r="AQ355" s="50"/>
      <c r="AR355" s="137"/>
    </row>
    <row r="356" spans="1:46" s="46" customFormat="1" ht="11.85" customHeight="1">
      <c r="A356" s="163"/>
      <c r="B356" s="144"/>
      <c r="C356" s="2421"/>
      <c r="D356" s="2421"/>
      <c r="E356" s="2421"/>
      <c r="F356" s="2421"/>
      <c r="G356" s="2421"/>
      <c r="H356" s="2421"/>
      <c r="I356" s="2421"/>
      <c r="J356" s="2421"/>
      <c r="K356" s="2421"/>
      <c r="L356" s="2421"/>
      <c r="M356" s="2421"/>
      <c r="N356" s="2421"/>
      <c r="O356" s="2421"/>
      <c r="P356" s="2421"/>
      <c r="Q356" s="2421"/>
      <c r="R356" s="2421"/>
      <c r="S356" s="2421"/>
      <c r="T356" s="2421"/>
      <c r="U356" s="2421"/>
      <c r="V356" s="2421"/>
      <c r="W356" s="2421"/>
      <c r="X356" s="2421"/>
      <c r="Y356" s="2421"/>
      <c r="Z356" s="2421"/>
      <c r="AA356" s="2421"/>
      <c r="AB356" s="2421"/>
      <c r="AC356" s="2421"/>
      <c r="AD356" s="2421"/>
      <c r="AE356" s="2421"/>
      <c r="AF356" s="2421"/>
      <c r="AG356" s="2421"/>
      <c r="AH356" s="2421"/>
      <c r="AI356" s="2421"/>
      <c r="AJ356" s="2421"/>
      <c r="AK356" s="163"/>
      <c r="AL356" s="163"/>
      <c r="AM356" s="163"/>
      <c r="AN356" s="439"/>
      <c r="AO356" s="1161" t="s">
        <v>1004</v>
      </c>
      <c r="AP356" s="1162">
        <f>IF(C381="Yes",5,0)</f>
        <v>0</v>
      </c>
      <c r="AQ356" s="137"/>
      <c r="AR356" s="137"/>
      <c r="AS356" s="63" t="s">
        <v>2007</v>
      </c>
    </row>
    <row r="357" spans="1:46" s="46" customFormat="1" ht="12.75" customHeight="1">
      <c r="A357" s="163"/>
      <c r="B357" s="144"/>
      <c r="C357" s="2421"/>
      <c r="D357" s="2421"/>
      <c r="E357" s="2421"/>
      <c r="F357" s="2421"/>
      <c r="G357" s="2421"/>
      <c r="H357" s="2421"/>
      <c r="I357" s="2421"/>
      <c r="J357" s="2421"/>
      <c r="K357" s="2421"/>
      <c r="L357" s="2421"/>
      <c r="M357" s="2421"/>
      <c r="N357" s="2421"/>
      <c r="O357" s="2421"/>
      <c r="P357" s="2421"/>
      <c r="Q357" s="2421"/>
      <c r="R357" s="2421"/>
      <c r="S357" s="2421"/>
      <c r="T357" s="2421"/>
      <c r="U357" s="2421"/>
      <c r="V357" s="2421"/>
      <c r="W357" s="2421"/>
      <c r="X357" s="2421"/>
      <c r="Y357" s="2421"/>
      <c r="Z357" s="2421"/>
      <c r="AA357" s="2421"/>
      <c r="AB357" s="2421"/>
      <c r="AC357" s="2421"/>
      <c r="AD357" s="2421"/>
      <c r="AE357" s="2421"/>
      <c r="AF357" s="2421"/>
      <c r="AG357" s="2421"/>
      <c r="AH357" s="2421"/>
      <c r="AI357" s="2421"/>
      <c r="AJ357" s="2421"/>
      <c r="AK357" s="163"/>
      <c r="AL357" s="163"/>
      <c r="AM357" s="163"/>
      <c r="AN357" s="439"/>
      <c r="AO357" s="1161"/>
      <c r="AP357" s="1162"/>
      <c r="AQ357" s="137"/>
      <c r="AR357" s="137"/>
      <c r="AS357" s="2418">
        <f>IF(AQ370=0,AQ383,AQ370)</f>
        <v>10</v>
      </c>
      <c r="AT357" s="2418"/>
    </row>
    <row r="358" spans="1:46" s="46" customFormat="1" ht="12.75" customHeight="1">
      <c r="A358" s="163"/>
      <c r="B358" s="144"/>
      <c r="C358" s="2421"/>
      <c r="D358" s="2421"/>
      <c r="E358" s="2421"/>
      <c r="F358" s="2421"/>
      <c r="G358" s="2421"/>
      <c r="H358" s="2421"/>
      <c r="I358" s="2421"/>
      <c r="J358" s="2421"/>
      <c r="K358" s="2421"/>
      <c r="L358" s="2421"/>
      <c r="M358" s="2421"/>
      <c r="N358" s="2421"/>
      <c r="O358" s="2421"/>
      <c r="P358" s="2421"/>
      <c r="Q358" s="2421"/>
      <c r="R358" s="2421"/>
      <c r="S358" s="2421"/>
      <c r="T358" s="2421"/>
      <c r="U358" s="2421"/>
      <c r="V358" s="2421"/>
      <c r="W358" s="2421"/>
      <c r="X358" s="2421"/>
      <c r="Y358" s="2421"/>
      <c r="Z358" s="2421"/>
      <c r="AA358" s="2421"/>
      <c r="AB358" s="2421"/>
      <c r="AC358" s="2421"/>
      <c r="AD358" s="2421"/>
      <c r="AE358" s="2421"/>
      <c r="AF358" s="2421"/>
      <c r="AG358" s="2421"/>
      <c r="AH358" s="2421"/>
      <c r="AI358" s="2421"/>
      <c r="AJ358" s="2421"/>
      <c r="AK358" s="163"/>
      <c r="AL358" s="163"/>
      <c r="AM358" s="163"/>
      <c r="AN358" s="439"/>
      <c r="AO358" s="1161" t="s">
        <v>1005</v>
      </c>
      <c r="AP358" s="1162">
        <f>IF(C391="Yes",5,0)</f>
        <v>5</v>
      </c>
      <c r="AS358" s="63" t="s">
        <v>2041</v>
      </c>
    </row>
    <row r="359" spans="1:46" s="46" customFormat="1" ht="12.75" customHeight="1">
      <c r="A359" s="163"/>
      <c r="B359" s="144"/>
      <c r="C359" s="2421"/>
      <c r="D359" s="2421"/>
      <c r="E359" s="2421"/>
      <c r="F359" s="2421"/>
      <c r="G359" s="2421"/>
      <c r="H359" s="2421"/>
      <c r="I359" s="2421"/>
      <c r="J359" s="2421"/>
      <c r="K359" s="2421"/>
      <c r="L359" s="2421"/>
      <c r="M359" s="2421"/>
      <c r="N359" s="2421"/>
      <c r="O359" s="2421"/>
      <c r="P359" s="2421"/>
      <c r="Q359" s="2421"/>
      <c r="R359" s="2421"/>
      <c r="S359" s="2421"/>
      <c r="T359" s="2421"/>
      <c r="U359" s="2421"/>
      <c r="V359" s="2421"/>
      <c r="W359" s="2421"/>
      <c r="X359" s="2421"/>
      <c r="Y359" s="2421"/>
      <c r="Z359" s="2421"/>
      <c r="AA359" s="2421"/>
      <c r="AB359" s="2421"/>
      <c r="AC359" s="2421"/>
      <c r="AD359" s="2421"/>
      <c r="AE359" s="2421"/>
      <c r="AF359" s="2421"/>
      <c r="AG359" s="2421"/>
      <c r="AH359" s="2421"/>
      <c r="AI359" s="2421"/>
      <c r="AJ359" s="2421"/>
      <c r="AK359" s="163"/>
      <c r="AL359" s="163"/>
      <c r="AM359" s="163"/>
      <c r="AN359" s="439"/>
      <c r="AO359" s="1161"/>
      <c r="AP359" s="1162"/>
      <c r="AS359" s="2418">
        <f>IF(AND(AQ370&gt;0,AQ383&gt;0),(AQ370+AQ383)/2,0)</f>
        <v>0</v>
      </c>
      <c r="AT359" s="2418"/>
    </row>
    <row r="360" spans="1:46" s="46" customFormat="1" ht="12.75" customHeight="1">
      <c r="A360" s="163"/>
      <c r="B360" s="144"/>
      <c r="C360" s="2421"/>
      <c r="D360" s="2421"/>
      <c r="E360" s="2421"/>
      <c r="F360" s="2421"/>
      <c r="G360" s="2421"/>
      <c r="H360" s="2421"/>
      <c r="I360" s="2421"/>
      <c r="J360" s="2421"/>
      <c r="K360" s="2421"/>
      <c r="L360" s="2421"/>
      <c r="M360" s="2421"/>
      <c r="N360" s="2421"/>
      <c r="O360" s="2421"/>
      <c r="P360" s="2421"/>
      <c r="Q360" s="2421"/>
      <c r="R360" s="2421"/>
      <c r="S360" s="2421"/>
      <c r="T360" s="2421"/>
      <c r="U360" s="2421"/>
      <c r="V360" s="2421"/>
      <c r="W360" s="2421"/>
      <c r="X360" s="2421"/>
      <c r="Y360" s="2421"/>
      <c r="Z360" s="2421"/>
      <c r="AA360" s="2421"/>
      <c r="AB360" s="2421"/>
      <c r="AC360" s="2421"/>
      <c r="AD360" s="2421"/>
      <c r="AE360" s="2421"/>
      <c r="AF360" s="2421"/>
      <c r="AG360" s="2421"/>
      <c r="AH360" s="2421"/>
      <c r="AI360" s="2421"/>
      <c r="AJ360" s="2421"/>
      <c r="AK360" s="163"/>
      <c r="AL360" s="163"/>
      <c r="AM360" s="163"/>
      <c r="AN360" s="439"/>
      <c r="AO360" s="1161" t="s">
        <v>1011</v>
      </c>
      <c r="AP360" s="1162">
        <f>IF(C401="Yes",7,0)</f>
        <v>0</v>
      </c>
      <c r="AQ360" s="137"/>
      <c r="AR360" s="137"/>
    </row>
    <row r="361" spans="1:46" s="46" customFormat="1" ht="12.75" customHeight="1">
      <c r="A361" s="163"/>
      <c r="B361" s="144"/>
      <c r="C361" s="2421" t="s">
        <v>2089</v>
      </c>
      <c r="D361" s="2421"/>
      <c r="E361" s="2421"/>
      <c r="F361" s="2421"/>
      <c r="G361" s="2421"/>
      <c r="H361" s="2421"/>
      <c r="I361" s="2421"/>
      <c r="J361" s="2421"/>
      <c r="K361" s="2421"/>
      <c r="L361" s="2421"/>
      <c r="M361" s="2421"/>
      <c r="N361" s="2421"/>
      <c r="O361" s="2421"/>
      <c r="P361" s="2421"/>
      <c r="Q361" s="2421"/>
      <c r="R361" s="2421"/>
      <c r="S361" s="2421"/>
      <c r="T361" s="2421"/>
      <c r="U361" s="2421"/>
      <c r="V361" s="2421"/>
      <c r="W361" s="2421"/>
      <c r="X361" s="2421"/>
      <c r="Y361" s="2421"/>
      <c r="Z361" s="2421"/>
      <c r="AA361" s="2421"/>
      <c r="AB361" s="2421"/>
      <c r="AC361" s="2421"/>
      <c r="AD361" s="2421"/>
      <c r="AE361" s="2421"/>
      <c r="AF361" s="2421"/>
      <c r="AG361" s="2421"/>
      <c r="AH361" s="2421"/>
      <c r="AI361" s="2421"/>
      <c r="AJ361" s="2421"/>
      <c r="AK361" s="163"/>
      <c r="AL361" s="163"/>
      <c r="AM361" s="163"/>
      <c r="AN361" s="439"/>
      <c r="AO361" s="439"/>
      <c r="AP361" s="1162">
        <f>IF(C403="Yes",5,0)</f>
        <v>5</v>
      </c>
    </row>
    <row r="362" spans="1:46" s="46" customFormat="1" ht="12.75" customHeight="1">
      <c r="A362" s="163"/>
      <c r="B362" s="144"/>
      <c r="C362" s="2421"/>
      <c r="D362" s="2421"/>
      <c r="E362" s="2421"/>
      <c r="F362" s="2421"/>
      <c r="G362" s="2421"/>
      <c r="H362" s="2421"/>
      <c r="I362" s="2421"/>
      <c r="J362" s="2421"/>
      <c r="K362" s="2421"/>
      <c r="L362" s="2421"/>
      <c r="M362" s="2421"/>
      <c r="N362" s="2421"/>
      <c r="O362" s="2421"/>
      <c r="P362" s="2421"/>
      <c r="Q362" s="2421"/>
      <c r="R362" s="2421"/>
      <c r="S362" s="2421"/>
      <c r="T362" s="2421"/>
      <c r="U362" s="2421"/>
      <c r="V362" s="2421"/>
      <c r="W362" s="2421"/>
      <c r="X362" s="2421"/>
      <c r="Y362" s="2421"/>
      <c r="Z362" s="2421"/>
      <c r="AA362" s="2421"/>
      <c r="AB362" s="2421"/>
      <c r="AC362" s="2421"/>
      <c r="AD362" s="2421"/>
      <c r="AE362" s="2421"/>
      <c r="AF362" s="2421"/>
      <c r="AG362" s="2421"/>
      <c r="AH362" s="2421"/>
      <c r="AI362" s="2421"/>
      <c r="AJ362" s="2421"/>
      <c r="AK362" s="163"/>
      <c r="AL362" s="163"/>
      <c r="AM362" s="163"/>
      <c r="AN362" s="439"/>
      <c r="AO362" s="439"/>
      <c r="AP362" s="1162"/>
    </row>
    <row r="363" spans="1:46" s="46" customFormat="1" ht="12.75" customHeight="1">
      <c r="A363" s="163"/>
      <c r="B363" s="144"/>
      <c r="C363" s="2421"/>
      <c r="D363" s="2421"/>
      <c r="E363" s="2421"/>
      <c r="F363" s="2421"/>
      <c r="G363" s="2421"/>
      <c r="H363" s="2421"/>
      <c r="I363" s="2421"/>
      <c r="J363" s="2421"/>
      <c r="K363" s="2421"/>
      <c r="L363" s="2421"/>
      <c r="M363" s="2421"/>
      <c r="N363" s="2421"/>
      <c r="O363" s="2421"/>
      <c r="P363" s="2421"/>
      <c r="Q363" s="2421"/>
      <c r="R363" s="2421"/>
      <c r="S363" s="2421"/>
      <c r="T363" s="2421"/>
      <c r="U363" s="2421"/>
      <c r="V363" s="2421"/>
      <c r="W363" s="2421"/>
      <c r="X363" s="2421"/>
      <c r="Y363" s="2421"/>
      <c r="Z363" s="2421"/>
      <c r="AA363" s="2421"/>
      <c r="AB363" s="2421"/>
      <c r="AC363" s="2421"/>
      <c r="AD363" s="2421"/>
      <c r="AE363" s="2421"/>
      <c r="AF363" s="2421"/>
      <c r="AG363" s="2421"/>
      <c r="AH363" s="2421"/>
      <c r="AI363" s="2421"/>
      <c r="AJ363" s="2421"/>
      <c r="AK363" s="163"/>
      <c r="AL363" s="163"/>
      <c r="AM363" s="163"/>
      <c r="AN363" s="439"/>
      <c r="AO363" s="1161" t="s">
        <v>480</v>
      </c>
      <c r="AP363" s="1162">
        <f>IF(C411="Yes",5,0)</f>
        <v>0</v>
      </c>
    </row>
    <row r="364" spans="1:46" s="46" customFormat="1" ht="11.85" customHeight="1">
      <c r="A364" s="163"/>
      <c r="B364" s="144"/>
      <c r="C364" s="2421"/>
      <c r="D364" s="2421"/>
      <c r="E364" s="2421"/>
      <c r="F364" s="2421"/>
      <c r="G364" s="2421"/>
      <c r="H364" s="2421"/>
      <c r="I364" s="2421"/>
      <c r="J364" s="2421"/>
      <c r="K364" s="2421"/>
      <c r="L364" s="2421"/>
      <c r="M364" s="2421"/>
      <c r="N364" s="2421"/>
      <c r="O364" s="2421"/>
      <c r="P364" s="2421"/>
      <c r="Q364" s="2421"/>
      <c r="R364" s="2421"/>
      <c r="S364" s="2421"/>
      <c r="T364" s="2421"/>
      <c r="U364" s="2421"/>
      <c r="V364" s="2421"/>
      <c r="W364" s="2421"/>
      <c r="X364" s="2421"/>
      <c r="Y364" s="2421"/>
      <c r="Z364" s="2421"/>
      <c r="AA364" s="2421"/>
      <c r="AB364" s="2421"/>
      <c r="AC364" s="2421"/>
      <c r="AD364" s="2421"/>
      <c r="AE364" s="2421"/>
      <c r="AF364" s="2421"/>
      <c r="AG364" s="2421"/>
      <c r="AH364" s="2421"/>
      <c r="AI364" s="2421"/>
      <c r="AJ364" s="2421"/>
      <c r="AK364" s="163"/>
      <c r="AL364" s="163"/>
      <c r="AM364" s="163"/>
      <c r="AN364" s="439"/>
      <c r="AO364" s="439"/>
      <c r="AP364" s="1162">
        <f>IF(C413="Yes",3,0)</f>
        <v>0</v>
      </c>
    </row>
    <row r="365" spans="1:46" s="46" customFormat="1" ht="12.4" customHeight="1">
      <c r="A365" s="163"/>
      <c r="B365" s="144"/>
      <c r="C365" s="2421"/>
      <c r="D365" s="2421"/>
      <c r="E365" s="2421"/>
      <c r="F365" s="2421"/>
      <c r="G365" s="2421"/>
      <c r="H365" s="2421"/>
      <c r="I365" s="2421"/>
      <c r="J365" s="2421"/>
      <c r="K365" s="2421"/>
      <c r="L365" s="2421"/>
      <c r="M365" s="2421"/>
      <c r="N365" s="2421"/>
      <c r="O365" s="2421"/>
      <c r="P365" s="2421"/>
      <c r="Q365" s="2421"/>
      <c r="R365" s="2421"/>
      <c r="S365" s="2421"/>
      <c r="T365" s="2421"/>
      <c r="U365" s="2421"/>
      <c r="V365" s="2421"/>
      <c r="W365" s="2421"/>
      <c r="X365" s="2421"/>
      <c r="Y365" s="2421"/>
      <c r="Z365" s="2421"/>
      <c r="AA365" s="2421"/>
      <c r="AB365" s="2421"/>
      <c r="AC365" s="2421"/>
      <c r="AD365" s="2421"/>
      <c r="AE365" s="2421"/>
      <c r="AF365" s="2421"/>
      <c r="AG365" s="2421"/>
      <c r="AH365" s="2421"/>
      <c r="AI365" s="2421"/>
      <c r="AJ365" s="2421"/>
      <c r="AK365" s="163"/>
      <c r="AL365" s="163"/>
      <c r="AM365" s="163"/>
      <c r="AN365" s="439"/>
      <c r="AO365" s="439"/>
      <c r="AP365" s="1162"/>
    </row>
    <row r="366" spans="1:46" s="46" customFormat="1" ht="12.75" customHeight="1">
      <c r="A366" s="163"/>
      <c r="B366" s="144"/>
      <c r="C366" s="2421"/>
      <c r="D366" s="2421"/>
      <c r="E366" s="2421"/>
      <c r="F366" s="2421"/>
      <c r="G366" s="2421"/>
      <c r="H366" s="2421"/>
      <c r="I366" s="2421"/>
      <c r="J366" s="2421"/>
      <c r="K366" s="2421"/>
      <c r="L366" s="2421"/>
      <c r="M366" s="2421"/>
      <c r="N366" s="2421"/>
      <c r="O366" s="2421"/>
      <c r="P366" s="2421"/>
      <c r="Q366" s="2421"/>
      <c r="R366" s="2421"/>
      <c r="S366" s="2421"/>
      <c r="T366" s="2421"/>
      <c r="U366" s="2421"/>
      <c r="V366" s="2421"/>
      <c r="W366" s="2421"/>
      <c r="X366" s="2421"/>
      <c r="Y366" s="2421"/>
      <c r="Z366" s="2421"/>
      <c r="AA366" s="2421"/>
      <c r="AB366" s="2421"/>
      <c r="AC366" s="2421"/>
      <c r="AD366" s="2421"/>
      <c r="AE366" s="2421"/>
      <c r="AF366" s="2421"/>
      <c r="AG366" s="2421"/>
      <c r="AH366" s="2421"/>
      <c r="AI366" s="2421"/>
      <c r="AJ366" s="2421"/>
      <c r="AK366" s="163"/>
      <c r="AL366" s="163"/>
      <c r="AM366" s="163"/>
      <c r="AN366" s="439"/>
      <c r="AO366" s="1161" t="s">
        <v>188</v>
      </c>
      <c r="AP366" s="1162">
        <f>IF(C416="Yes",5,0)</f>
        <v>0</v>
      </c>
    </row>
    <row r="367" spans="1:46" s="46" customFormat="1" ht="12.75" customHeight="1">
      <c r="A367" s="163"/>
      <c r="B367" s="144"/>
      <c r="C367" s="2421"/>
      <c r="D367" s="2421"/>
      <c r="E367" s="2421"/>
      <c r="F367" s="2421"/>
      <c r="G367" s="2421"/>
      <c r="H367" s="2421"/>
      <c r="I367" s="2421"/>
      <c r="J367" s="2421"/>
      <c r="K367" s="2421"/>
      <c r="L367" s="2421"/>
      <c r="M367" s="2421"/>
      <c r="N367" s="2421"/>
      <c r="O367" s="2421"/>
      <c r="P367" s="2421"/>
      <c r="Q367" s="2421"/>
      <c r="R367" s="2421"/>
      <c r="S367" s="2421"/>
      <c r="T367" s="2421"/>
      <c r="U367" s="2421"/>
      <c r="V367" s="2421"/>
      <c r="W367" s="2421"/>
      <c r="X367" s="2421"/>
      <c r="Y367" s="2421"/>
      <c r="Z367" s="2421"/>
      <c r="AA367" s="2421"/>
      <c r="AB367" s="2421"/>
      <c r="AC367" s="2421"/>
      <c r="AD367" s="2421"/>
      <c r="AE367" s="2421"/>
      <c r="AF367" s="2421"/>
      <c r="AG367" s="2421"/>
      <c r="AH367" s="2421"/>
      <c r="AI367" s="2421"/>
      <c r="AJ367" s="2421"/>
      <c r="AK367" s="163"/>
      <c r="AL367" s="163"/>
      <c r="AM367" s="163"/>
      <c r="AN367" s="439"/>
      <c r="AO367" s="1161" t="s">
        <v>483</v>
      </c>
      <c r="AP367" s="1162">
        <f>IF(C425="Yes",5,0)</f>
        <v>0</v>
      </c>
    </row>
    <row r="368" spans="1:46" s="46" customFormat="1" ht="12.75" customHeight="1">
      <c r="A368" s="163"/>
      <c r="B368" s="144"/>
      <c r="C368" s="2421" t="s">
        <v>2090</v>
      </c>
      <c r="D368" s="2421"/>
      <c r="E368" s="2421"/>
      <c r="F368" s="2421"/>
      <c r="G368" s="2421"/>
      <c r="H368" s="2421"/>
      <c r="I368" s="2421"/>
      <c r="J368" s="2421"/>
      <c r="K368" s="2421"/>
      <c r="L368" s="2421"/>
      <c r="M368" s="2421"/>
      <c r="N368" s="2421"/>
      <c r="O368" s="2421"/>
      <c r="P368" s="2421"/>
      <c r="Q368" s="2421"/>
      <c r="R368" s="2421"/>
      <c r="S368" s="2421"/>
      <c r="T368" s="2421"/>
      <c r="U368" s="2421"/>
      <c r="V368" s="2421"/>
      <c r="W368" s="2421"/>
      <c r="X368" s="2421"/>
      <c r="Y368" s="2421"/>
      <c r="Z368" s="2421"/>
      <c r="AA368" s="2421"/>
      <c r="AB368" s="2421"/>
      <c r="AC368" s="2421"/>
      <c r="AD368" s="2421"/>
      <c r="AE368" s="2421"/>
      <c r="AF368" s="2421"/>
      <c r="AG368" s="2421"/>
      <c r="AH368" s="2421"/>
      <c r="AI368" s="2421"/>
      <c r="AJ368" s="2421"/>
      <c r="AK368" s="163"/>
      <c r="AL368" s="163"/>
      <c r="AM368" s="163"/>
      <c r="AN368" s="439"/>
      <c r="AO368" s="439"/>
      <c r="AP368" s="1162">
        <f>IF(C427="Yes",3,0)</f>
        <v>0</v>
      </c>
    </row>
    <row r="369" spans="1:153" s="46" customFormat="1" ht="12.75" customHeight="1">
      <c r="A369" s="163"/>
      <c r="B369" s="144"/>
      <c r="C369" s="2421"/>
      <c r="D369" s="2421"/>
      <c r="E369" s="2421"/>
      <c r="F369" s="2421"/>
      <c r="G369" s="2421"/>
      <c r="H369" s="2421"/>
      <c r="I369" s="2421"/>
      <c r="J369" s="2421"/>
      <c r="K369" s="2421"/>
      <c r="L369" s="2421"/>
      <c r="M369" s="2421"/>
      <c r="N369" s="2421"/>
      <c r="O369" s="2421"/>
      <c r="P369" s="2421"/>
      <c r="Q369" s="2421"/>
      <c r="R369" s="2421"/>
      <c r="S369" s="2421"/>
      <c r="T369" s="2421"/>
      <c r="U369" s="2421"/>
      <c r="V369" s="2421"/>
      <c r="W369" s="2421"/>
      <c r="X369" s="2421"/>
      <c r="Y369" s="2421"/>
      <c r="Z369" s="2421"/>
      <c r="AA369" s="2421"/>
      <c r="AB369" s="2421"/>
      <c r="AC369" s="2421"/>
      <c r="AD369" s="2421"/>
      <c r="AE369" s="2421"/>
      <c r="AF369" s="2421"/>
      <c r="AG369" s="2421"/>
      <c r="AH369" s="2421"/>
      <c r="AI369" s="2421"/>
      <c r="AJ369" s="2421"/>
      <c r="AK369" s="163"/>
      <c r="AL369" s="163"/>
      <c r="AM369" s="163"/>
      <c r="AN369" s="439"/>
      <c r="AO369" s="1163"/>
      <c r="AP369" s="1164"/>
    </row>
    <row r="370" spans="1:153" s="46" customFormat="1" ht="68.099999999999994" customHeight="1">
      <c r="A370" s="163"/>
      <c r="B370" s="144"/>
      <c r="C370" s="2421"/>
      <c r="D370" s="2421"/>
      <c r="E370" s="2421"/>
      <c r="F370" s="2421"/>
      <c r="G370" s="2421"/>
      <c r="H370" s="2421"/>
      <c r="I370" s="2421"/>
      <c r="J370" s="2421"/>
      <c r="K370" s="2421"/>
      <c r="L370" s="2421"/>
      <c r="M370" s="2421"/>
      <c r="N370" s="2421"/>
      <c r="O370" s="2421"/>
      <c r="P370" s="2421"/>
      <c r="Q370" s="2421"/>
      <c r="R370" s="2421"/>
      <c r="S370" s="2421"/>
      <c r="T370" s="2421"/>
      <c r="U370" s="2421"/>
      <c r="V370" s="2421"/>
      <c r="W370" s="2421"/>
      <c r="X370" s="2421"/>
      <c r="Y370" s="2421"/>
      <c r="Z370" s="2421"/>
      <c r="AA370" s="2421"/>
      <c r="AB370" s="2421"/>
      <c r="AC370" s="2421"/>
      <c r="AD370" s="2421"/>
      <c r="AE370" s="2421"/>
      <c r="AF370" s="2421"/>
      <c r="AG370" s="2421"/>
      <c r="AH370" s="2421"/>
      <c r="AI370" s="2421"/>
      <c r="AJ370" s="2421"/>
      <c r="AK370" s="163"/>
      <c r="AL370" s="163"/>
      <c r="AM370" s="163"/>
      <c r="AN370" s="439"/>
      <c r="AO370" s="1165" t="s">
        <v>676</v>
      </c>
      <c r="AP370" s="1166">
        <f>SUM(AP356:AP369)</f>
        <v>10</v>
      </c>
      <c r="AQ370" s="2407">
        <f>IF(AP370&gt;0,AP370,0)</f>
        <v>10</v>
      </c>
      <c r="AR370" s="2407"/>
    </row>
    <row r="371" spans="1:153" s="46" customFormat="1" ht="12.4" customHeight="1">
      <c r="A371" s="163"/>
      <c r="B371" s="144"/>
      <c r="C371" s="435" t="s">
        <v>1669</v>
      </c>
      <c r="AF371" s="163"/>
      <c r="AG371" s="163"/>
      <c r="AH371" s="163"/>
      <c r="AI371" s="163"/>
      <c r="AJ371" s="163"/>
      <c r="AK371" s="163"/>
      <c r="AL371" s="163"/>
      <c r="AM371" s="163"/>
      <c r="AN371" s="439"/>
      <c r="AO371" s="1161" t="s">
        <v>810</v>
      </c>
      <c r="AP371" s="1162">
        <f>IF(C434="Yes",5,0)</f>
        <v>0</v>
      </c>
    </row>
    <row r="372" spans="1:153" s="46" customFormat="1" ht="12.75" customHeight="1">
      <c r="A372" s="163"/>
      <c r="B372" s="144"/>
      <c r="C372" s="1167" t="s">
        <v>2209</v>
      </c>
      <c r="D372" s="1168"/>
      <c r="E372" s="1168"/>
      <c r="F372" s="1168"/>
      <c r="G372" s="1168"/>
      <c r="H372" s="1168"/>
      <c r="I372" s="1168"/>
      <c r="J372" s="1168"/>
      <c r="K372" s="1168"/>
      <c r="L372" s="1168"/>
      <c r="M372" s="342"/>
      <c r="N372" s="342"/>
      <c r="O372" s="1169"/>
      <c r="P372" s="1168"/>
      <c r="Q372" s="1168"/>
      <c r="R372" s="342"/>
      <c r="S372" s="342"/>
      <c r="T372" s="1168"/>
      <c r="U372" s="2416">
        <f>'Service Amenities Budget'!J10</f>
        <v>90</v>
      </c>
      <c r="V372" s="2416"/>
      <c r="W372" s="2416"/>
      <c r="X372" s="1168"/>
      <c r="Y372" s="1168"/>
      <c r="Z372" s="1168"/>
      <c r="AA372" s="1170"/>
      <c r="AB372" s="434"/>
      <c r="AC372" s="434"/>
      <c r="AD372" s="434"/>
      <c r="AE372" s="163"/>
      <c r="AF372" s="163"/>
      <c r="AG372" s="163"/>
      <c r="AH372" s="163"/>
      <c r="AI372" s="163"/>
      <c r="AJ372" s="163"/>
      <c r="AK372" s="163"/>
      <c r="AL372" s="163"/>
      <c r="AM372" s="163"/>
      <c r="AN372" s="439"/>
      <c r="AO372" s="439"/>
      <c r="AP372" s="1162"/>
    </row>
    <row r="373" spans="1:153" s="46" customFormat="1" ht="12.75" customHeight="1">
      <c r="A373" s="163"/>
      <c r="B373" s="144"/>
      <c r="C373" s="1173" t="s">
        <v>2006</v>
      </c>
      <c r="D373" s="1171"/>
      <c r="E373" s="1171"/>
      <c r="F373" s="1171"/>
      <c r="G373" s="1171"/>
      <c r="H373" s="1171"/>
      <c r="I373" s="1171"/>
      <c r="J373" s="1171"/>
      <c r="K373" s="1171"/>
      <c r="L373" s="1171"/>
      <c r="M373" s="257"/>
      <c r="N373" s="257"/>
      <c r="O373" s="1171"/>
      <c r="P373" s="1171"/>
      <c r="Q373" s="1171"/>
      <c r="R373" s="1171"/>
      <c r="S373" s="1171"/>
      <c r="T373" s="1171"/>
      <c r="U373" s="2417">
        <f>'Service Amenities Budget'!J9</f>
        <v>30</v>
      </c>
      <c r="V373" s="2417"/>
      <c r="W373" s="2417"/>
      <c r="X373" s="1171"/>
      <c r="Y373" s="1171"/>
      <c r="Z373" s="1171"/>
      <c r="AA373" s="1172"/>
      <c r="AB373" s="435"/>
      <c r="AC373" s="433"/>
      <c r="AD373" s="433"/>
      <c r="AE373" s="163"/>
      <c r="AF373" s="163"/>
      <c r="AG373" s="163"/>
      <c r="AH373" s="163"/>
      <c r="AI373" s="163"/>
      <c r="AJ373" s="163"/>
      <c r="AK373" s="163"/>
      <c r="AL373" s="163"/>
      <c r="AM373" s="163"/>
      <c r="AN373" s="439"/>
      <c r="AO373" s="1161" t="s">
        <v>811</v>
      </c>
      <c r="AP373" s="1162">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2"/>
      <c r="AO374" s="439"/>
      <c r="AP374" s="1162"/>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1" t="s">
        <v>606</v>
      </c>
      <c r="AP375" s="1162">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2"/>
      <c r="AP376" s="1162"/>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78"/>
      <c r="D377" s="1179"/>
      <c r="E377" s="1180" t="s">
        <v>795</v>
      </c>
      <c r="F377" s="2392" t="s">
        <v>2016</v>
      </c>
      <c r="G377" s="2392"/>
      <c r="H377" s="2392"/>
      <c r="I377" s="2392"/>
      <c r="J377" s="2392"/>
      <c r="K377" s="2392"/>
      <c r="L377" s="2392"/>
      <c r="M377" s="2392"/>
      <c r="N377" s="2392"/>
      <c r="O377" s="2392"/>
      <c r="P377" s="2392"/>
      <c r="Q377" s="2392"/>
      <c r="R377" s="2392"/>
      <c r="S377" s="2392"/>
      <c r="T377" s="2392"/>
      <c r="U377" s="2392"/>
      <c r="V377" s="2392"/>
      <c r="W377" s="2392"/>
      <c r="X377" s="2392"/>
      <c r="Y377" s="2392"/>
      <c r="Z377" s="2392"/>
      <c r="AA377" s="2392"/>
      <c r="AB377" s="2392"/>
      <c r="AC377" s="2392"/>
      <c r="AD377" s="2392"/>
      <c r="AE377" s="2392"/>
      <c r="AF377" s="2392"/>
      <c r="AG377" s="1319"/>
      <c r="AH377" s="1319"/>
      <c r="AI377" s="1319"/>
      <c r="AJ377" s="1319"/>
      <c r="AK377" s="1319"/>
      <c r="AL377" s="1315"/>
      <c r="AM377" s="16"/>
      <c r="AN377" s="439"/>
      <c r="AO377" s="439"/>
      <c r="AP377" s="1162"/>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1"/>
      <c r="D378" s="71"/>
      <c r="E378" s="350"/>
      <c r="F378" s="2393"/>
      <c r="G378" s="2393"/>
      <c r="H378" s="2393"/>
      <c r="I378" s="2393"/>
      <c r="J378" s="2393"/>
      <c r="K378" s="2393"/>
      <c r="L378" s="2393"/>
      <c r="M378" s="2393"/>
      <c r="N378" s="2393"/>
      <c r="O378" s="2393"/>
      <c r="P378" s="2393"/>
      <c r="Q378" s="2393"/>
      <c r="R378" s="2393"/>
      <c r="S378" s="2393"/>
      <c r="T378" s="2393"/>
      <c r="U378" s="2393"/>
      <c r="V378" s="2393"/>
      <c r="W378" s="2393"/>
      <c r="X378" s="2393"/>
      <c r="Y378" s="2393"/>
      <c r="Z378" s="2393"/>
      <c r="AA378" s="2393"/>
      <c r="AB378" s="2393"/>
      <c r="AC378" s="2393"/>
      <c r="AD378" s="2393"/>
      <c r="AE378" s="2393"/>
      <c r="AF378" s="2393"/>
      <c r="AG378" s="681"/>
      <c r="AH378" s="681"/>
      <c r="AI378" s="681"/>
      <c r="AJ378" s="681"/>
      <c r="AK378" s="681"/>
      <c r="AL378" s="1375"/>
      <c r="AM378" s="16"/>
      <c r="AN378" s="439"/>
      <c r="AO378" s="1161" t="s">
        <v>191</v>
      </c>
      <c r="AP378" s="1162">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1"/>
      <c r="D379" s="71"/>
      <c r="E379" s="350"/>
      <c r="F379" s="2393"/>
      <c r="G379" s="2393"/>
      <c r="H379" s="2393"/>
      <c r="I379" s="2393"/>
      <c r="J379" s="2393"/>
      <c r="K379" s="2393"/>
      <c r="L379" s="2393"/>
      <c r="M379" s="2393"/>
      <c r="N379" s="2393"/>
      <c r="O379" s="2393"/>
      <c r="P379" s="2393"/>
      <c r="Q379" s="2393"/>
      <c r="R379" s="2393"/>
      <c r="S379" s="2393"/>
      <c r="T379" s="2393"/>
      <c r="U379" s="2393"/>
      <c r="V379" s="2393"/>
      <c r="W379" s="2393"/>
      <c r="X379" s="2393"/>
      <c r="Y379" s="2393"/>
      <c r="Z379" s="2393"/>
      <c r="AA379" s="2393"/>
      <c r="AB379" s="2393"/>
      <c r="AC379" s="2393"/>
      <c r="AD379" s="2393"/>
      <c r="AE379" s="2393"/>
      <c r="AF379" s="2393"/>
      <c r="AG379" s="681"/>
      <c r="AH379" s="681"/>
      <c r="AI379" s="681"/>
      <c r="AJ379" s="681"/>
      <c r="AK379" s="681"/>
      <c r="AL379" s="1375"/>
      <c r="AM379" s="16"/>
      <c r="AN379" s="439"/>
      <c r="AO379" s="1161" t="s">
        <v>37</v>
      </c>
      <c r="AP379" s="1162">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1"/>
      <c r="D380" s="71"/>
      <c r="E380" s="350"/>
      <c r="F380" s="2393"/>
      <c r="G380" s="2393"/>
      <c r="H380" s="2393"/>
      <c r="I380" s="2393"/>
      <c r="J380" s="2393"/>
      <c r="K380" s="2393"/>
      <c r="L380" s="2393"/>
      <c r="M380" s="2393"/>
      <c r="N380" s="2393"/>
      <c r="O380" s="2393"/>
      <c r="P380" s="2393"/>
      <c r="Q380" s="2393"/>
      <c r="R380" s="2393"/>
      <c r="S380" s="2393"/>
      <c r="T380" s="2393"/>
      <c r="U380" s="2393"/>
      <c r="V380" s="2393"/>
      <c r="W380" s="2393"/>
      <c r="X380" s="2393"/>
      <c r="Y380" s="2393"/>
      <c r="Z380" s="2393"/>
      <c r="AA380" s="2393"/>
      <c r="AB380" s="2393"/>
      <c r="AC380" s="2393"/>
      <c r="AD380" s="2393"/>
      <c r="AE380" s="2393"/>
      <c r="AF380" s="2393"/>
      <c r="AG380" s="681"/>
      <c r="AH380" s="681"/>
      <c r="AI380" s="681"/>
      <c r="AJ380" s="681"/>
      <c r="AK380" s="681"/>
      <c r="AL380" s="1375"/>
      <c r="AM380" s="16"/>
      <c r="AN380" s="439"/>
      <c r="AO380" s="1161" t="s">
        <v>38</v>
      </c>
      <c r="AP380" s="1162">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5" t="s">
        <v>136</v>
      </c>
      <c r="D381" s="1688"/>
      <c r="E381" s="350"/>
      <c r="F381" s="1176" t="s">
        <v>2008</v>
      </c>
      <c r="G381" s="1177"/>
      <c r="H381" s="1177"/>
      <c r="I381" s="1177"/>
      <c r="J381" s="1177"/>
      <c r="K381" s="1177"/>
      <c r="L381" s="1177"/>
      <c r="M381" s="1177"/>
      <c r="N381" s="1177"/>
      <c r="O381" s="1177"/>
      <c r="P381" s="1177"/>
      <c r="Q381" s="1177"/>
      <c r="R381" s="1177"/>
      <c r="S381" s="1177"/>
      <c r="T381" s="1177"/>
      <c r="U381" s="1177"/>
      <c r="V381" s="1177"/>
      <c r="W381" s="1177"/>
      <c r="X381" s="1177"/>
      <c r="Y381" s="1177"/>
      <c r="Z381" s="1177"/>
      <c r="AA381" s="1177"/>
      <c r="AB381" s="1177"/>
      <c r="AC381" s="1177"/>
      <c r="AD381" s="1177"/>
      <c r="AE381" s="162"/>
      <c r="AF381" s="2408" t="s">
        <v>355</v>
      </c>
      <c r="AG381" s="2408"/>
      <c r="AH381" s="2408"/>
      <c r="AI381" s="2408"/>
      <c r="AJ381" s="2408"/>
      <c r="AK381" s="2408"/>
      <c r="AL381" s="2409"/>
      <c r="AM381" s="1410"/>
      <c r="AO381" s="439"/>
      <c r="AP381" s="1162"/>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2"/>
      <c r="D382" s="1195"/>
      <c r="E382" s="1184"/>
      <c r="F382" s="1373"/>
      <c r="G382" s="1373"/>
      <c r="H382" s="1373"/>
      <c r="I382" s="1373"/>
      <c r="J382" s="1373"/>
      <c r="K382" s="1373"/>
      <c r="L382" s="1373"/>
      <c r="M382" s="1373"/>
      <c r="N382" s="1373"/>
      <c r="O382" s="1373"/>
      <c r="P382" s="1373"/>
      <c r="Q382" s="1373"/>
      <c r="R382" s="1373"/>
      <c r="S382" s="1373"/>
      <c r="T382" s="1373"/>
      <c r="U382" s="1373"/>
      <c r="V382" s="1373"/>
      <c r="W382" s="1373"/>
      <c r="X382" s="1373"/>
      <c r="Y382" s="1373"/>
      <c r="Z382" s="1373"/>
      <c r="AA382" s="1373"/>
      <c r="AB382" s="1373"/>
      <c r="AC382" s="1373"/>
      <c r="AD382" s="1373"/>
      <c r="AE382" s="1377"/>
      <c r="AF382" s="1377"/>
      <c r="AG382" s="1377"/>
      <c r="AH382" s="1377"/>
      <c r="AI382" s="1377"/>
      <c r="AJ382" s="1377"/>
      <c r="AK382" s="1377"/>
      <c r="AL382" s="1378"/>
      <c r="AM382" s="16"/>
      <c r="AN382" s="439"/>
      <c r="AO382" s="1163"/>
      <c r="AP382" s="1164"/>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1"/>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407">
        <f>IF(AP383&gt;0,AP383,0)</f>
        <v>0</v>
      </c>
      <c r="AR383" s="240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4"/>
      <c r="D384" s="1154"/>
      <c r="E384" s="350"/>
      <c r="F384" s="1176"/>
      <c r="G384" s="1177"/>
      <c r="H384" s="1177"/>
      <c r="I384" s="1177"/>
      <c r="J384" s="1177"/>
      <c r="K384" s="1177"/>
      <c r="L384" s="1177"/>
      <c r="M384" s="1177"/>
      <c r="N384" s="1177"/>
      <c r="O384" s="1177"/>
      <c r="P384" s="1177"/>
      <c r="Q384" s="1177"/>
      <c r="R384" s="1177"/>
      <c r="S384" s="1177"/>
      <c r="T384" s="1177"/>
      <c r="U384" s="1177"/>
      <c r="V384" s="1177"/>
      <c r="W384" s="1177"/>
      <c r="X384" s="1177"/>
      <c r="Y384" s="1177"/>
      <c r="Z384" s="1177"/>
      <c r="AA384" s="1177"/>
      <c r="AB384" s="1177"/>
      <c r="AC384" s="1177"/>
      <c r="AD384" s="1177"/>
      <c r="AL384" s="1293"/>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96"/>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78"/>
      <c r="D386" s="1179"/>
      <c r="E386" s="1180" t="s">
        <v>207</v>
      </c>
      <c r="F386" s="2392" t="s">
        <v>2015</v>
      </c>
      <c r="G386" s="2392"/>
      <c r="H386" s="2392"/>
      <c r="I386" s="2392"/>
      <c r="J386" s="2392"/>
      <c r="K386" s="2392"/>
      <c r="L386" s="2392"/>
      <c r="M386" s="2392"/>
      <c r="N386" s="2392"/>
      <c r="O386" s="2392"/>
      <c r="P386" s="2392"/>
      <c r="Q386" s="2392"/>
      <c r="R386" s="2392"/>
      <c r="S386" s="2392"/>
      <c r="T386" s="2392"/>
      <c r="U386" s="2392"/>
      <c r="V386" s="2392"/>
      <c r="W386" s="2392"/>
      <c r="X386" s="2392"/>
      <c r="Y386" s="2392"/>
      <c r="Z386" s="2392"/>
      <c r="AA386" s="2392"/>
      <c r="AB386" s="2392"/>
      <c r="AC386" s="2392"/>
      <c r="AD386" s="2392"/>
      <c r="AE386" s="2392"/>
      <c r="AF386" s="2392"/>
      <c r="AG386" s="1319"/>
      <c r="AH386" s="1319"/>
      <c r="AI386" s="1319"/>
      <c r="AJ386" s="1319"/>
      <c r="AK386" s="1319"/>
      <c r="AL386" s="131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6"/>
      <c r="D387" s="125"/>
      <c r="E387" s="306"/>
      <c r="F387" s="2393"/>
      <c r="G387" s="2393"/>
      <c r="H387" s="2393"/>
      <c r="I387" s="2393"/>
      <c r="J387" s="2393"/>
      <c r="K387" s="2393"/>
      <c r="L387" s="2393"/>
      <c r="M387" s="2393"/>
      <c r="N387" s="2393"/>
      <c r="O387" s="2393"/>
      <c r="P387" s="2393"/>
      <c r="Q387" s="2393"/>
      <c r="R387" s="2393"/>
      <c r="S387" s="2393"/>
      <c r="T387" s="2393"/>
      <c r="U387" s="2393"/>
      <c r="V387" s="2393"/>
      <c r="W387" s="2393"/>
      <c r="X387" s="2393"/>
      <c r="Y387" s="2393"/>
      <c r="Z387" s="2393"/>
      <c r="AA387" s="2393"/>
      <c r="AB387" s="2393"/>
      <c r="AC387" s="2393"/>
      <c r="AD387" s="2393"/>
      <c r="AE387" s="2393"/>
      <c r="AF387" s="2393"/>
      <c r="AG387" s="681"/>
      <c r="AH387" s="681"/>
      <c r="AI387" s="681"/>
      <c r="AJ387" s="681"/>
      <c r="AK387" s="681"/>
      <c r="AL387" s="130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6"/>
      <c r="D388" s="125"/>
      <c r="E388" s="306"/>
      <c r="F388" s="2393"/>
      <c r="G388" s="2393"/>
      <c r="H388" s="2393"/>
      <c r="I388" s="2393"/>
      <c r="J388" s="2393"/>
      <c r="K388" s="2393"/>
      <c r="L388" s="2393"/>
      <c r="M388" s="2393"/>
      <c r="N388" s="2393"/>
      <c r="O388" s="2393"/>
      <c r="P388" s="2393"/>
      <c r="Q388" s="2393"/>
      <c r="R388" s="2393"/>
      <c r="S388" s="2393"/>
      <c r="T388" s="2393"/>
      <c r="U388" s="2393"/>
      <c r="V388" s="2393"/>
      <c r="W388" s="2393"/>
      <c r="X388" s="2393"/>
      <c r="Y388" s="2393"/>
      <c r="Z388" s="2393"/>
      <c r="AA388" s="2393"/>
      <c r="AB388" s="2393"/>
      <c r="AC388" s="2393"/>
      <c r="AD388" s="2393"/>
      <c r="AE388" s="2393"/>
      <c r="AF388" s="2393"/>
      <c r="AG388" s="681"/>
      <c r="AH388" s="681"/>
      <c r="AI388" s="681"/>
      <c r="AJ388" s="681"/>
      <c r="AK388" s="681"/>
      <c r="AL388" s="130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6"/>
      <c r="D389" s="125"/>
      <c r="E389" s="306"/>
      <c r="F389" s="2393"/>
      <c r="G389" s="2393"/>
      <c r="H389" s="2393"/>
      <c r="I389" s="2393"/>
      <c r="J389" s="2393"/>
      <c r="K389" s="2393"/>
      <c r="L389" s="2393"/>
      <c r="M389" s="2393"/>
      <c r="N389" s="2393"/>
      <c r="O389" s="2393"/>
      <c r="P389" s="2393"/>
      <c r="Q389" s="2393"/>
      <c r="R389" s="2393"/>
      <c r="S389" s="2393"/>
      <c r="T389" s="2393"/>
      <c r="U389" s="2393"/>
      <c r="V389" s="2393"/>
      <c r="W389" s="2393"/>
      <c r="X389" s="2393"/>
      <c r="Y389" s="2393"/>
      <c r="Z389" s="2393"/>
      <c r="AA389" s="2393"/>
      <c r="AB389" s="2393"/>
      <c r="AC389" s="2393"/>
      <c r="AD389" s="2393"/>
      <c r="AE389" s="2393"/>
      <c r="AF389" s="2393"/>
      <c r="AG389" s="681"/>
      <c r="AH389" s="681"/>
      <c r="AI389" s="681"/>
      <c r="AJ389" s="681"/>
      <c r="AK389" s="681"/>
      <c r="AL389" s="130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6"/>
      <c r="D390" s="125"/>
      <c r="E390" s="306"/>
      <c r="F390" s="2393"/>
      <c r="G390" s="2393"/>
      <c r="H390" s="2393"/>
      <c r="I390" s="2393"/>
      <c r="J390" s="2393"/>
      <c r="K390" s="2393"/>
      <c r="L390" s="2393"/>
      <c r="M390" s="2393"/>
      <c r="N390" s="2393"/>
      <c r="O390" s="2393"/>
      <c r="P390" s="2393"/>
      <c r="Q390" s="2393"/>
      <c r="R390" s="2393"/>
      <c r="S390" s="2393"/>
      <c r="T390" s="2393"/>
      <c r="U390" s="2393"/>
      <c r="V390" s="2393"/>
      <c r="W390" s="2393"/>
      <c r="X390" s="2393"/>
      <c r="Y390" s="2393"/>
      <c r="Z390" s="2393"/>
      <c r="AA390" s="2393"/>
      <c r="AB390" s="2393"/>
      <c r="AC390" s="2393"/>
      <c r="AD390" s="2393"/>
      <c r="AE390" s="2393"/>
      <c r="AF390" s="2393"/>
      <c r="AG390" s="162"/>
      <c r="AH390" s="162"/>
      <c r="AI390" s="162"/>
      <c r="AJ390" s="162"/>
      <c r="AK390" s="162"/>
      <c r="AL390" s="1187"/>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5" t="s">
        <v>119</v>
      </c>
      <c r="D391" s="1688"/>
      <c r="E391" s="306"/>
      <c r="F391" s="1176" t="s">
        <v>2009</v>
      </c>
      <c r="G391" s="1177"/>
      <c r="H391" s="1177"/>
      <c r="I391" s="1177"/>
      <c r="J391" s="1177"/>
      <c r="K391" s="1177"/>
      <c r="L391" s="1177"/>
      <c r="M391" s="1177"/>
      <c r="N391" s="1177"/>
      <c r="O391" s="1177"/>
      <c r="P391" s="1177"/>
      <c r="Q391" s="1177"/>
      <c r="R391" s="1177"/>
      <c r="S391" s="1177"/>
      <c r="T391" s="1177"/>
      <c r="U391" s="1177"/>
      <c r="V391" s="1177"/>
      <c r="W391" s="1177"/>
      <c r="X391" s="1177"/>
      <c r="Y391" s="1177"/>
      <c r="Z391" s="1177"/>
      <c r="AA391" s="1177"/>
      <c r="AB391" s="1177"/>
      <c r="AC391" s="1177"/>
      <c r="AD391" s="1177"/>
      <c r="AE391" s="162"/>
      <c r="AF391" s="2408" t="s">
        <v>355</v>
      </c>
      <c r="AG391" s="2408"/>
      <c r="AH391" s="2408"/>
      <c r="AI391" s="2408"/>
      <c r="AJ391" s="2408"/>
      <c r="AK391" s="2408"/>
      <c r="AL391" s="240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2"/>
      <c r="D392" s="1195"/>
      <c r="E392" s="1184"/>
      <c r="F392" s="1373"/>
      <c r="G392" s="1373"/>
      <c r="H392" s="1373"/>
      <c r="I392" s="1373"/>
      <c r="J392" s="1373"/>
      <c r="K392" s="1373"/>
      <c r="L392" s="1373"/>
      <c r="M392" s="1373"/>
      <c r="N392" s="1373"/>
      <c r="O392" s="1373"/>
      <c r="P392" s="1373"/>
      <c r="Q392" s="1373"/>
      <c r="R392" s="1373"/>
      <c r="S392" s="1373"/>
      <c r="T392" s="1373"/>
      <c r="U392" s="1373"/>
      <c r="V392" s="1373"/>
      <c r="W392" s="1373"/>
      <c r="X392" s="1373"/>
      <c r="Y392" s="1373"/>
      <c r="Z392" s="1373"/>
      <c r="AA392" s="1373"/>
      <c r="AB392" s="1373"/>
      <c r="AC392" s="1373"/>
      <c r="AD392" s="1373"/>
      <c r="AE392" s="1377"/>
      <c r="AF392" s="1377"/>
      <c r="AG392" s="1377"/>
      <c r="AH392" s="1377"/>
      <c r="AI392" s="1377"/>
      <c r="AJ392" s="1377"/>
      <c r="AK392" s="1377"/>
      <c r="AL392" s="1378"/>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3"/>
      <c r="D393" s="1843"/>
      <c r="E393" s="350"/>
      <c r="F393" s="1413"/>
      <c r="G393" s="1414"/>
      <c r="H393" s="1414"/>
      <c r="I393" s="1414"/>
      <c r="J393" s="1414"/>
      <c r="K393" s="1414"/>
      <c r="L393" s="1414"/>
      <c r="M393" s="1414"/>
      <c r="N393" s="1414"/>
      <c r="O393" s="1414"/>
      <c r="P393" s="1414"/>
      <c r="Q393" s="1414"/>
      <c r="R393" s="1414"/>
      <c r="S393" s="1414"/>
      <c r="T393" s="1414"/>
      <c r="U393" s="1414"/>
      <c r="V393" s="1414"/>
      <c r="W393" s="1414"/>
      <c r="X393" s="1414"/>
      <c r="Y393" s="1414"/>
      <c r="Z393" s="1414"/>
      <c r="AA393" s="1414"/>
      <c r="AB393" s="1414"/>
      <c r="AC393" s="1414"/>
      <c r="AD393" s="1414"/>
      <c r="AE393" s="203"/>
      <c r="AF393" s="2442"/>
      <c r="AG393" s="2442"/>
      <c r="AH393" s="2442"/>
      <c r="AI393" s="2442"/>
      <c r="AJ393" s="2442"/>
      <c r="AK393" s="2442"/>
      <c r="AL393" s="244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78"/>
      <c r="D396" s="1179"/>
      <c r="E396" s="1180" t="s">
        <v>208</v>
      </c>
      <c r="F396" s="2607" t="s">
        <v>2231</v>
      </c>
      <c r="G396" s="2607"/>
      <c r="H396" s="2607"/>
      <c r="I396" s="2607"/>
      <c r="J396" s="2607"/>
      <c r="K396" s="2607"/>
      <c r="L396" s="2607"/>
      <c r="M396" s="2607"/>
      <c r="N396" s="2607"/>
      <c r="O396" s="2607"/>
      <c r="P396" s="2607"/>
      <c r="Q396" s="2607"/>
      <c r="R396" s="2607"/>
      <c r="S396" s="2607"/>
      <c r="T396" s="2607"/>
      <c r="U396" s="2607"/>
      <c r="V396" s="2607"/>
      <c r="W396" s="2607"/>
      <c r="X396" s="2607"/>
      <c r="Y396" s="2607"/>
      <c r="Z396" s="2607"/>
      <c r="AA396" s="2607"/>
      <c r="AB396" s="2607"/>
      <c r="AC396" s="2607"/>
      <c r="AD396" s="2607"/>
      <c r="AE396" s="2607"/>
      <c r="AF396" s="2607"/>
      <c r="AG396" s="1319"/>
      <c r="AH396" s="1319"/>
      <c r="AI396" s="1319"/>
      <c r="AJ396" s="1319"/>
      <c r="AK396" s="1319"/>
      <c r="AL396" s="131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6"/>
      <c r="D397" s="125"/>
      <c r="E397" s="306"/>
      <c r="F397" s="2608"/>
      <c r="G397" s="2608"/>
      <c r="H397" s="2608"/>
      <c r="I397" s="2608"/>
      <c r="J397" s="2608"/>
      <c r="K397" s="2608"/>
      <c r="L397" s="2608"/>
      <c r="M397" s="2608"/>
      <c r="N397" s="2608"/>
      <c r="O397" s="2608"/>
      <c r="P397" s="2608"/>
      <c r="Q397" s="2608"/>
      <c r="R397" s="2608"/>
      <c r="S397" s="2608"/>
      <c r="T397" s="2608"/>
      <c r="U397" s="2608"/>
      <c r="V397" s="2608"/>
      <c r="W397" s="2608"/>
      <c r="X397" s="2608"/>
      <c r="Y397" s="2608"/>
      <c r="Z397" s="2608"/>
      <c r="AA397" s="2608"/>
      <c r="AB397" s="2608"/>
      <c r="AC397" s="2608"/>
      <c r="AD397" s="2608"/>
      <c r="AE397" s="2608"/>
      <c r="AF397" s="2608"/>
      <c r="AG397" s="681"/>
      <c r="AH397" s="681"/>
      <c r="AI397" s="681"/>
      <c r="AJ397" s="681"/>
      <c r="AK397" s="681"/>
      <c r="AL397" s="130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6"/>
      <c r="D398" s="125"/>
      <c r="E398" s="306"/>
      <c r="F398" s="2608"/>
      <c r="G398" s="2608"/>
      <c r="H398" s="2608"/>
      <c r="I398" s="2608"/>
      <c r="J398" s="2608"/>
      <c r="K398" s="2608"/>
      <c r="L398" s="2608"/>
      <c r="M398" s="2608"/>
      <c r="N398" s="2608"/>
      <c r="O398" s="2608"/>
      <c r="P398" s="2608"/>
      <c r="Q398" s="2608"/>
      <c r="R398" s="2608"/>
      <c r="S398" s="2608"/>
      <c r="T398" s="2608"/>
      <c r="U398" s="2608"/>
      <c r="V398" s="2608"/>
      <c r="W398" s="2608"/>
      <c r="X398" s="2608"/>
      <c r="Y398" s="2608"/>
      <c r="Z398" s="2608"/>
      <c r="AA398" s="2608"/>
      <c r="AB398" s="2608"/>
      <c r="AC398" s="2608"/>
      <c r="AD398" s="2608"/>
      <c r="AE398" s="2608"/>
      <c r="AF398" s="2608"/>
      <c r="AG398" s="681"/>
      <c r="AH398" s="681"/>
      <c r="AI398" s="681"/>
      <c r="AJ398" s="681"/>
      <c r="AK398" s="681"/>
      <c r="AL398" s="1375"/>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6"/>
      <c r="D399" s="125"/>
      <c r="E399" s="306"/>
      <c r="F399" s="2608"/>
      <c r="G399" s="2608"/>
      <c r="H399" s="2608"/>
      <c r="I399" s="2608"/>
      <c r="J399" s="2608"/>
      <c r="K399" s="2608"/>
      <c r="L399" s="2608"/>
      <c r="M399" s="2608"/>
      <c r="N399" s="2608"/>
      <c r="O399" s="2608"/>
      <c r="P399" s="2608"/>
      <c r="Q399" s="2608"/>
      <c r="R399" s="2608"/>
      <c r="S399" s="2608"/>
      <c r="T399" s="2608"/>
      <c r="U399" s="2608"/>
      <c r="V399" s="2608"/>
      <c r="W399" s="2608"/>
      <c r="X399" s="2608"/>
      <c r="Y399" s="2608"/>
      <c r="Z399" s="2608"/>
      <c r="AA399" s="2608"/>
      <c r="AB399" s="2608"/>
      <c r="AC399" s="2608"/>
      <c r="AD399" s="2608"/>
      <c r="AE399" s="2608"/>
      <c r="AF399" s="2608"/>
      <c r="AG399" s="681"/>
      <c r="AH399" s="681"/>
      <c r="AI399" s="681"/>
      <c r="AJ399" s="681"/>
      <c r="AK399" s="681"/>
      <c r="AL399" s="130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6"/>
      <c r="D400" s="125"/>
      <c r="E400" s="306"/>
      <c r="F400" s="2608"/>
      <c r="G400" s="2608"/>
      <c r="H400" s="2608"/>
      <c r="I400" s="2608"/>
      <c r="J400" s="2608"/>
      <c r="K400" s="2608"/>
      <c r="L400" s="2608"/>
      <c r="M400" s="2608"/>
      <c r="N400" s="2608"/>
      <c r="O400" s="2608"/>
      <c r="P400" s="2608"/>
      <c r="Q400" s="2608"/>
      <c r="R400" s="2608"/>
      <c r="S400" s="2608"/>
      <c r="T400" s="2608"/>
      <c r="U400" s="2608"/>
      <c r="V400" s="2608"/>
      <c r="W400" s="2608"/>
      <c r="X400" s="2608"/>
      <c r="Y400" s="2608"/>
      <c r="Z400" s="2608"/>
      <c r="AA400" s="2608"/>
      <c r="AB400" s="2608"/>
      <c r="AC400" s="2608"/>
      <c r="AD400" s="2608"/>
      <c r="AE400" s="2608"/>
      <c r="AF400" s="2608"/>
      <c r="AG400" s="681"/>
      <c r="AH400" s="681"/>
      <c r="AI400" s="681"/>
      <c r="AJ400" s="681"/>
      <c r="AK400" s="681"/>
      <c r="AL400" s="130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5" t="s">
        <v>136</v>
      </c>
      <c r="D401" s="1688"/>
      <c r="E401" s="306"/>
      <c r="F401" s="1176" t="s">
        <v>2011</v>
      </c>
      <c r="G401" s="1177"/>
      <c r="H401" s="1177"/>
      <c r="I401" s="1177"/>
      <c r="J401" s="1177"/>
      <c r="K401" s="1177"/>
      <c r="L401" s="1177"/>
      <c r="M401" s="1177"/>
      <c r="N401" s="1177"/>
      <c r="O401" s="1177"/>
      <c r="P401" s="1177"/>
      <c r="Q401" s="1177"/>
      <c r="R401" s="1177"/>
      <c r="S401" s="1177"/>
      <c r="T401" s="1177"/>
      <c r="U401" s="1177"/>
      <c r="V401" s="1177"/>
      <c r="W401" s="1177"/>
      <c r="X401" s="1177"/>
      <c r="Y401" s="1177"/>
      <c r="Z401" s="1177"/>
      <c r="AA401" s="1177"/>
      <c r="AB401" s="1177"/>
      <c r="AC401" s="1177"/>
      <c r="AD401" s="1177"/>
      <c r="AE401" s="162"/>
      <c r="AF401" s="2408" t="s">
        <v>1067</v>
      </c>
      <c r="AG401" s="2408"/>
      <c r="AH401" s="2408"/>
      <c r="AI401" s="2408"/>
      <c r="AJ401" s="2408"/>
      <c r="AK401" s="2408"/>
      <c r="AL401" s="2409"/>
      <c r="AM401" s="1410"/>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6"/>
      <c r="D402" s="125"/>
      <c r="E402" s="306"/>
      <c r="F402" s="1310"/>
      <c r="G402" s="1310"/>
      <c r="H402" s="1310"/>
      <c r="I402" s="1310"/>
      <c r="J402" s="1310"/>
      <c r="K402" s="1310"/>
      <c r="L402" s="1310"/>
      <c r="M402" s="1310"/>
      <c r="N402" s="1310"/>
      <c r="O402" s="1310"/>
      <c r="P402" s="1310"/>
      <c r="Q402" s="1310"/>
      <c r="R402" s="1310"/>
      <c r="S402" s="1310"/>
      <c r="T402" s="1310"/>
      <c r="U402" s="1310"/>
      <c r="V402" s="1310"/>
      <c r="W402" s="1310"/>
      <c r="X402" s="1310"/>
      <c r="Y402" s="1310"/>
      <c r="Z402" s="1310"/>
      <c r="AA402" s="1310"/>
      <c r="AB402" s="1310"/>
      <c r="AC402" s="1310"/>
      <c r="AD402" s="1310"/>
      <c r="AE402" s="162"/>
      <c r="AF402" s="162"/>
      <c r="AG402" s="162"/>
      <c r="AH402" s="162"/>
      <c r="AI402" s="162"/>
      <c r="AJ402" s="162"/>
      <c r="AK402" s="162"/>
      <c r="AL402" s="1187"/>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5" t="s">
        <v>119</v>
      </c>
      <c r="D403" s="1688"/>
      <c r="E403" s="306"/>
      <c r="F403" s="1189" t="s">
        <v>2012</v>
      </c>
      <c r="G403" s="1310"/>
      <c r="H403" s="1310"/>
      <c r="I403" s="1310"/>
      <c r="J403" s="1310"/>
      <c r="K403" s="1310"/>
      <c r="L403" s="1310"/>
      <c r="M403" s="1310"/>
      <c r="N403" s="1310"/>
      <c r="O403" s="1310"/>
      <c r="P403" s="1310"/>
      <c r="Q403" s="1310"/>
      <c r="R403" s="1310"/>
      <c r="S403" s="1310"/>
      <c r="T403" s="1310"/>
      <c r="U403" s="1310"/>
      <c r="V403" s="1310"/>
      <c r="W403" s="1310"/>
      <c r="X403" s="1310"/>
      <c r="Y403" s="1310"/>
      <c r="Z403" s="1310"/>
      <c r="AA403" s="1310"/>
      <c r="AB403" s="1310"/>
      <c r="AC403" s="1310"/>
      <c r="AD403" s="1310"/>
      <c r="AE403" s="162"/>
      <c r="AF403" s="2408" t="s">
        <v>355</v>
      </c>
      <c r="AG403" s="2408"/>
      <c r="AH403" s="2408"/>
      <c r="AI403" s="2408"/>
      <c r="AJ403" s="2408"/>
      <c r="AK403" s="2408"/>
      <c r="AL403" s="240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6"/>
      <c r="D404" s="125"/>
      <c r="E404" s="306"/>
      <c r="F404" s="1189"/>
      <c r="G404" s="1189"/>
      <c r="H404" s="1189"/>
      <c r="I404" s="1189"/>
      <c r="J404" s="1189"/>
      <c r="K404" s="1189"/>
      <c r="L404" s="1189"/>
      <c r="M404" s="1189"/>
      <c r="N404" s="1189"/>
      <c r="O404" s="1189"/>
      <c r="P404" s="1189"/>
      <c r="Q404" s="1189"/>
      <c r="R404" s="1189"/>
      <c r="S404" s="1189"/>
      <c r="T404" s="1189"/>
      <c r="U404" s="1189"/>
      <c r="V404" s="1189"/>
      <c r="W404" s="1189"/>
      <c r="X404" s="1189"/>
      <c r="Y404" s="1189"/>
      <c r="Z404" s="1189"/>
      <c r="AA404" s="1189"/>
      <c r="AB404" s="1189"/>
      <c r="AC404" s="1189"/>
      <c r="AD404" s="1189"/>
      <c r="AE404" s="71"/>
      <c r="AF404" s="162"/>
      <c r="AG404" s="162"/>
      <c r="AH404" s="162"/>
      <c r="AI404" s="162"/>
      <c r="AJ404" s="162"/>
      <c r="AK404" s="162"/>
      <c r="AL404" s="1187"/>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1"/>
      <c r="D405" s="1192"/>
      <c r="E405" s="1193"/>
      <c r="F405" s="1194" t="s">
        <v>2010</v>
      </c>
      <c r="G405" s="1188"/>
      <c r="H405" s="1188"/>
      <c r="I405" s="1188"/>
      <c r="J405" s="1188"/>
      <c r="K405" s="1188"/>
      <c r="L405" s="1188"/>
      <c r="M405" s="1188"/>
      <c r="N405" s="1188"/>
      <c r="O405" s="1188"/>
      <c r="P405" s="1188"/>
      <c r="Q405" s="1188"/>
      <c r="R405" s="1188"/>
      <c r="S405" s="1188"/>
      <c r="T405" s="1188"/>
      <c r="U405" s="1188"/>
      <c r="V405" s="1188"/>
      <c r="W405" s="1188"/>
      <c r="X405" s="1188"/>
      <c r="Y405" s="1188"/>
      <c r="Z405" s="1188"/>
      <c r="AA405" s="1188"/>
      <c r="AB405" s="1188"/>
      <c r="AC405" s="1188"/>
      <c r="AD405" s="1188"/>
      <c r="AE405" s="1195"/>
      <c r="AF405" s="1196"/>
      <c r="AG405" s="1195"/>
      <c r="AH405" s="1197"/>
      <c r="AI405" s="1197"/>
      <c r="AJ405" s="1197"/>
      <c r="AK405" s="1197"/>
      <c r="AL405" s="1198"/>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78"/>
      <c r="D407" s="1179"/>
      <c r="E407" s="1180" t="s">
        <v>209</v>
      </c>
      <c r="F407" s="2392" t="s">
        <v>2014</v>
      </c>
      <c r="G407" s="2392"/>
      <c r="H407" s="2392"/>
      <c r="I407" s="2392"/>
      <c r="J407" s="2392"/>
      <c r="K407" s="2392"/>
      <c r="L407" s="2392"/>
      <c r="M407" s="2392"/>
      <c r="N407" s="2392"/>
      <c r="O407" s="2392"/>
      <c r="P407" s="2392"/>
      <c r="Q407" s="2392"/>
      <c r="R407" s="2392"/>
      <c r="S407" s="2392"/>
      <c r="T407" s="2392"/>
      <c r="U407" s="2392"/>
      <c r="V407" s="2392"/>
      <c r="W407" s="2392"/>
      <c r="X407" s="2392"/>
      <c r="Y407" s="2392"/>
      <c r="Z407" s="2392"/>
      <c r="AA407" s="2392"/>
      <c r="AB407" s="2392"/>
      <c r="AC407" s="2392"/>
      <c r="AD407" s="2392"/>
      <c r="AE407" s="2392"/>
      <c r="AF407" s="2392"/>
      <c r="AG407" s="1319"/>
      <c r="AH407" s="1319"/>
      <c r="AI407" s="1319"/>
      <c r="AJ407" s="1319"/>
      <c r="AK407" s="1319"/>
      <c r="AL407" s="131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6"/>
      <c r="D408" s="125"/>
      <c r="E408" s="306"/>
      <c r="F408" s="2393"/>
      <c r="G408" s="2393"/>
      <c r="H408" s="2393"/>
      <c r="I408" s="2393"/>
      <c r="J408" s="2393"/>
      <c r="K408" s="2393"/>
      <c r="L408" s="2393"/>
      <c r="M408" s="2393"/>
      <c r="N408" s="2393"/>
      <c r="O408" s="2393"/>
      <c r="P408" s="2393"/>
      <c r="Q408" s="2393"/>
      <c r="R408" s="2393"/>
      <c r="S408" s="2393"/>
      <c r="T408" s="2393"/>
      <c r="U408" s="2393"/>
      <c r="V408" s="2393"/>
      <c r="W408" s="2393"/>
      <c r="X408" s="2393"/>
      <c r="Y408" s="2393"/>
      <c r="Z408" s="2393"/>
      <c r="AA408" s="2393"/>
      <c r="AB408" s="2393"/>
      <c r="AC408" s="2393"/>
      <c r="AD408" s="2393"/>
      <c r="AE408" s="2393"/>
      <c r="AF408" s="2393"/>
      <c r="AG408" s="681"/>
      <c r="AH408" s="681"/>
      <c r="AI408" s="681"/>
      <c r="AJ408" s="681"/>
      <c r="AK408" s="681"/>
      <c r="AL408" s="130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6"/>
      <c r="D409" s="125"/>
      <c r="E409" s="306"/>
      <c r="F409" s="2393"/>
      <c r="G409" s="2393"/>
      <c r="H409" s="2393"/>
      <c r="I409" s="2393"/>
      <c r="J409" s="2393"/>
      <c r="K409" s="2393"/>
      <c r="L409" s="2393"/>
      <c r="M409" s="2393"/>
      <c r="N409" s="2393"/>
      <c r="O409" s="2393"/>
      <c r="P409" s="2393"/>
      <c r="Q409" s="2393"/>
      <c r="R409" s="2393"/>
      <c r="S409" s="2393"/>
      <c r="T409" s="2393"/>
      <c r="U409" s="2393"/>
      <c r="V409" s="2393"/>
      <c r="W409" s="2393"/>
      <c r="X409" s="2393"/>
      <c r="Y409" s="2393"/>
      <c r="Z409" s="2393"/>
      <c r="AA409" s="2393"/>
      <c r="AB409" s="2393"/>
      <c r="AC409" s="2393"/>
      <c r="AD409" s="2393"/>
      <c r="AE409" s="2393"/>
      <c r="AF409" s="2393"/>
      <c r="AG409" s="681"/>
      <c r="AH409" s="681"/>
      <c r="AI409" s="681"/>
      <c r="AJ409" s="681"/>
      <c r="AK409" s="681"/>
      <c r="AL409" s="130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6"/>
      <c r="D410" s="125"/>
      <c r="E410" s="306"/>
      <c r="F410" s="2393"/>
      <c r="G410" s="2393"/>
      <c r="H410" s="2393"/>
      <c r="I410" s="2393"/>
      <c r="J410" s="2393"/>
      <c r="K410" s="2393"/>
      <c r="L410" s="2393"/>
      <c r="M410" s="2393"/>
      <c r="N410" s="2393"/>
      <c r="O410" s="2393"/>
      <c r="P410" s="2393"/>
      <c r="Q410" s="2393"/>
      <c r="R410" s="2393"/>
      <c r="S410" s="2393"/>
      <c r="T410" s="2393"/>
      <c r="U410" s="2393"/>
      <c r="V410" s="2393"/>
      <c r="W410" s="2393"/>
      <c r="X410" s="2393"/>
      <c r="Y410" s="2393"/>
      <c r="Z410" s="2393"/>
      <c r="AA410" s="2393"/>
      <c r="AB410" s="2393"/>
      <c r="AC410" s="2393"/>
      <c r="AD410" s="2393"/>
      <c r="AE410" s="2393"/>
      <c r="AF410" s="2393"/>
      <c r="AG410" s="681"/>
      <c r="AH410" s="681"/>
      <c r="AI410" s="681"/>
      <c r="AJ410" s="681"/>
      <c r="AK410" s="681"/>
      <c r="AL410" s="130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5" t="s">
        <v>136</v>
      </c>
      <c r="D411" s="1688"/>
      <c r="E411" s="306"/>
      <c r="F411" s="1176" t="s">
        <v>2013</v>
      </c>
      <c r="G411" s="1177"/>
      <c r="H411" s="1177"/>
      <c r="I411" s="1177"/>
      <c r="J411" s="1177"/>
      <c r="K411" s="1177"/>
      <c r="L411" s="1177"/>
      <c r="M411" s="1177"/>
      <c r="N411" s="1177"/>
      <c r="O411" s="1177"/>
      <c r="P411" s="1177"/>
      <c r="Q411" s="1177"/>
      <c r="R411" s="1177"/>
      <c r="S411" s="1177"/>
      <c r="T411" s="1177"/>
      <c r="U411" s="1177"/>
      <c r="V411" s="1177"/>
      <c r="W411" s="1177"/>
      <c r="X411" s="1177"/>
      <c r="Y411" s="1177"/>
      <c r="Z411" s="1177"/>
      <c r="AA411" s="1177"/>
      <c r="AB411" s="1177"/>
      <c r="AC411" s="1177"/>
      <c r="AD411" s="1177"/>
      <c r="AE411" s="162"/>
      <c r="AF411" s="2408" t="s">
        <v>355</v>
      </c>
      <c r="AG411" s="2408"/>
      <c r="AH411" s="2408"/>
      <c r="AI411" s="2408"/>
      <c r="AJ411" s="2408"/>
      <c r="AK411" s="2408"/>
      <c r="AL411" s="240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6"/>
      <c r="D412" s="125"/>
      <c r="E412" s="306"/>
      <c r="F412" s="162"/>
      <c r="G412" s="1177"/>
      <c r="H412" s="1177"/>
      <c r="I412" s="1177"/>
      <c r="J412" s="1177"/>
      <c r="K412" s="1177"/>
      <c r="L412" s="1177"/>
      <c r="M412" s="1177"/>
      <c r="N412" s="1177"/>
      <c r="O412" s="1177"/>
      <c r="P412" s="1177"/>
      <c r="Q412" s="1177"/>
      <c r="R412" s="1177"/>
      <c r="S412" s="1177"/>
      <c r="T412" s="1177"/>
      <c r="U412" s="1177"/>
      <c r="V412" s="1177"/>
      <c r="W412" s="1177"/>
      <c r="X412" s="1177"/>
      <c r="Y412" s="1177"/>
      <c r="Z412" s="1177"/>
      <c r="AA412" s="1177"/>
      <c r="AB412" s="1177"/>
      <c r="AC412" s="1177"/>
      <c r="AD412" s="1177"/>
      <c r="AE412" s="162"/>
      <c r="AF412" s="162"/>
      <c r="AG412" s="162"/>
      <c r="AH412" s="162"/>
      <c r="AI412" s="162"/>
      <c r="AJ412" s="162"/>
      <c r="AK412" s="162"/>
      <c r="AL412" s="1187"/>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5" t="s">
        <v>136</v>
      </c>
      <c r="D413" s="1688"/>
      <c r="E413" s="350"/>
      <c r="F413" s="1176" t="s">
        <v>1068</v>
      </c>
      <c r="G413" s="1177"/>
      <c r="H413" s="1177"/>
      <c r="I413" s="1177"/>
      <c r="J413" s="1177"/>
      <c r="K413" s="1177"/>
      <c r="L413" s="1177"/>
      <c r="M413" s="1177"/>
      <c r="N413" s="1177"/>
      <c r="O413" s="1177"/>
      <c r="P413" s="1177"/>
      <c r="Q413" s="1177"/>
      <c r="R413" s="1177"/>
      <c r="S413" s="1177"/>
      <c r="T413" s="1177"/>
      <c r="U413" s="1177"/>
      <c r="V413" s="1177"/>
      <c r="W413" s="1177"/>
      <c r="X413" s="1177"/>
      <c r="Y413" s="1177"/>
      <c r="Z413" s="1177"/>
      <c r="AA413" s="1177"/>
      <c r="AB413" s="1177"/>
      <c r="AC413" s="1177"/>
      <c r="AD413" s="1177"/>
      <c r="AE413" s="162"/>
      <c r="AF413" s="2408" t="s">
        <v>1066</v>
      </c>
      <c r="AG413" s="2408"/>
      <c r="AH413" s="2408"/>
      <c r="AI413" s="2408"/>
      <c r="AJ413" s="2408"/>
      <c r="AK413" s="2408"/>
      <c r="AL413" s="240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99"/>
      <c r="D414" s="1197"/>
      <c r="E414" s="1184"/>
      <c r="F414" s="1197"/>
      <c r="G414" s="1185"/>
      <c r="H414" s="1185"/>
      <c r="I414" s="1185"/>
      <c r="J414" s="1185"/>
      <c r="K414" s="1185"/>
      <c r="L414" s="1185"/>
      <c r="M414" s="1185"/>
      <c r="N414" s="1185"/>
      <c r="O414" s="1185"/>
      <c r="P414" s="1185"/>
      <c r="Q414" s="1185"/>
      <c r="R414" s="1185"/>
      <c r="S414" s="1185"/>
      <c r="T414" s="1185"/>
      <c r="U414" s="1185"/>
      <c r="V414" s="1185"/>
      <c r="W414" s="1185"/>
      <c r="X414" s="1185"/>
      <c r="Y414" s="1185"/>
      <c r="Z414" s="1185"/>
      <c r="AA414" s="1185"/>
      <c r="AB414" s="1185"/>
      <c r="AC414" s="1185"/>
      <c r="AD414" s="1185"/>
      <c r="AE414" s="1197"/>
      <c r="AF414" s="1197"/>
      <c r="AG414" s="1197"/>
      <c r="AH414" s="1197"/>
      <c r="AI414" s="1197"/>
      <c r="AJ414" s="1197"/>
      <c r="AK414" s="1197"/>
      <c r="AL414" s="1198"/>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5" t="s">
        <v>136</v>
      </c>
      <c r="D416" s="1688"/>
      <c r="E416" s="1180" t="s">
        <v>210</v>
      </c>
      <c r="F416" s="2392" t="s">
        <v>2018</v>
      </c>
      <c r="G416" s="2392"/>
      <c r="H416" s="2392"/>
      <c r="I416" s="2392"/>
      <c r="J416" s="2392"/>
      <c r="K416" s="2392"/>
      <c r="L416" s="2392"/>
      <c r="M416" s="2392"/>
      <c r="N416" s="2392"/>
      <c r="O416" s="2392"/>
      <c r="P416" s="2392"/>
      <c r="Q416" s="2392"/>
      <c r="R416" s="2392"/>
      <c r="S416" s="2392"/>
      <c r="T416" s="2392"/>
      <c r="U416" s="2392"/>
      <c r="V416" s="2392"/>
      <c r="W416" s="2392"/>
      <c r="X416" s="2392"/>
      <c r="Y416" s="2392"/>
      <c r="Z416" s="2392"/>
      <c r="AA416" s="2392"/>
      <c r="AB416" s="2392"/>
      <c r="AC416" s="2392"/>
      <c r="AD416" s="2392"/>
      <c r="AE416" s="2392"/>
      <c r="AF416" s="1234"/>
      <c r="AG416" s="1320"/>
      <c r="AH416" s="1179"/>
      <c r="AI416" s="1179"/>
      <c r="AJ416" s="1179"/>
      <c r="AK416" s="1179"/>
      <c r="AL416" s="1207"/>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0"/>
      <c r="D417" s="162"/>
      <c r="E417" s="162"/>
      <c r="F417" s="2393"/>
      <c r="G417" s="2393"/>
      <c r="H417" s="2393"/>
      <c r="I417" s="2393"/>
      <c r="J417" s="2393"/>
      <c r="K417" s="2393"/>
      <c r="L417" s="2393"/>
      <c r="M417" s="2393"/>
      <c r="N417" s="2393"/>
      <c r="O417" s="2393"/>
      <c r="P417" s="2393"/>
      <c r="Q417" s="2393"/>
      <c r="R417" s="2393"/>
      <c r="S417" s="2393"/>
      <c r="T417" s="2393"/>
      <c r="U417" s="2393"/>
      <c r="V417" s="2393"/>
      <c r="W417" s="2393"/>
      <c r="X417" s="2393"/>
      <c r="Y417" s="2393"/>
      <c r="Z417" s="2393"/>
      <c r="AA417" s="2393"/>
      <c r="AB417" s="2393"/>
      <c r="AC417" s="2393"/>
      <c r="AD417" s="2393"/>
      <c r="AE417" s="2393"/>
      <c r="AF417" s="2410" t="s">
        <v>355</v>
      </c>
      <c r="AG417" s="2410"/>
      <c r="AH417" s="2410"/>
      <c r="AI417" s="2410"/>
      <c r="AJ417" s="2410"/>
      <c r="AK417" s="2410"/>
      <c r="AL417" s="241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6"/>
      <c r="D418" s="125"/>
      <c r="E418" s="306"/>
      <c r="F418" s="2393"/>
      <c r="G418" s="2393"/>
      <c r="H418" s="2393"/>
      <c r="I418" s="2393"/>
      <c r="J418" s="2393"/>
      <c r="K418" s="2393"/>
      <c r="L418" s="2393"/>
      <c r="M418" s="2393"/>
      <c r="N418" s="2393"/>
      <c r="O418" s="2393"/>
      <c r="P418" s="2393"/>
      <c r="Q418" s="2393"/>
      <c r="R418" s="2393"/>
      <c r="S418" s="2393"/>
      <c r="T418" s="2393"/>
      <c r="U418" s="2393"/>
      <c r="V418" s="2393"/>
      <c r="W418" s="2393"/>
      <c r="X418" s="2393"/>
      <c r="Y418" s="2393"/>
      <c r="Z418" s="2393"/>
      <c r="AA418" s="2393"/>
      <c r="AB418" s="2393"/>
      <c r="AC418" s="2393"/>
      <c r="AD418" s="2393"/>
      <c r="AE418" s="2393"/>
      <c r="AF418" s="162"/>
      <c r="AG418" s="162"/>
      <c r="AH418" s="162"/>
      <c r="AI418" s="162"/>
      <c r="AJ418" s="162"/>
      <c r="AK418" s="162"/>
      <c r="AL418" s="1187"/>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1"/>
      <c r="D419" s="1192"/>
      <c r="E419" s="1193"/>
      <c r="F419" s="2394"/>
      <c r="G419" s="2394"/>
      <c r="H419" s="2394"/>
      <c r="I419" s="2394"/>
      <c r="J419" s="2394"/>
      <c r="K419" s="2394"/>
      <c r="L419" s="2394"/>
      <c r="M419" s="2394"/>
      <c r="N419" s="2394"/>
      <c r="O419" s="2394"/>
      <c r="P419" s="2394"/>
      <c r="Q419" s="2394"/>
      <c r="R419" s="2394"/>
      <c r="S419" s="2394"/>
      <c r="T419" s="2394"/>
      <c r="U419" s="2394"/>
      <c r="V419" s="2394"/>
      <c r="W419" s="2394"/>
      <c r="X419" s="2394"/>
      <c r="Y419" s="2394"/>
      <c r="Z419" s="2394"/>
      <c r="AA419" s="2394"/>
      <c r="AB419" s="2394"/>
      <c r="AC419" s="2394"/>
      <c r="AD419" s="2394"/>
      <c r="AE419" s="2394"/>
      <c r="AF419" s="1196"/>
      <c r="AG419" s="1195"/>
      <c r="AH419" s="1197"/>
      <c r="AI419" s="1197"/>
      <c r="AJ419" s="1197"/>
      <c r="AK419" s="1197"/>
      <c r="AL419" s="1198"/>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0"/>
      <c r="D421" s="1201"/>
      <c r="E421" s="1180" t="s">
        <v>211</v>
      </c>
      <c r="F421" s="2412" t="s">
        <v>2020</v>
      </c>
      <c r="G421" s="2412"/>
      <c r="H421" s="2412"/>
      <c r="I421" s="2412"/>
      <c r="J421" s="2412"/>
      <c r="K421" s="2412"/>
      <c r="L421" s="2412"/>
      <c r="M421" s="2412"/>
      <c r="N421" s="2412"/>
      <c r="O421" s="2412"/>
      <c r="P421" s="2412"/>
      <c r="Q421" s="2412"/>
      <c r="R421" s="2412"/>
      <c r="S421" s="2412"/>
      <c r="T421" s="2412"/>
      <c r="U421" s="2412"/>
      <c r="V421" s="2412"/>
      <c r="W421" s="2412"/>
      <c r="X421" s="2412"/>
      <c r="Y421" s="2412"/>
      <c r="Z421" s="2412"/>
      <c r="AA421" s="2412"/>
      <c r="AB421" s="2412"/>
      <c r="AC421" s="2412"/>
      <c r="AD421" s="2412"/>
      <c r="AE421" s="2412"/>
      <c r="AF421" s="1201"/>
      <c r="AG421" s="1201"/>
      <c r="AH421" s="1201"/>
      <c r="AI421" s="1201"/>
      <c r="AJ421" s="1201"/>
      <c r="AK421" s="1201"/>
      <c r="AL421" s="1202"/>
      <c r="AM421" s="16"/>
    </row>
    <row r="422" spans="1:153">
      <c r="A422" s="8"/>
      <c r="C422" s="1186"/>
      <c r="D422" s="125"/>
      <c r="E422" s="306"/>
      <c r="F422" s="2413"/>
      <c r="G422" s="2413"/>
      <c r="H422" s="2413"/>
      <c r="I422" s="2413"/>
      <c r="J422" s="2413"/>
      <c r="K422" s="2413"/>
      <c r="L422" s="2413"/>
      <c r="M422" s="2413"/>
      <c r="N422" s="2413"/>
      <c r="O422" s="2413"/>
      <c r="P422" s="2413"/>
      <c r="Q422" s="2413"/>
      <c r="R422" s="2413"/>
      <c r="S422" s="2413"/>
      <c r="T422" s="2413"/>
      <c r="U422" s="2413"/>
      <c r="V422" s="2413"/>
      <c r="W422" s="2413"/>
      <c r="X422" s="2413"/>
      <c r="Y422" s="2413"/>
      <c r="Z422" s="2413"/>
      <c r="AA422" s="2413"/>
      <c r="AB422" s="2413"/>
      <c r="AC422" s="2413"/>
      <c r="AD422" s="2413"/>
      <c r="AE422" s="2413"/>
      <c r="AF422" s="62"/>
      <c r="AG422" s="71"/>
      <c r="AH422" s="162"/>
      <c r="AI422" s="162"/>
      <c r="AJ422" s="162"/>
      <c r="AK422" s="162"/>
      <c r="AL422" s="1187"/>
      <c r="AM422" s="16"/>
    </row>
    <row r="423" spans="1:153" s="46" customFormat="1" ht="12.75" customHeight="1">
      <c r="A423" s="8"/>
      <c r="B423" s="65"/>
      <c r="C423" s="1186"/>
      <c r="D423" s="125"/>
      <c r="E423" s="306"/>
      <c r="F423" s="2413"/>
      <c r="G423" s="2413"/>
      <c r="H423" s="2413"/>
      <c r="I423" s="2413"/>
      <c r="J423" s="2413"/>
      <c r="K423" s="2413"/>
      <c r="L423" s="2413"/>
      <c r="M423" s="2413"/>
      <c r="N423" s="2413"/>
      <c r="O423" s="2413"/>
      <c r="P423" s="2413"/>
      <c r="Q423" s="2413"/>
      <c r="R423" s="2413"/>
      <c r="S423" s="2413"/>
      <c r="T423" s="2413"/>
      <c r="U423" s="2413"/>
      <c r="V423" s="2413"/>
      <c r="W423" s="2413"/>
      <c r="X423" s="2413"/>
      <c r="Y423" s="2413"/>
      <c r="Z423" s="2413"/>
      <c r="AA423" s="2413"/>
      <c r="AB423" s="2413"/>
      <c r="AC423" s="2413"/>
      <c r="AD423" s="2413"/>
      <c r="AE423" s="2413"/>
      <c r="AF423" s="162"/>
      <c r="AG423" s="162"/>
      <c r="AH423" s="162"/>
      <c r="AI423" s="162"/>
      <c r="AJ423" s="162"/>
      <c r="AK423" s="162"/>
      <c r="AL423" s="1187"/>
      <c r="AM423" s="16"/>
      <c r="AN423" s="439"/>
    </row>
    <row r="424" spans="1:153" s="46" customFormat="1" ht="12.75" customHeight="1">
      <c r="A424" s="8"/>
      <c r="B424" s="65"/>
      <c r="C424" s="1190"/>
      <c r="D424" s="162"/>
      <c r="E424" s="162"/>
      <c r="F424" s="2413"/>
      <c r="G424" s="2413"/>
      <c r="H424" s="2413"/>
      <c r="I424" s="2413"/>
      <c r="J424" s="2413"/>
      <c r="K424" s="2413"/>
      <c r="L424" s="2413"/>
      <c r="M424" s="2413"/>
      <c r="N424" s="2413"/>
      <c r="O424" s="2413"/>
      <c r="P424" s="2413"/>
      <c r="Q424" s="2413"/>
      <c r="R424" s="2413"/>
      <c r="S424" s="2413"/>
      <c r="T424" s="2413"/>
      <c r="U424" s="2413"/>
      <c r="V424" s="2413"/>
      <c r="W424" s="2413"/>
      <c r="X424" s="2413"/>
      <c r="Y424" s="2413"/>
      <c r="Z424" s="2413"/>
      <c r="AA424" s="2413"/>
      <c r="AB424" s="2413"/>
      <c r="AC424" s="2413"/>
      <c r="AD424" s="2413"/>
      <c r="AE424" s="2413"/>
      <c r="AF424" s="162"/>
      <c r="AG424" s="162"/>
      <c r="AH424" s="162"/>
      <c r="AI424" s="162"/>
      <c r="AJ424" s="162"/>
      <c r="AK424" s="162"/>
      <c r="AL424" s="1187"/>
      <c r="AM424" s="16"/>
      <c r="AN424" s="439"/>
    </row>
    <row r="425" spans="1:153" s="46" customFormat="1" ht="12.75" customHeight="1">
      <c r="A425" s="8"/>
      <c r="B425" s="65"/>
      <c r="C425" s="2395" t="s">
        <v>136</v>
      </c>
      <c r="D425" s="1688"/>
      <c r="E425" s="306"/>
      <c r="F425" s="1203" t="s">
        <v>2017</v>
      </c>
      <c r="G425" s="1204"/>
      <c r="H425" s="1204"/>
      <c r="I425" s="1204"/>
      <c r="J425" s="1204"/>
      <c r="K425" s="1204"/>
      <c r="L425" s="1204"/>
      <c r="M425" s="1204"/>
      <c r="N425" s="1204"/>
      <c r="O425" s="1204"/>
      <c r="P425" s="1204"/>
      <c r="Q425" s="1204"/>
      <c r="R425" s="1204"/>
      <c r="S425" s="1204"/>
      <c r="T425" s="1204"/>
      <c r="U425" s="1204"/>
      <c r="V425" s="1204"/>
      <c r="W425" s="1204"/>
      <c r="X425" s="1204"/>
      <c r="Y425" s="1204"/>
      <c r="Z425" s="1204"/>
      <c r="AA425" s="1204"/>
      <c r="AB425" s="1204"/>
      <c r="AC425" s="1204"/>
      <c r="AD425" s="1204"/>
      <c r="AE425" s="162"/>
      <c r="AF425" s="2410" t="s">
        <v>355</v>
      </c>
      <c r="AG425" s="2410"/>
      <c r="AH425" s="2410"/>
      <c r="AI425" s="2410"/>
      <c r="AJ425" s="2410"/>
      <c r="AK425" s="2410"/>
      <c r="AL425" s="2411"/>
      <c r="AM425" s="16"/>
      <c r="AN425" s="439"/>
      <c r="AO425" s="162"/>
      <c r="AP425" s="162"/>
    </row>
    <row r="426" spans="1:153" s="46" customFormat="1" ht="12.75" customHeight="1">
      <c r="A426" s="8"/>
      <c r="B426" s="65"/>
      <c r="C426" s="1190"/>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87"/>
      <c r="AM426" s="16"/>
      <c r="AN426" s="439"/>
      <c r="AO426" s="162"/>
      <c r="AP426" s="162"/>
    </row>
    <row r="427" spans="1:153" s="46" customFormat="1" ht="12.75" customHeight="1">
      <c r="A427" s="8"/>
      <c r="B427" s="65"/>
      <c r="C427" s="2395" t="s">
        <v>136</v>
      </c>
      <c r="D427" s="1688"/>
      <c r="E427" s="350"/>
      <c r="F427" s="1203" t="s">
        <v>1069</v>
      </c>
      <c r="G427" s="1204"/>
      <c r="H427" s="1204"/>
      <c r="I427" s="1204"/>
      <c r="J427" s="1204"/>
      <c r="K427" s="1204"/>
      <c r="L427" s="1204"/>
      <c r="M427" s="1204"/>
      <c r="N427" s="1204"/>
      <c r="O427" s="1204"/>
      <c r="P427" s="1204"/>
      <c r="Q427" s="1204"/>
      <c r="R427" s="1204"/>
      <c r="S427" s="1204"/>
      <c r="T427" s="1204"/>
      <c r="U427" s="1204"/>
      <c r="V427" s="1204"/>
      <c r="W427" s="1204"/>
      <c r="X427" s="1204"/>
      <c r="Y427" s="1204"/>
      <c r="Z427" s="1204"/>
      <c r="AA427" s="1204"/>
      <c r="AB427" s="1204"/>
      <c r="AC427" s="1204"/>
      <c r="AD427" s="1204"/>
      <c r="AE427" s="162"/>
      <c r="AF427" s="2410" t="s">
        <v>1066</v>
      </c>
      <c r="AG427" s="2410"/>
      <c r="AH427" s="2410"/>
      <c r="AI427" s="2410"/>
      <c r="AJ427" s="2410"/>
      <c r="AK427" s="2410"/>
      <c r="AL427" s="2411"/>
      <c r="AM427" s="16"/>
      <c r="AN427" s="439"/>
      <c r="AO427" s="474"/>
      <c r="AP427" s="474"/>
      <c r="BC427" s="65"/>
    </row>
    <row r="428" spans="1:153" s="46" customFormat="1" ht="12.75" customHeight="1">
      <c r="A428" s="8"/>
      <c r="B428" s="65"/>
      <c r="C428" s="1191"/>
      <c r="D428" s="1192"/>
      <c r="E428" s="1193"/>
      <c r="F428" s="1205"/>
      <c r="G428" s="1206"/>
      <c r="H428" s="1206"/>
      <c r="I428" s="1206"/>
      <c r="J428" s="1206"/>
      <c r="K428" s="1206"/>
      <c r="L428" s="1206"/>
      <c r="M428" s="1206"/>
      <c r="N428" s="1206"/>
      <c r="O428" s="1206"/>
      <c r="P428" s="1206"/>
      <c r="Q428" s="1206"/>
      <c r="R428" s="1206"/>
      <c r="S428" s="1206"/>
      <c r="T428" s="1206"/>
      <c r="U428" s="1206"/>
      <c r="V428" s="1206"/>
      <c r="W428" s="1206"/>
      <c r="X428" s="1206"/>
      <c r="Y428" s="1206"/>
      <c r="Z428" s="1206"/>
      <c r="AA428" s="1206"/>
      <c r="AB428" s="1206"/>
      <c r="AC428" s="1206"/>
      <c r="AD428" s="1206"/>
      <c r="AE428" s="1195"/>
      <c r="AF428" s="1196"/>
      <c r="AG428" s="1195"/>
      <c r="AH428" s="1197"/>
      <c r="AI428" s="1197"/>
      <c r="AJ428" s="1197"/>
      <c r="AK428" s="1197"/>
      <c r="AL428" s="1198"/>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78"/>
      <c r="D431" s="1179"/>
      <c r="E431" s="1180" t="s">
        <v>736</v>
      </c>
      <c r="F431" s="2392" t="s">
        <v>2021</v>
      </c>
      <c r="G431" s="2392"/>
      <c r="H431" s="2392"/>
      <c r="I431" s="2392"/>
      <c r="J431" s="2392"/>
      <c r="K431" s="2392"/>
      <c r="L431" s="2392"/>
      <c r="M431" s="2392"/>
      <c r="N431" s="2392"/>
      <c r="O431" s="2392"/>
      <c r="P431" s="2392"/>
      <c r="Q431" s="2392"/>
      <c r="R431" s="2392"/>
      <c r="S431" s="2392"/>
      <c r="T431" s="2392"/>
      <c r="U431" s="2392"/>
      <c r="V431" s="2392"/>
      <c r="W431" s="2392"/>
      <c r="X431" s="2392"/>
      <c r="Y431" s="2392"/>
      <c r="Z431" s="2392"/>
      <c r="AA431" s="2392"/>
      <c r="AB431" s="2392"/>
      <c r="AC431" s="2392"/>
      <c r="AD431" s="2392"/>
      <c r="AE431" s="2392"/>
      <c r="AF431" s="1179"/>
      <c r="AG431" s="1179"/>
      <c r="AH431" s="1179"/>
      <c r="AI431" s="1179"/>
      <c r="AJ431" s="1179"/>
      <c r="AK431" s="1179"/>
      <c r="AL431" s="1207"/>
      <c r="AM431" s="16"/>
      <c r="AN431" s="439"/>
      <c r="AO431" s="162"/>
      <c r="AP431" s="162"/>
    </row>
    <row r="432" spans="1:153" s="137" customFormat="1" ht="12.75" customHeight="1">
      <c r="A432" s="8"/>
      <c r="B432" s="118"/>
      <c r="C432" s="1208"/>
      <c r="D432" s="1209"/>
      <c r="E432" s="306"/>
      <c r="F432" s="2393"/>
      <c r="G432" s="2393"/>
      <c r="H432" s="2393"/>
      <c r="I432" s="2393"/>
      <c r="J432" s="2393"/>
      <c r="K432" s="2393"/>
      <c r="L432" s="2393"/>
      <c r="M432" s="2393"/>
      <c r="N432" s="2393"/>
      <c r="O432" s="2393"/>
      <c r="P432" s="2393"/>
      <c r="Q432" s="2393"/>
      <c r="R432" s="2393"/>
      <c r="S432" s="2393"/>
      <c r="T432" s="2393"/>
      <c r="U432" s="2393"/>
      <c r="V432" s="2393"/>
      <c r="W432" s="2393"/>
      <c r="X432" s="2393"/>
      <c r="Y432" s="2393"/>
      <c r="Z432" s="2393"/>
      <c r="AA432" s="2393"/>
      <c r="AB432" s="2393"/>
      <c r="AC432" s="2393"/>
      <c r="AD432" s="2393"/>
      <c r="AE432" s="2393"/>
      <c r="AF432" s="62"/>
      <c r="AG432" s="71"/>
      <c r="AH432" s="162"/>
      <c r="AI432" s="162"/>
      <c r="AJ432" s="162"/>
      <c r="AK432" s="162"/>
      <c r="AL432" s="1187"/>
      <c r="AM432" s="16"/>
      <c r="AN432" s="1132"/>
      <c r="AO432" s="162"/>
      <c r="AP432" s="162"/>
    </row>
    <row r="433" spans="1:60" s="46" customFormat="1" ht="12.4" customHeight="1">
      <c r="A433" s="8"/>
      <c r="B433" s="118"/>
      <c r="C433" s="1208"/>
      <c r="D433" s="1209"/>
      <c r="E433" s="306"/>
      <c r="F433" s="2393"/>
      <c r="G433" s="2393"/>
      <c r="H433" s="2393"/>
      <c r="I433" s="2393"/>
      <c r="J433" s="2393"/>
      <c r="K433" s="2393"/>
      <c r="L433" s="2393"/>
      <c r="M433" s="2393"/>
      <c r="N433" s="2393"/>
      <c r="O433" s="2393"/>
      <c r="P433" s="2393"/>
      <c r="Q433" s="2393"/>
      <c r="R433" s="2393"/>
      <c r="S433" s="2393"/>
      <c r="T433" s="2393"/>
      <c r="U433" s="2393"/>
      <c r="V433" s="2393"/>
      <c r="W433" s="2393"/>
      <c r="X433" s="2393"/>
      <c r="Y433" s="2393"/>
      <c r="Z433" s="2393"/>
      <c r="AA433" s="2393"/>
      <c r="AB433" s="2393"/>
      <c r="AC433" s="2393"/>
      <c r="AD433" s="2393"/>
      <c r="AE433" s="2393"/>
      <c r="AF433" s="162"/>
      <c r="AG433" s="162"/>
      <c r="AH433" s="162"/>
      <c r="AI433" s="162"/>
      <c r="AJ433" s="162"/>
      <c r="AK433" s="162"/>
      <c r="AL433" s="1187"/>
      <c r="AM433" s="16"/>
      <c r="AN433" s="439"/>
      <c r="AO433" s="162"/>
      <c r="AP433" s="162"/>
    </row>
    <row r="434" spans="1:60" s="46" customFormat="1" ht="12.75" customHeight="1">
      <c r="A434" s="8"/>
      <c r="B434" s="118"/>
      <c r="C434" s="2395" t="s">
        <v>136</v>
      </c>
      <c r="D434" s="1688"/>
      <c r="E434" s="306"/>
      <c r="F434" s="1176" t="s">
        <v>2019</v>
      </c>
      <c r="G434" s="1210"/>
      <c r="H434" s="1210"/>
      <c r="I434" s="1210"/>
      <c r="J434" s="1210"/>
      <c r="K434" s="1210"/>
      <c r="L434" s="1210"/>
      <c r="M434" s="1210"/>
      <c r="N434" s="1210"/>
      <c r="O434" s="1210"/>
      <c r="P434" s="1210"/>
      <c r="Q434" s="1210"/>
      <c r="R434" s="1210"/>
      <c r="S434" s="1210"/>
      <c r="T434" s="1210"/>
      <c r="U434" s="1210"/>
      <c r="V434" s="1210"/>
      <c r="W434" s="1210"/>
      <c r="X434" s="1210"/>
      <c r="Y434" s="1210"/>
      <c r="Z434" s="1210"/>
      <c r="AA434" s="1210"/>
      <c r="AB434" s="1210"/>
      <c r="AC434" s="1210"/>
      <c r="AD434" s="1210"/>
      <c r="AE434" s="162"/>
      <c r="AF434" s="2410" t="s">
        <v>355</v>
      </c>
      <c r="AG434" s="2410"/>
      <c r="AH434" s="2410"/>
      <c r="AI434" s="2410"/>
      <c r="AJ434" s="2410"/>
      <c r="AK434" s="2410"/>
      <c r="AL434" s="2411"/>
      <c r="AM434" s="16"/>
      <c r="AN434" s="439"/>
      <c r="AO434" s="162"/>
      <c r="AP434" s="162"/>
    </row>
    <row r="435" spans="1:60" s="46" customFormat="1" ht="12.75" customHeight="1">
      <c r="A435" s="8"/>
      <c r="B435" s="118"/>
      <c r="C435" s="1416"/>
      <c r="D435" s="1218"/>
      <c r="E435" s="1184"/>
      <c r="F435" s="1417"/>
      <c r="G435" s="1243"/>
      <c r="H435" s="1243"/>
      <c r="I435" s="1243"/>
      <c r="J435" s="1243"/>
      <c r="K435" s="1243"/>
      <c r="L435" s="1243"/>
      <c r="M435" s="1243"/>
      <c r="N435" s="1243"/>
      <c r="O435" s="1243"/>
      <c r="P435" s="1243"/>
      <c r="Q435" s="1243"/>
      <c r="R435" s="1243"/>
      <c r="S435" s="1243"/>
      <c r="T435" s="1243"/>
      <c r="U435" s="1243"/>
      <c r="V435" s="1243"/>
      <c r="W435" s="1243"/>
      <c r="X435" s="1243"/>
      <c r="Y435" s="1243"/>
      <c r="Z435" s="1243"/>
      <c r="AA435" s="1243"/>
      <c r="AB435" s="1243"/>
      <c r="AC435" s="1243"/>
      <c r="AD435" s="1243"/>
      <c r="AE435" s="1235"/>
      <c r="AF435" s="1220"/>
      <c r="AG435" s="1220"/>
      <c r="AH435" s="1220"/>
      <c r="AI435" s="1220"/>
      <c r="AJ435" s="1220"/>
      <c r="AK435" s="1220"/>
      <c r="AL435" s="1415"/>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0"/>
      <c r="D437" s="1201"/>
      <c r="E437" s="1180" t="s">
        <v>733</v>
      </c>
      <c r="F437" s="2392" t="s">
        <v>2022</v>
      </c>
      <c r="G437" s="2392"/>
      <c r="H437" s="2392"/>
      <c r="I437" s="2392"/>
      <c r="J437" s="2392"/>
      <c r="K437" s="2392"/>
      <c r="L437" s="2392"/>
      <c r="M437" s="2392"/>
      <c r="N437" s="2392"/>
      <c r="O437" s="2392"/>
      <c r="P437" s="2392"/>
      <c r="Q437" s="2392"/>
      <c r="R437" s="2392"/>
      <c r="S437" s="2392"/>
      <c r="T437" s="2392"/>
      <c r="U437" s="2392"/>
      <c r="V437" s="2392"/>
      <c r="W437" s="2392"/>
      <c r="X437" s="2392"/>
      <c r="Y437" s="2392"/>
      <c r="Z437" s="2392"/>
      <c r="AA437" s="2392"/>
      <c r="AB437" s="2392"/>
      <c r="AC437" s="2392"/>
      <c r="AD437" s="2392"/>
      <c r="AE437" s="2392"/>
      <c r="AF437" s="1201"/>
      <c r="AG437" s="1201"/>
      <c r="AH437" s="1201"/>
      <c r="AI437" s="1201"/>
      <c r="AJ437" s="1201"/>
      <c r="AK437" s="1201"/>
      <c r="AL437" s="1202"/>
      <c r="AM437" s="16"/>
      <c r="AO437" s="162"/>
      <c r="AP437" s="162"/>
      <c r="BD437" s="65"/>
      <c r="BE437" s="65"/>
      <c r="BF437" s="65"/>
      <c r="BG437" s="65"/>
      <c r="BH437" s="65"/>
    </row>
    <row r="438" spans="1:60">
      <c r="A438" s="8"/>
      <c r="B438" s="118"/>
      <c r="C438" s="1208"/>
      <c r="D438" s="1209"/>
      <c r="E438" s="306"/>
      <c r="F438" s="2393"/>
      <c r="G438" s="2393"/>
      <c r="H438" s="2393"/>
      <c r="I438" s="2393"/>
      <c r="J438" s="2393"/>
      <c r="K438" s="2393"/>
      <c r="L438" s="2393"/>
      <c r="M438" s="2393"/>
      <c r="N438" s="2393"/>
      <c r="O438" s="2393"/>
      <c r="P438" s="2393"/>
      <c r="Q438" s="2393"/>
      <c r="R438" s="2393"/>
      <c r="S438" s="2393"/>
      <c r="T438" s="2393"/>
      <c r="U438" s="2393"/>
      <c r="V438" s="2393"/>
      <c r="W438" s="2393"/>
      <c r="X438" s="2393"/>
      <c r="Y438" s="2393"/>
      <c r="Z438" s="2393"/>
      <c r="AA438" s="2393"/>
      <c r="AB438" s="2393"/>
      <c r="AC438" s="2393"/>
      <c r="AD438" s="2393"/>
      <c r="AE438" s="2393"/>
      <c r="AF438" s="1306"/>
      <c r="AG438" s="1306"/>
      <c r="AH438" s="1306"/>
      <c r="AI438" s="1306"/>
      <c r="AJ438" s="1306"/>
      <c r="AK438" s="1306"/>
      <c r="AL438" s="1313"/>
      <c r="AM438" s="16"/>
      <c r="AO438" s="162"/>
      <c r="AP438" s="162"/>
    </row>
    <row r="439" spans="1:60" s="46" customFormat="1" ht="12.75" customHeight="1">
      <c r="A439" s="8"/>
      <c r="B439" s="118"/>
      <c r="C439" s="1208"/>
      <c r="D439" s="1209"/>
      <c r="E439" s="306"/>
      <c r="F439" s="2393"/>
      <c r="G439" s="2393"/>
      <c r="H439" s="2393"/>
      <c r="I439" s="2393"/>
      <c r="J439" s="2393"/>
      <c r="K439" s="2393"/>
      <c r="L439" s="2393"/>
      <c r="M439" s="2393"/>
      <c r="N439" s="2393"/>
      <c r="O439" s="2393"/>
      <c r="P439" s="2393"/>
      <c r="Q439" s="2393"/>
      <c r="R439" s="2393"/>
      <c r="S439" s="2393"/>
      <c r="T439" s="2393"/>
      <c r="U439" s="2393"/>
      <c r="V439" s="2393"/>
      <c r="W439" s="2393"/>
      <c r="X439" s="2393"/>
      <c r="Y439" s="2393"/>
      <c r="Z439" s="2393"/>
      <c r="AA439" s="2393"/>
      <c r="AB439" s="2393"/>
      <c r="AC439" s="2393"/>
      <c r="AD439" s="2393"/>
      <c r="AE439" s="2393"/>
      <c r="AF439" s="1306"/>
      <c r="AG439" s="1306"/>
      <c r="AH439" s="1306"/>
      <c r="AI439" s="1306"/>
      <c r="AJ439" s="1306"/>
      <c r="AK439" s="1306"/>
      <c r="AL439" s="1313"/>
      <c r="AM439" s="16"/>
      <c r="AN439" s="439"/>
      <c r="AO439" s="162"/>
      <c r="AP439" s="162"/>
    </row>
    <row r="440" spans="1:60" s="46" customFormat="1" ht="12.75" customHeight="1">
      <c r="A440" s="8"/>
      <c r="B440" s="118"/>
      <c r="C440" s="1314"/>
      <c r="D440" s="1307"/>
      <c r="E440" s="350"/>
      <c r="F440" s="2393"/>
      <c r="G440" s="2393"/>
      <c r="H440" s="2393"/>
      <c r="I440" s="2393"/>
      <c r="J440" s="2393"/>
      <c r="K440" s="2393"/>
      <c r="L440" s="2393"/>
      <c r="M440" s="2393"/>
      <c r="N440" s="2393"/>
      <c r="O440" s="2393"/>
      <c r="P440" s="2393"/>
      <c r="Q440" s="2393"/>
      <c r="R440" s="2393"/>
      <c r="S440" s="2393"/>
      <c r="T440" s="2393"/>
      <c r="U440" s="2393"/>
      <c r="V440" s="2393"/>
      <c r="W440" s="2393"/>
      <c r="X440" s="2393"/>
      <c r="Y440" s="2393"/>
      <c r="Z440" s="2393"/>
      <c r="AA440" s="2393"/>
      <c r="AB440" s="2393"/>
      <c r="AC440" s="2393"/>
      <c r="AD440" s="2393"/>
      <c r="AE440" s="2393"/>
      <c r="AF440" s="1306"/>
      <c r="AG440" s="1306"/>
      <c r="AH440" s="1306"/>
      <c r="AI440" s="1306"/>
      <c r="AJ440" s="1306"/>
      <c r="AK440" s="1306"/>
      <c r="AL440" s="1313"/>
      <c r="AM440" s="16"/>
      <c r="AN440" s="439"/>
      <c r="AO440" s="554"/>
      <c r="AP440" s="125"/>
    </row>
    <row r="441" spans="1:60" s="46" customFormat="1" ht="12.75" customHeight="1">
      <c r="A441" s="8"/>
      <c r="B441" s="118"/>
      <c r="C441" s="1314"/>
      <c r="D441" s="1307"/>
      <c r="E441" s="350"/>
      <c r="F441" s="2393"/>
      <c r="G441" s="2393"/>
      <c r="H441" s="2393"/>
      <c r="I441" s="2393"/>
      <c r="J441" s="2393"/>
      <c r="K441" s="2393"/>
      <c r="L441" s="2393"/>
      <c r="M441" s="2393"/>
      <c r="N441" s="2393"/>
      <c r="O441" s="2393"/>
      <c r="P441" s="2393"/>
      <c r="Q441" s="2393"/>
      <c r="R441" s="2393"/>
      <c r="S441" s="2393"/>
      <c r="T441" s="2393"/>
      <c r="U441" s="2393"/>
      <c r="V441" s="2393"/>
      <c r="W441" s="2393"/>
      <c r="X441" s="2393"/>
      <c r="Y441" s="2393"/>
      <c r="Z441" s="2393"/>
      <c r="AA441" s="2393"/>
      <c r="AB441" s="2393"/>
      <c r="AC441" s="2393"/>
      <c r="AD441" s="2393"/>
      <c r="AE441" s="2393"/>
      <c r="AF441" s="1306"/>
      <c r="AG441" s="1306"/>
      <c r="AH441" s="1306"/>
      <c r="AI441" s="1306"/>
      <c r="AJ441" s="1306"/>
      <c r="AK441" s="1306"/>
      <c r="AL441" s="1313"/>
      <c r="AM441" s="16"/>
      <c r="AN441" s="439"/>
      <c r="AO441" s="162"/>
      <c r="AP441" s="162"/>
    </row>
    <row r="442" spans="1:60" s="46" customFormat="1" ht="12.75" customHeight="1">
      <c r="A442" s="8"/>
      <c r="B442" s="118"/>
      <c r="C442" s="1314"/>
      <c r="D442" s="1307"/>
      <c r="E442" s="350"/>
      <c r="F442" s="2393"/>
      <c r="G442" s="2393"/>
      <c r="H442" s="2393"/>
      <c r="I442" s="2393"/>
      <c r="J442" s="2393"/>
      <c r="K442" s="2393"/>
      <c r="L442" s="2393"/>
      <c r="M442" s="2393"/>
      <c r="N442" s="2393"/>
      <c r="O442" s="2393"/>
      <c r="P442" s="2393"/>
      <c r="Q442" s="2393"/>
      <c r="R442" s="2393"/>
      <c r="S442" s="2393"/>
      <c r="T442" s="2393"/>
      <c r="U442" s="2393"/>
      <c r="V442" s="2393"/>
      <c r="W442" s="2393"/>
      <c r="X442" s="2393"/>
      <c r="Y442" s="2393"/>
      <c r="Z442" s="2393"/>
      <c r="AA442" s="2393"/>
      <c r="AB442" s="2393"/>
      <c r="AC442" s="2393"/>
      <c r="AD442" s="2393"/>
      <c r="AE442" s="2393"/>
      <c r="AF442" s="1306"/>
      <c r="AG442" s="1306"/>
      <c r="AH442" s="1306"/>
      <c r="AI442" s="1306"/>
      <c r="AJ442" s="1306"/>
      <c r="AK442" s="1306"/>
      <c r="AL442" s="1313"/>
      <c r="AM442" s="16"/>
      <c r="AN442" s="439"/>
    </row>
    <row r="443" spans="1:60" s="46" customFormat="1" ht="12.75" customHeight="1">
      <c r="A443" s="8"/>
      <c r="B443" s="118"/>
      <c r="C443" s="1314"/>
      <c r="D443" s="1307"/>
      <c r="E443" s="350"/>
      <c r="F443" s="2393"/>
      <c r="G443" s="2393"/>
      <c r="H443" s="2393"/>
      <c r="I443" s="2393"/>
      <c r="J443" s="2393"/>
      <c r="K443" s="2393"/>
      <c r="L443" s="2393"/>
      <c r="M443" s="2393"/>
      <c r="N443" s="2393"/>
      <c r="O443" s="2393"/>
      <c r="P443" s="2393"/>
      <c r="Q443" s="2393"/>
      <c r="R443" s="2393"/>
      <c r="S443" s="2393"/>
      <c r="T443" s="2393"/>
      <c r="U443" s="2393"/>
      <c r="V443" s="2393"/>
      <c r="W443" s="2393"/>
      <c r="X443" s="2393"/>
      <c r="Y443" s="2393"/>
      <c r="Z443" s="2393"/>
      <c r="AA443" s="2393"/>
      <c r="AB443" s="2393"/>
      <c r="AC443" s="2393"/>
      <c r="AD443" s="2393"/>
      <c r="AE443" s="2393"/>
      <c r="AF443" s="1306"/>
      <c r="AG443" s="1306"/>
      <c r="AH443" s="1306"/>
      <c r="AI443" s="1306"/>
      <c r="AJ443" s="1306"/>
      <c r="AK443" s="1306"/>
      <c r="AL443" s="1313"/>
      <c r="AM443" s="16"/>
      <c r="AN443" s="439"/>
    </row>
    <row r="444" spans="1:60" s="46" customFormat="1" ht="12.75" customHeight="1">
      <c r="A444" s="8"/>
      <c r="B444" s="118"/>
      <c r="C444" s="1314"/>
      <c r="D444" s="1307"/>
      <c r="E444" s="350"/>
      <c r="F444" s="2393"/>
      <c r="G444" s="2393"/>
      <c r="H444" s="2393"/>
      <c r="I444" s="2393"/>
      <c r="J444" s="2393"/>
      <c r="K444" s="2393"/>
      <c r="L444" s="2393"/>
      <c r="M444" s="2393"/>
      <c r="N444" s="2393"/>
      <c r="O444" s="2393"/>
      <c r="P444" s="2393"/>
      <c r="Q444" s="2393"/>
      <c r="R444" s="2393"/>
      <c r="S444" s="2393"/>
      <c r="T444" s="2393"/>
      <c r="U444" s="2393"/>
      <c r="V444" s="2393"/>
      <c r="W444" s="2393"/>
      <c r="X444" s="2393"/>
      <c r="Y444" s="2393"/>
      <c r="Z444" s="2393"/>
      <c r="AA444" s="2393"/>
      <c r="AB444" s="2393"/>
      <c r="AC444" s="2393"/>
      <c r="AD444" s="2393"/>
      <c r="AE444" s="2393"/>
      <c r="AF444" s="1306"/>
      <c r="AG444" s="1306"/>
      <c r="AH444" s="1306"/>
      <c r="AI444" s="1306"/>
      <c r="AJ444" s="1306"/>
      <c r="AK444" s="1306"/>
      <c r="AL444" s="1313"/>
      <c r="AM444" s="16"/>
      <c r="AN444" s="439"/>
    </row>
    <row r="445" spans="1:60" s="46" customFormat="1" ht="17.25" customHeight="1">
      <c r="A445" s="8"/>
      <c r="B445" s="118"/>
      <c r="C445" s="1314"/>
      <c r="D445" s="1307"/>
      <c r="E445" s="350"/>
      <c r="F445" s="2393"/>
      <c r="G445" s="2393"/>
      <c r="H445" s="2393"/>
      <c r="I445" s="2393"/>
      <c r="J445" s="2393"/>
      <c r="K445" s="2393"/>
      <c r="L445" s="2393"/>
      <c r="M445" s="2393"/>
      <c r="N445" s="2393"/>
      <c r="O445" s="2393"/>
      <c r="P445" s="2393"/>
      <c r="Q445" s="2393"/>
      <c r="R445" s="2393"/>
      <c r="S445" s="2393"/>
      <c r="T445" s="2393"/>
      <c r="U445" s="2393"/>
      <c r="V445" s="2393"/>
      <c r="W445" s="2393"/>
      <c r="X445" s="2393"/>
      <c r="Y445" s="2393"/>
      <c r="Z445" s="2393"/>
      <c r="AA445" s="2393"/>
      <c r="AB445" s="2393"/>
      <c r="AC445" s="2393"/>
      <c r="AD445" s="2393"/>
      <c r="AE445" s="2393"/>
      <c r="AF445" s="162"/>
      <c r="AG445" s="162"/>
      <c r="AH445" s="162"/>
      <c r="AI445" s="162"/>
      <c r="AJ445" s="162"/>
      <c r="AK445" s="162"/>
      <c r="AL445" s="1187"/>
      <c r="AM445" s="16"/>
      <c r="AN445" s="439"/>
    </row>
    <row r="446" spans="1:60" s="46" customFormat="1" ht="12.75" customHeight="1">
      <c r="A446" s="8"/>
      <c r="B446" s="65"/>
      <c r="C446" s="2395" t="s">
        <v>136</v>
      </c>
      <c r="D446" s="1688"/>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10" t="s">
        <v>355</v>
      </c>
      <c r="AG446" s="2410"/>
      <c r="AH446" s="2410"/>
      <c r="AI446" s="2410"/>
      <c r="AJ446" s="2410"/>
      <c r="AK446" s="2410"/>
      <c r="AL446" s="2411"/>
      <c r="AM446" s="16"/>
      <c r="AN446" s="439"/>
    </row>
    <row r="447" spans="1:60" s="46" customFormat="1" ht="12.75" customHeight="1">
      <c r="A447" s="8"/>
      <c r="B447" s="118"/>
      <c r="C447" s="1199"/>
      <c r="D447" s="1197"/>
      <c r="E447" s="1184"/>
      <c r="F447" s="1194"/>
      <c r="G447" s="1185"/>
      <c r="H447" s="1185"/>
      <c r="I447" s="1185"/>
      <c r="J447" s="1185"/>
      <c r="K447" s="1185"/>
      <c r="L447" s="1185"/>
      <c r="M447" s="1185"/>
      <c r="N447" s="1185"/>
      <c r="O447" s="1185"/>
      <c r="P447" s="1185"/>
      <c r="Q447" s="1185"/>
      <c r="R447" s="1185"/>
      <c r="S447" s="1185"/>
      <c r="T447" s="1185"/>
      <c r="U447" s="1185"/>
      <c r="V447" s="1185"/>
      <c r="W447" s="1185"/>
      <c r="X447" s="1185"/>
      <c r="Y447" s="1185"/>
      <c r="Z447" s="1185"/>
      <c r="AA447" s="1185"/>
      <c r="AB447" s="1185"/>
      <c r="AC447" s="1185"/>
      <c r="AD447" s="1185"/>
      <c r="AE447" s="1197"/>
      <c r="AF447" s="1197"/>
      <c r="AG447" s="1197"/>
      <c r="AH447" s="1197"/>
      <c r="AI447" s="1197"/>
      <c r="AJ447" s="1197"/>
      <c r="AK447" s="1197"/>
      <c r="AL447" s="1198"/>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296"/>
      <c r="AM448" s="16"/>
      <c r="AN448" s="439"/>
    </row>
    <row r="449" spans="1:49" s="46" customFormat="1" ht="12.75" customHeight="1">
      <c r="A449" s="8"/>
      <c r="B449" s="118"/>
      <c r="C449" s="1178"/>
      <c r="D449" s="1179"/>
      <c r="E449" s="1180" t="s">
        <v>734</v>
      </c>
      <c r="F449" s="2392" t="s">
        <v>2025</v>
      </c>
      <c r="G449" s="2392"/>
      <c r="H449" s="2392"/>
      <c r="I449" s="2392"/>
      <c r="J449" s="2392"/>
      <c r="K449" s="2392"/>
      <c r="L449" s="2392"/>
      <c r="M449" s="2392"/>
      <c r="N449" s="2392"/>
      <c r="O449" s="2392"/>
      <c r="P449" s="2392"/>
      <c r="Q449" s="2392"/>
      <c r="R449" s="2392"/>
      <c r="S449" s="2392"/>
      <c r="T449" s="2392"/>
      <c r="U449" s="2392"/>
      <c r="V449" s="2392"/>
      <c r="W449" s="2392"/>
      <c r="X449" s="2392"/>
      <c r="Y449" s="2392"/>
      <c r="Z449" s="2392"/>
      <c r="AA449" s="2392"/>
      <c r="AB449" s="2392"/>
      <c r="AC449" s="2392"/>
      <c r="AD449" s="2392"/>
      <c r="AE449" s="2392"/>
      <c r="AF449" s="1179"/>
      <c r="AG449" s="1179"/>
      <c r="AH449" s="1179"/>
      <c r="AI449" s="1179"/>
      <c r="AJ449" s="1179"/>
      <c r="AK449" s="1179"/>
      <c r="AL449" s="1207"/>
      <c r="AM449" s="16"/>
      <c r="AN449" s="439"/>
    </row>
    <row r="450" spans="1:49" s="46" customFormat="1" ht="12.75" customHeight="1">
      <c r="A450" s="8"/>
      <c r="B450" s="118"/>
      <c r="C450" s="1314"/>
      <c r="D450" s="1307"/>
      <c r="E450" s="350"/>
      <c r="F450" s="2393"/>
      <c r="G450" s="2393"/>
      <c r="H450" s="2393"/>
      <c r="I450" s="2393"/>
      <c r="J450" s="2393"/>
      <c r="K450" s="2393"/>
      <c r="L450" s="2393"/>
      <c r="M450" s="2393"/>
      <c r="N450" s="2393"/>
      <c r="O450" s="2393"/>
      <c r="P450" s="2393"/>
      <c r="Q450" s="2393"/>
      <c r="R450" s="2393"/>
      <c r="S450" s="2393"/>
      <c r="T450" s="2393"/>
      <c r="U450" s="2393"/>
      <c r="V450" s="2393"/>
      <c r="W450" s="2393"/>
      <c r="X450" s="2393"/>
      <c r="Y450" s="2393"/>
      <c r="Z450" s="2393"/>
      <c r="AA450" s="2393"/>
      <c r="AB450" s="2393"/>
      <c r="AC450" s="2393"/>
      <c r="AD450" s="2393"/>
      <c r="AE450" s="2393"/>
      <c r="AF450" s="1374"/>
      <c r="AG450" s="1308"/>
      <c r="AH450" s="1308"/>
      <c r="AI450" s="1308"/>
      <c r="AJ450" s="1308"/>
      <c r="AK450" s="1308"/>
      <c r="AL450" s="1309"/>
      <c r="AM450" s="16"/>
      <c r="AN450" s="439"/>
    </row>
    <row r="451" spans="1:49" s="46" customFormat="1" ht="12.75" customHeight="1">
      <c r="A451" s="8"/>
      <c r="B451" s="118"/>
      <c r="C451" s="1314"/>
      <c r="D451" s="1307"/>
      <c r="E451" s="350"/>
      <c r="F451" s="2393"/>
      <c r="G451" s="2393"/>
      <c r="H451" s="2393"/>
      <c r="I451" s="2393"/>
      <c r="J451" s="2393"/>
      <c r="K451" s="2393"/>
      <c r="L451" s="2393"/>
      <c r="M451" s="2393"/>
      <c r="N451" s="2393"/>
      <c r="O451" s="2393"/>
      <c r="P451" s="2393"/>
      <c r="Q451" s="2393"/>
      <c r="R451" s="2393"/>
      <c r="S451" s="2393"/>
      <c r="T451" s="2393"/>
      <c r="U451" s="2393"/>
      <c r="V451" s="2393"/>
      <c r="W451" s="2393"/>
      <c r="X451" s="2393"/>
      <c r="Y451" s="2393"/>
      <c r="Z451" s="2393"/>
      <c r="AA451" s="2393"/>
      <c r="AB451" s="2393"/>
      <c r="AC451" s="2393"/>
      <c r="AD451" s="2393"/>
      <c r="AE451" s="2393"/>
      <c r="AF451" s="1374"/>
      <c r="AG451" s="1308"/>
      <c r="AH451" s="1308"/>
      <c r="AI451" s="1308"/>
      <c r="AJ451" s="1308"/>
      <c r="AK451" s="1308"/>
      <c r="AL451" s="1309"/>
      <c r="AM451" s="16"/>
      <c r="AN451" s="439"/>
    </row>
    <row r="452" spans="1:49" s="46" customFormat="1" ht="12.75" customHeight="1">
      <c r="A452" s="8"/>
      <c r="B452" s="118"/>
      <c r="C452" s="1314"/>
      <c r="D452" s="1307"/>
      <c r="E452" s="350"/>
      <c r="F452" s="2393"/>
      <c r="G452" s="2393"/>
      <c r="H452" s="2393"/>
      <c r="I452" s="2393"/>
      <c r="J452" s="2393"/>
      <c r="K452" s="2393"/>
      <c r="L452" s="2393"/>
      <c r="M452" s="2393"/>
      <c r="N452" s="2393"/>
      <c r="O452" s="2393"/>
      <c r="P452" s="2393"/>
      <c r="Q452" s="2393"/>
      <c r="R452" s="2393"/>
      <c r="S452" s="2393"/>
      <c r="T452" s="2393"/>
      <c r="U452" s="2393"/>
      <c r="V452" s="2393"/>
      <c r="W452" s="2393"/>
      <c r="X452" s="2393"/>
      <c r="Y452" s="2393"/>
      <c r="Z452" s="2393"/>
      <c r="AA452" s="2393"/>
      <c r="AB452" s="2393"/>
      <c r="AC452" s="2393"/>
      <c r="AD452" s="2393"/>
      <c r="AE452" s="2393"/>
      <c r="AF452" s="162"/>
      <c r="AG452" s="162"/>
      <c r="AH452" s="162"/>
      <c r="AI452" s="162"/>
      <c r="AJ452" s="162"/>
      <c r="AK452" s="162"/>
      <c r="AL452" s="1187"/>
      <c r="AM452" s="16"/>
      <c r="AN452" s="439"/>
    </row>
    <row r="453" spans="1:49" s="162" customFormat="1" ht="12.75" customHeight="1">
      <c r="A453" s="8"/>
      <c r="B453" s="118"/>
      <c r="C453" s="2395" t="s">
        <v>136</v>
      </c>
      <c r="D453" s="1688"/>
      <c r="E453" s="350"/>
      <c r="F453" s="1176" t="s">
        <v>2024</v>
      </c>
      <c r="G453" s="1177"/>
      <c r="H453" s="1177"/>
      <c r="I453" s="1177"/>
      <c r="J453" s="1177"/>
      <c r="K453" s="1177"/>
      <c r="L453" s="1177"/>
      <c r="M453" s="1177"/>
      <c r="N453" s="1177"/>
      <c r="O453" s="1177"/>
      <c r="P453" s="1177"/>
      <c r="Q453" s="1177"/>
      <c r="R453" s="1177"/>
      <c r="S453" s="1177"/>
      <c r="T453" s="1177"/>
      <c r="U453" s="1177"/>
      <c r="V453" s="1177"/>
      <c r="W453" s="1177"/>
      <c r="X453" s="1177"/>
      <c r="Y453" s="1177"/>
      <c r="Z453" s="1177"/>
      <c r="AA453" s="1177"/>
      <c r="AB453" s="1177"/>
      <c r="AC453" s="1177"/>
      <c r="AD453" s="1177"/>
      <c r="AF453" s="2410" t="s">
        <v>355</v>
      </c>
      <c r="AG453" s="2410"/>
      <c r="AH453" s="2410"/>
      <c r="AI453" s="2410"/>
      <c r="AJ453" s="2410"/>
      <c r="AK453" s="2410"/>
      <c r="AL453" s="2411"/>
      <c r="AM453" s="16"/>
      <c r="AN453" s="1137"/>
      <c r="AP453" s="125"/>
      <c r="AQ453" s="249"/>
      <c r="AR453" s="249"/>
      <c r="AS453" s="249"/>
      <c r="AT453" s="249"/>
      <c r="AU453" s="249"/>
      <c r="AV453" s="249"/>
      <c r="AW453" s="249"/>
    </row>
    <row r="454" spans="1:49" s="46" customFormat="1" ht="12.75" customHeight="1">
      <c r="A454" s="8"/>
      <c r="B454" s="118"/>
      <c r="C454" s="1190"/>
      <c r="D454" s="162"/>
      <c r="E454" s="306"/>
      <c r="F454" s="1212"/>
      <c r="G454" s="1310"/>
      <c r="H454" s="1310"/>
      <c r="I454" s="1310"/>
      <c r="J454" s="1310"/>
      <c r="K454" s="1310"/>
      <c r="L454" s="1310"/>
      <c r="M454" s="1310"/>
      <c r="N454" s="1310"/>
      <c r="O454" s="1310"/>
      <c r="P454" s="1310"/>
      <c r="Q454" s="1310"/>
      <c r="R454" s="1310"/>
      <c r="S454" s="1310"/>
      <c r="T454" s="1310"/>
      <c r="U454" s="1310"/>
      <c r="V454" s="1310"/>
      <c r="W454" s="1310"/>
      <c r="X454" s="1310"/>
      <c r="Y454" s="1310"/>
      <c r="Z454" s="1310"/>
      <c r="AA454" s="1310"/>
      <c r="AB454" s="1310"/>
      <c r="AC454" s="1310"/>
      <c r="AD454" s="1310"/>
      <c r="AE454" s="162"/>
      <c r="AF454" s="162"/>
      <c r="AG454" s="162"/>
      <c r="AH454" s="162"/>
      <c r="AI454" s="162"/>
      <c r="AJ454" s="162"/>
      <c r="AK454" s="162"/>
      <c r="AL454" s="1187"/>
      <c r="AM454" s="16"/>
      <c r="AN454" s="1137"/>
      <c r="AO454" s="162"/>
      <c r="AP454" s="162"/>
      <c r="AQ454" s="249"/>
      <c r="AR454" s="249"/>
      <c r="AS454" s="249"/>
      <c r="AT454" s="249"/>
      <c r="AU454" s="249"/>
      <c r="AV454" s="249"/>
      <c r="AW454" s="249"/>
    </row>
    <row r="455" spans="1:49" s="46" customFormat="1" ht="12.75" customHeight="1">
      <c r="A455" s="8"/>
      <c r="B455" s="118"/>
      <c r="C455" s="1213"/>
      <c r="D455" s="1214"/>
      <c r="E455" s="1193"/>
      <c r="F455" s="1197" t="s">
        <v>2010</v>
      </c>
      <c r="G455" s="1188"/>
      <c r="H455" s="1188"/>
      <c r="I455" s="1188"/>
      <c r="J455" s="1188"/>
      <c r="K455" s="1188"/>
      <c r="L455" s="1188"/>
      <c r="M455" s="1188"/>
      <c r="N455" s="1188"/>
      <c r="O455" s="1188"/>
      <c r="P455" s="1188"/>
      <c r="Q455" s="1188"/>
      <c r="R455" s="1188"/>
      <c r="S455" s="1188"/>
      <c r="T455" s="1188"/>
      <c r="U455" s="1188"/>
      <c r="V455" s="1188"/>
      <c r="W455" s="1188"/>
      <c r="X455" s="1188"/>
      <c r="Y455" s="1188"/>
      <c r="Z455" s="1188"/>
      <c r="AA455" s="1188"/>
      <c r="AB455" s="1188"/>
      <c r="AC455" s="1188"/>
      <c r="AD455" s="1188"/>
      <c r="AE455" s="1195"/>
      <c r="AF455" s="1196"/>
      <c r="AG455" s="1195"/>
      <c r="AH455" s="1197"/>
      <c r="AI455" s="1197"/>
      <c r="AJ455" s="1197"/>
      <c r="AK455" s="1197"/>
      <c r="AL455" s="1198"/>
      <c r="AM455" s="16"/>
      <c r="AN455" s="1137"/>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37"/>
      <c r="AO456" s="162"/>
      <c r="AP456" s="162"/>
      <c r="AQ456" s="249"/>
      <c r="AR456" s="249"/>
      <c r="AS456" s="249"/>
      <c r="AT456" s="249"/>
      <c r="AU456" s="249"/>
      <c r="AV456" s="249"/>
      <c r="AW456" s="249"/>
    </row>
    <row r="457" spans="1:49" s="137" customFormat="1" ht="12.75" customHeight="1">
      <c r="A457" s="8"/>
      <c r="B457" s="118"/>
      <c r="C457" s="2403" t="s">
        <v>136</v>
      </c>
      <c r="D457" s="2404"/>
      <c r="E457" s="1180" t="s">
        <v>1071</v>
      </c>
      <c r="F457" s="2392" t="s">
        <v>1073</v>
      </c>
      <c r="G457" s="2392"/>
      <c r="H457" s="2392"/>
      <c r="I457" s="2392"/>
      <c r="J457" s="2392"/>
      <c r="K457" s="2392"/>
      <c r="L457" s="2392"/>
      <c r="M457" s="2392"/>
      <c r="N457" s="2392"/>
      <c r="O457" s="2392"/>
      <c r="P457" s="2392"/>
      <c r="Q457" s="2392"/>
      <c r="R457" s="2392"/>
      <c r="S457" s="2392"/>
      <c r="T457" s="2392"/>
      <c r="U457" s="2392"/>
      <c r="V457" s="2392"/>
      <c r="W457" s="2392"/>
      <c r="X457" s="2392"/>
      <c r="Y457" s="2392"/>
      <c r="Z457" s="2392"/>
      <c r="AA457" s="2392"/>
      <c r="AB457" s="2392"/>
      <c r="AC457" s="2392"/>
      <c r="AD457" s="2392"/>
      <c r="AE457" s="2392"/>
      <c r="AF457" s="2414" t="s">
        <v>355</v>
      </c>
      <c r="AG457" s="2414"/>
      <c r="AH457" s="2414"/>
      <c r="AI457" s="2414"/>
      <c r="AJ457" s="2414"/>
      <c r="AK457" s="2414"/>
      <c r="AL457" s="2415"/>
      <c r="AM457" s="16"/>
      <c r="AN457" s="1137"/>
      <c r="AO457" s="162"/>
      <c r="AP457" s="162"/>
      <c r="AQ457" s="249"/>
    </row>
    <row r="458" spans="1:49" s="137" customFormat="1" ht="12.75" customHeight="1">
      <c r="A458" s="8"/>
      <c r="B458" s="118"/>
      <c r="C458" s="1314"/>
      <c r="D458" s="1307"/>
      <c r="E458" s="350"/>
      <c r="F458" s="2393"/>
      <c r="G458" s="2393"/>
      <c r="H458" s="2393"/>
      <c r="I458" s="2393"/>
      <c r="J458" s="2393"/>
      <c r="K458" s="2393"/>
      <c r="L458" s="2393"/>
      <c r="M458" s="2393"/>
      <c r="N458" s="2393"/>
      <c r="O458" s="2393"/>
      <c r="P458" s="2393"/>
      <c r="Q458" s="2393"/>
      <c r="R458" s="2393"/>
      <c r="S458" s="2393"/>
      <c r="T458" s="2393"/>
      <c r="U458" s="2393"/>
      <c r="V458" s="2393"/>
      <c r="W458" s="2393"/>
      <c r="X458" s="2393"/>
      <c r="Y458" s="2393"/>
      <c r="Z458" s="2393"/>
      <c r="AA458" s="2393"/>
      <c r="AB458" s="2393"/>
      <c r="AC458" s="2393"/>
      <c r="AD458" s="2393"/>
      <c r="AE458" s="2393"/>
      <c r="AF458" s="1308"/>
      <c r="AG458" s="1308"/>
      <c r="AH458" s="1308"/>
      <c r="AI458" s="1308"/>
      <c r="AJ458" s="1308"/>
      <c r="AK458" s="1308"/>
      <c r="AL458" s="1309"/>
      <c r="AM458" s="16"/>
      <c r="AN458" s="1138"/>
      <c r="AO458" s="46" t="s">
        <v>136</v>
      </c>
      <c r="AP458" s="162">
        <v>0</v>
      </c>
      <c r="AQ458" s="249"/>
    </row>
    <row r="459" spans="1:49" s="46" customFormat="1" ht="17.649999999999999" customHeight="1">
      <c r="A459" s="8"/>
      <c r="B459" s="118"/>
      <c r="C459" s="1182"/>
      <c r="D459" s="1183"/>
      <c r="E459" s="1184"/>
      <c r="F459" s="2394"/>
      <c r="G459" s="2394"/>
      <c r="H459" s="2394"/>
      <c r="I459" s="2394"/>
      <c r="J459" s="2394"/>
      <c r="K459" s="2394"/>
      <c r="L459" s="2394"/>
      <c r="M459" s="2394"/>
      <c r="N459" s="2394"/>
      <c r="O459" s="2394"/>
      <c r="P459" s="2394"/>
      <c r="Q459" s="2394"/>
      <c r="R459" s="2394"/>
      <c r="S459" s="2394"/>
      <c r="T459" s="2394"/>
      <c r="U459" s="2394"/>
      <c r="V459" s="2394"/>
      <c r="W459" s="2394"/>
      <c r="X459" s="2394"/>
      <c r="Y459" s="2394"/>
      <c r="Z459" s="2394"/>
      <c r="AA459" s="2394"/>
      <c r="AB459" s="2394"/>
      <c r="AC459" s="2394"/>
      <c r="AD459" s="2394"/>
      <c r="AE459" s="2394"/>
      <c r="AF459" s="1311"/>
      <c r="AG459" s="1311"/>
      <c r="AH459" s="1311"/>
      <c r="AI459" s="1311"/>
      <c r="AJ459" s="1311"/>
      <c r="AK459" s="1311"/>
      <c r="AL459" s="1312"/>
      <c r="AM459" s="16"/>
      <c r="AN459" s="1139"/>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0"/>
      <c r="AO460" s="46" t="s">
        <v>1075</v>
      </c>
      <c r="AP460" s="46">
        <v>5</v>
      </c>
      <c r="AQ460" s="250"/>
    </row>
    <row r="461" spans="1:49" s="46" customFormat="1" ht="12.75" customHeight="1">
      <c r="A461" s="8"/>
      <c r="B461" s="65"/>
      <c r="C461" s="2403" t="s">
        <v>136</v>
      </c>
      <c r="D461" s="2404"/>
      <c r="E461" s="1180" t="s">
        <v>1072</v>
      </c>
      <c r="F461" s="2392" t="s">
        <v>2072</v>
      </c>
      <c r="G461" s="2392"/>
      <c r="H461" s="2392"/>
      <c r="I461" s="2392"/>
      <c r="J461" s="2392"/>
      <c r="K461" s="2392"/>
      <c r="L461" s="2392"/>
      <c r="M461" s="2392"/>
      <c r="N461" s="2392"/>
      <c r="O461" s="2392"/>
      <c r="P461" s="2392"/>
      <c r="Q461" s="2392"/>
      <c r="R461" s="2392"/>
      <c r="S461" s="2392"/>
      <c r="T461" s="2392"/>
      <c r="U461" s="2392"/>
      <c r="V461" s="2392"/>
      <c r="W461" s="2392"/>
      <c r="X461" s="2392"/>
      <c r="Y461" s="2392"/>
      <c r="Z461" s="2392"/>
      <c r="AA461" s="2392"/>
      <c r="AB461" s="2392"/>
      <c r="AC461" s="2392"/>
      <c r="AD461" s="2392"/>
      <c r="AE461" s="2392"/>
      <c r="AF461" s="2414" t="s">
        <v>355</v>
      </c>
      <c r="AG461" s="2414"/>
      <c r="AH461" s="2414"/>
      <c r="AI461" s="2414"/>
      <c r="AJ461" s="2414"/>
      <c r="AK461" s="2414"/>
      <c r="AL461" s="2415"/>
      <c r="AM461" s="16"/>
      <c r="AN461" s="1140"/>
      <c r="AO461" s="46" t="s">
        <v>1474</v>
      </c>
      <c r="AP461" s="46">
        <v>5</v>
      </c>
      <c r="AQ461" s="251"/>
    </row>
    <row r="462" spans="1:49" s="46" customFormat="1" ht="12.75" customHeight="1">
      <c r="A462" s="8"/>
      <c r="B462" s="65"/>
      <c r="C462" s="1186"/>
      <c r="D462" s="125"/>
      <c r="E462" s="306"/>
      <c r="F462" s="2393"/>
      <c r="G462" s="2393"/>
      <c r="H462" s="2393"/>
      <c r="I462" s="2393"/>
      <c r="J462" s="2393"/>
      <c r="K462" s="2393"/>
      <c r="L462" s="2393"/>
      <c r="M462" s="2393"/>
      <c r="N462" s="2393"/>
      <c r="O462" s="2393"/>
      <c r="P462" s="2393"/>
      <c r="Q462" s="2393"/>
      <c r="R462" s="2393"/>
      <c r="S462" s="2393"/>
      <c r="T462" s="2393"/>
      <c r="U462" s="2393"/>
      <c r="V462" s="2393"/>
      <c r="W462" s="2393"/>
      <c r="X462" s="2393"/>
      <c r="Y462" s="2393"/>
      <c r="Z462" s="2393"/>
      <c r="AA462" s="2393"/>
      <c r="AB462" s="2393"/>
      <c r="AC462" s="2393"/>
      <c r="AD462" s="2393"/>
      <c r="AE462" s="2393"/>
      <c r="AF462" s="62"/>
      <c r="AG462" s="71"/>
      <c r="AH462" s="162"/>
      <c r="AI462" s="162"/>
      <c r="AJ462" s="162"/>
      <c r="AK462" s="162"/>
      <c r="AL462" s="1187"/>
      <c r="AM462" s="16"/>
      <c r="AN462" s="1140"/>
      <c r="AO462" s="46" t="s">
        <v>1470</v>
      </c>
      <c r="AP462" s="46">
        <v>5</v>
      </c>
    </row>
    <row r="463" spans="1:49" s="46" customFormat="1" ht="12.75" customHeight="1">
      <c r="A463" s="8"/>
      <c r="B463" s="65"/>
      <c r="C463" s="1186"/>
      <c r="D463" s="125"/>
      <c r="E463" s="306"/>
      <c r="F463" s="2393"/>
      <c r="G463" s="2393"/>
      <c r="H463" s="2393"/>
      <c r="I463" s="2393"/>
      <c r="J463" s="2393"/>
      <c r="K463" s="2393"/>
      <c r="L463" s="2393"/>
      <c r="M463" s="2393"/>
      <c r="N463" s="2393"/>
      <c r="O463" s="2393"/>
      <c r="P463" s="2393"/>
      <c r="Q463" s="2393"/>
      <c r="R463" s="2393"/>
      <c r="S463" s="2393"/>
      <c r="T463" s="2393"/>
      <c r="U463" s="2393"/>
      <c r="V463" s="2393"/>
      <c r="W463" s="2393"/>
      <c r="X463" s="2393"/>
      <c r="Y463" s="2393"/>
      <c r="Z463" s="2393"/>
      <c r="AA463" s="2393"/>
      <c r="AB463" s="2393"/>
      <c r="AC463" s="2393"/>
      <c r="AD463" s="2393"/>
      <c r="AE463" s="2393"/>
      <c r="AF463" s="62"/>
      <c r="AG463" s="71"/>
      <c r="AH463" s="162"/>
      <c r="AI463" s="162"/>
      <c r="AJ463" s="162"/>
      <c r="AK463" s="162"/>
      <c r="AL463" s="1187"/>
      <c r="AM463" s="16"/>
      <c r="AN463" s="1140"/>
      <c r="AO463" s="46" t="s">
        <v>1471</v>
      </c>
      <c r="AP463" s="46">
        <v>5</v>
      </c>
    </row>
    <row r="464" spans="1:49" s="46" customFormat="1" ht="12.75" customHeight="1">
      <c r="A464" s="8"/>
      <c r="B464" s="118"/>
      <c r="C464" s="1182"/>
      <c r="D464" s="1183"/>
      <c r="E464" s="1184"/>
      <c r="F464" s="2394"/>
      <c r="G464" s="2394"/>
      <c r="H464" s="2394"/>
      <c r="I464" s="2394"/>
      <c r="J464" s="2394"/>
      <c r="K464" s="2394"/>
      <c r="L464" s="2394"/>
      <c r="M464" s="2394"/>
      <c r="N464" s="2394"/>
      <c r="O464" s="2394"/>
      <c r="P464" s="2394"/>
      <c r="Q464" s="2394"/>
      <c r="R464" s="2394"/>
      <c r="S464" s="2394"/>
      <c r="T464" s="2394"/>
      <c r="U464" s="2394"/>
      <c r="V464" s="2394"/>
      <c r="W464" s="2394"/>
      <c r="X464" s="2394"/>
      <c r="Y464" s="2394"/>
      <c r="Z464" s="2394"/>
      <c r="AA464" s="2394"/>
      <c r="AB464" s="2394"/>
      <c r="AC464" s="2394"/>
      <c r="AD464" s="2394"/>
      <c r="AE464" s="2394"/>
      <c r="AF464" s="1311"/>
      <c r="AG464" s="1311"/>
      <c r="AH464" s="1311"/>
      <c r="AI464" s="1311"/>
      <c r="AJ464" s="1311"/>
      <c r="AK464" s="1311"/>
      <c r="AL464" s="1312"/>
      <c r="AM464" s="16"/>
      <c r="AN464" s="439"/>
      <c r="AO464" s="46" t="s">
        <v>1472</v>
      </c>
      <c r="AP464" s="46">
        <v>5</v>
      </c>
    </row>
    <row r="465" spans="1:54" s="46" customFormat="1" ht="12.75" customHeight="1">
      <c r="A465" s="8"/>
      <c r="B465" s="65"/>
      <c r="C465" s="162"/>
      <c r="D465" s="162"/>
      <c r="E465" s="162"/>
      <c r="F465" s="162"/>
      <c r="G465" s="1204"/>
      <c r="H465" s="1204"/>
      <c r="I465" s="1204"/>
      <c r="J465" s="1204"/>
      <c r="K465" s="1204"/>
      <c r="L465" s="1204"/>
      <c r="M465" s="1204"/>
      <c r="N465" s="1204"/>
      <c r="O465" s="1204"/>
      <c r="P465" s="1204"/>
      <c r="Q465" s="1204"/>
      <c r="R465" s="1204"/>
      <c r="S465" s="1204"/>
      <c r="T465" s="1204"/>
      <c r="U465" s="1204"/>
      <c r="V465" s="1204"/>
      <c r="W465" s="1204"/>
      <c r="X465" s="1204"/>
      <c r="Y465" s="1204"/>
      <c r="Z465" s="1204"/>
      <c r="AA465" s="1204"/>
      <c r="AB465" s="1204"/>
      <c r="AC465" s="1204"/>
      <c r="AD465" s="1204"/>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1"/>
      <c r="D466" s="1248"/>
      <c r="E466" s="1180" t="s">
        <v>1070</v>
      </c>
      <c r="F466" s="2412" t="s">
        <v>2073</v>
      </c>
      <c r="G466" s="2412"/>
      <c r="H466" s="2412"/>
      <c r="I466" s="2412"/>
      <c r="J466" s="2412"/>
      <c r="K466" s="2412"/>
      <c r="L466" s="2412"/>
      <c r="M466" s="2412"/>
      <c r="N466" s="2412"/>
      <c r="O466" s="2412"/>
      <c r="P466" s="2412"/>
      <c r="Q466" s="2412"/>
      <c r="R466" s="2412"/>
      <c r="S466" s="2412"/>
      <c r="T466" s="2412"/>
      <c r="U466" s="2412"/>
      <c r="V466" s="2412"/>
      <c r="W466" s="2412"/>
      <c r="X466" s="2412"/>
      <c r="Y466" s="2412"/>
      <c r="Z466" s="2412"/>
      <c r="AA466" s="2412"/>
      <c r="AB466" s="2412"/>
      <c r="AC466" s="2412"/>
      <c r="AD466" s="2412"/>
      <c r="AE466" s="2412"/>
      <c r="AF466" s="2412"/>
      <c r="AG466" s="1320"/>
      <c r="AH466" s="1179"/>
      <c r="AI466" s="1179"/>
      <c r="AJ466" s="1179"/>
      <c r="AK466" s="1179"/>
      <c r="AL466" s="1207"/>
      <c r="AM466" s="16"/>
      <c r="AN466" s="439"/>
      <c r="AO466" s="46" t="s">
        <v>1473</v>
      </c>
      <c r="AP466" s="46">
        <v>1</v>
      </c>
    </row>
    <row r="467" spans="1:54" s="46" customFormat="1" ht="12.75" customHeight="1">
      <c r="A467" s="8"/>
      <c r="B467" s="65"/>
      <c r="C467" s="1186"/>
      <c r="D467" s="125"/>
      <c r="E467" s="306"/>
      <c r="F467" s="2413"/>
      <c r="G467" s="2413"/>
      <c r="H467" s="2413"/>
      <c r="I467" s="2413"/>
      <c r="J467" s="2413"/>
      <c r="K467" s="2413"/>
      <c r="L467" s="2413"/>
      <c r="M467" s="2413"/>
      <c r="N467" s="2413"/>
      <c r="O467" s="2413"/>
      <c r="P467" s="2413"/>
      <c r="Q467" s="2413"/>
      <c r="R467" s="2413"/>
      <c r="S467" s="2413"/>
      <c r="T467" s="2413"/>
      <c r="U467" s="2413"/>
      <c r="V467" s="2413"/>
      <c r="W467" s="2413"/>
      <c r="X467" s="2413"/>
      <c r="Y467" s="2413"/>
      <c r="Z467" s="2413"/>
      <c r="AA467" s="2413"/>
      <c r="AB467" s="2413"/>
      <c r="AC467" s="2413"/>
      <c r="AD467" s="2413"/>
      <c r="AE467" s="2413"/>
      <c r="AF467" s="2413"/>
      <c r="AG467" s="162"/>
      <c r="AH467" s="162"/>
      <c r="AI467" s="162"/>
      <c r="AJ467" s="162"/>
      <c r="AK467" s="162"/>
      <c r="AL467" s="1187"/>
      <c r="AM467" s="16"/>
      <c r="AN467" s="439"/>
      <c r="AS467" s="543"/>
      <c r="AW467" s="543" t="s">
        <v>1079</v>
      </c>
      <c r="BA467" s="543" t="s">
        <v>1080</v>
      </c>
    </row>
    <row r="468" spans="1:54" s="46" customFormat="1" ht="12.75" customHeight="1">
      <c r="A468" s="8"/>
      <c r="B468" s="65"/>
      <c r="C468" s="1190"/>
      <c r="D468" s="162"/>
      <c r="E468" s="162"/>
      <c r="F468" s="2413"/>
      <c r="G468" s="2413"/>
      <c r="H468" s="2413"/>
      <c r="I468" s="2413"/>
      <c r="J468" s="2413"/>
      <c r="K468" s="2413"/>
      <c r="L468" s="2413"/>
      <c r="M468" s="2413"/>
      <c r="N468" s="2413"/>
      <c r="O468" s="2413"/>
      <c r="P468" s="2413"/>
      <c r="Q468" s="2413"/>
      <c r="R468" s="2413"/>
      <c r="S468" s="2413"/>
      <c r="T468" s="2413"/>
      <c r="U468" s="2413"/>
      <c r="V468" s="2413"/>
      <c r="W468" s="2413"/>
      <c r="X468" s="2413"/>
      <c r="Y468" s="2413"/>
      <c r="Z468" s="2413"/>
      <c r="AA468" s="2413"/>
      <c r="AB468" s="2413"/>
      <c r="AC468" s="2413"/>
      <c r="AD468" s="2413"/>
      <c r="AE468" s="2413"/>
      <c r="AF468" s="2413"/>
      <c r="AG468" s="162"/>
      <c r="AH468" s="162"/>
      <c r="AI468" s="162"/>
      <c r="AJ468" s="162"/>
      <c r="AK468" s="162"/>
      <c r="AL468" s="1187"/>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0"/>
      <c r="D469" s="162"/>
      <c r="E469" s="162"/>
      <c r="F469" s="2413"/>
      <c r="G469" s="2413"/>
      <c r="H469" s="2413"/>
      <c r="I469" s="2413"/>
      <c r="J469" s="2413"/>
      <c r="K469" s="2413"/>
      <c r="L469" s="2413"/>
      <c r="M469" s="2413"/>
      <c r="N469" s="2413"/>
      <c r="O469" s="2413"/>
      <c r="P469" s="2413"/>
      <c r="Q469" s="2413"/>
      <c r="R469" s="2413"/>
      <c r="S469" s="2413"/>
      <c r="T469" s="2413"/>
      <c r="U469" s="2413"/>
      <c r="V469" s="2413"/>
      <c r="W469" s="2413"/>
      <c r="X469" s="2413"/>
      <c r="Y469" s="2413"/>
      <c r="Z469" s="2413"/>
      <c r="AA469" s="2413"/>
      <c r="AB469" s="2413"/>
      <c r="AC469" s="2413"/>
      <c r="AD469" s="2413"/>
      <c r="AE469" s="2413"/>
      <c r="AF469" s="2413"/>
      <c r="AG469" s="162"/>
      <c r="AH469" s="162"/>
      <c r="AI469" s="162"/>
      <c r="AJ469" s="162"/>
      <c r="AK469" s="162"/>
      <c r="AL469" s="1187"/>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95" t="s">
        <v>136</v>
      </c>
      <c r="D470" s="1688"/>
      <c r="E470" s="350"/>
      <c r="F470" s="1203" t="s">
        <v>2017</v>
      </c>
      <c r="G470" s="1204"/>
      <c r="H470" s="1204"/>
      <c r="I470" s="1204"/>
      <c r="J470" s="1204"/>
      <c r="K470" s="1204"/>
      <c r="L470" s="1204"/>
      <c r="M470" s="1204"/>
      <c r="N470" s="1204"/>
      <c r="O470" s="1204"/>
      <c r="P470" s="1204"/>
      <c r="Q470" s="1204"/>
      <c r="R470" s="1204"/>
      <c r="S470" s="1204"/>
      <c r="T470" s="1204"/>
      <c r="U470" s="1204"/>
      <c r="V470" s="1204"/>
      <c r="W470" s="1204"/>
      <c r="X470" s="1204"/>
      <c r="Y470" s="1204"/>
      <c r="Z470" s="1204"/>
      <c r="AA470" s="1204"/>
      <c r="AB470" s="1204"/>
      <c r="AC470" s="1204"/>
      <c r="AD470" s="1204"/>
      <c r="AE470" s="162"/>
      <c r="AF470" s="2408" t="s">
        <v>355</v>
      </c>
      <c r="AG470" s="2408"/>
      <c r="AH470" s="2408"/>
      <c r="AI470" s="2408"/>
      <c r="AJ470" s="2408"/>
      <c r="AK470" s="2408"/>
      <c r="AL470" s="2409"/>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1"/>
      <c r="D471" s="1192"/>
      <c r="E471" s="1193"/>
      <c r="F471" s="1197"/>
      <c r="G471" s="1197"/>
      <c r="H471" s="1197"/>
      <c r="I471" s="1197"/>
      <c r="J471" s="1197"/>
      <c r="K471" s="1197"/>
      <c r="L471" s="1197"/>
      <c r="M471" s="1197"/>
      <c r="N471" s="1197"/>
      <c r="O471" s="1197"/>
      <c r="P471" s="1197"/>
      <c r="Q471" s="1197"/>
      <c r="R471" s="1197"/>
      <c r="S471" s="1197"/>
      <c r="T471" s="1197"/>
      <c r="U471" s="1197"/>
      <c r="V471" s="1197"/>
      <c r="W471" s="1197"/>
      <c r="X471" s="1197"/>
      <c r="Y471" s="1197"/>
      <c r="Z471" s="1197"/>
      <c r="AA471" s="1197"/>
      <c r="AB471" s="1197"/>
      <c r="AC471" s="1197"/>
      <c r="AD471" s="1197"/>
      <c r="AE471" s="1197"/>
      <c r="AF471" s="1197"/>
      <c r="AG471" s="1197"/>
      <c r="AH471" s="1197"/>
      <c r="AI471" s="1197"/>
      <c r="AJ471" s="1197"/>
      <c r="AK471" s="1197"/>
      <c r="AL471" s="1198"/>
      <c r="AN471" s="439"/>
      <c r="AO471" s="552"/>
      <c r="AP471" s="43"/>
      <c r="AS471" s="552"/>
      <c r="AT471" s="43"/>
      <c r="AW471" s="552">
        <v>0.8</v>
      </c>
      <c r="AX471" s="43">
        <v>5</v>
      </c>
      <c r="BA471" s="552"/>
      <c r="BB471" s="43"/>
    </row>
    <row r="472" spans="1:54" s="46" customFormat="1" ht="12.75" customHeight="1">
      <c r="A472" s="8"/>
      <c r="B472" s="65"/>
      <c r="C472" s="102"/>
      <c r="D472" s="102"/>
      <c r="E472" s="153"/>
      <c r="F472" s="1418"/>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18"/>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0" t="s">
        <v>790</v>
      </c>
      <c r="AK476" s="2365">
        <f>IF(AS359=0,AS357,AS359)</f>
        <v>10</v>
      </c>
      <c r="AL476" s="2366"/>
      <c r="AM476" s="236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42" t="s">
        <v>1390</v>
      </c>
      <c r="AF479" s="2442"/>
      <c r="AG479" s="2442"/>
      <c r="AH479" s="2442"/>
      <c r="AI479" s="2442"/>
      <c r="AJ479" s="2442"/>
      <c r="AK479" s="2442"/>
      <c r="AL479" s="1292"/>
      <c r="AM479" s="153"/>
      <c r="AN479" s="439"/>
      <c r="AO479" s="46" t="s">
        <v>1074</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2"/>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2"/>
      <c r="AM481" s="153"/>
      <c r="AN481" s="439"/>
      <c r="AO481" s="46" t="s">
        <v>1474</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2"/>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2"/>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41" t="s">
        <v>136</v>
      </c>
      <c r="D485" s="2342"/>
      <c r="E485" s="1246" t="s">
        <v>212</v>
      </c>
      <c r="F485" s="2372" t="s">
        <v>1076</v>
      </c>
      <c r="G485" s="2372"/>
      <c r="H485" s="2372"/>
      <c r="I485" s="2372"/>
      <c r="J485" s="2372"/>
      <c r="K485" s="2372"/>
      <c r="L485" s="2372"/>
      <c r="M485" s="2372"/>
      <c r="N485" s="2372"/>
      <c r="O485" s="2372"/>
      <c r="P485" s="2372"/>
      <c r="Q485" s="2372"/>
      <c r="R485" s="2372"/>
      <c r="S485" s="2372"/>
      <c r="T485" s="2372"/>
      <c r="U485" s="2372"/>
      <c r="V485" s="2372"/>
      <c r="W485" s="2372"/>
      <c r="X485" s="2372"/>
      <c r="Y485" s="2372"/>
      <c r="Z485" s="2372"/>
      <c r="AA485" s="2372"/>
      <c r="AB485" s="2372"/>
      <c r="AC485" s="2372"/>
      <c r="AD485" s="2372"/>
      <c r="AE485" s="2372"/>
      <c r="AF485" s="1179"/>
      <c r="AG485" s="1179"/>
      <c r="AH485" s="1179"/>
      <c r="AI485" s="1179"/>
      <c r="AJ485" s="1179"/>
      <c r="AK485" s="1207"/>
      <c r="AL485" s="162"/>
      <c r="AN485" s="439"/>
      <c r="AO485" s="46" t="s">
        <v>2184</v>
      </c>
      <c r="AP485" s="46">
        <v>5</v>
      </c>
      <c r="AS485" s="552"/>
      <c r="AT485" s="43"/>
      <c r="AW485" s="733"/>
      <c r="AX485" s="64"/>
    </row>
    <row r="486" spans="1:50" s="46" customFormat="1" ht="12.75" hidden="1" customHeight="1">
      <c r="A486" s="28"/>
      <c r="C486" s="1215"/>
      <c r="D486" s="162"/>
      <c r="E486" s="225"/>
      <c r="F486" s="2373"/>
      <c r="G486" s="2373"/>
      <c r="H486" s="2373"/>
      <c r="I486" s="2373"/>
      <c r="J486" s="2373"/>
      <c r="K486" s="2373"/>
      <c r="L486" s="2373"/>
      <c r="M486" s="2373"/>
      <c r="N486" s="2373"/>
      <c r="O486" s="2373"/>
      <c r="P486" s="2373"/>
      <c r="Q486" s="2373"/>
      <c r="R486" s="2373"/>
      <c r="S486" s="2373"/>
      <c r="T486" s="2373"/>
      <c r="U486" s="2373"/>
      <c r="V486" s="2373"/>
      <c r="W486" s="2373"/>
      <c r="X486" s="2373"/>
      <c r="Y486" s="2373"/>
      <c r="Z486" s="2373"/>
      <c r="AA486" s="2373"/>
      <c r="AB486" s="2373"/>
      <c r="AC486" s="2373"/>
      <c r="AD486" s="2373"/>
      <c r="AE486" s="2373"/>
      <c r="AF486" s="162"/>
      <c r="AG486" s="27"/>
      <c r="AH486" s="27"/>
      <c r="AI486" s="27"/>
      <c r="AJ486" s="27"/>
      <c r="AK486" s="1187"/>
      <c r="AL486" s="162"/>
      <c r="AN486" s="439"/>
      <c r="AO486" s="46" t="s">
        <v>1473</v>
      </c>
      <c r="AP486" s="46">
        <v>1</v>
      </c>
    </row>
    <row r="487" spans="1:50" s="46" customFormat="1" ht="12.75" hidden="1" customHeight="1">
      <c r="A487" s="28"/>
      <c r="C487" s="1216"/>
      <c r="D487" s="1197"/>
      <c r="E487" s="1217"/>
      <c r="F487" s="2346" t="s">
        <v>136</v>
      </c>
      <c r="G487" s="2346"/>
      <c r="H487" s="2346"/>
      <c r="I487" s="2346"/>
      <c r="J487" s="2346"/>
      <c r="K487" s="2346"/>
      <c r="L487" s="2346"/>
      <c r="M487" s="2346"/>
      <c r="N487" s="2346"/>
      <c r="O487" s="2346"/>
      <c r="P487" s="2346"/>
      <c r="Q487" s="2346"/>
      <c r="R487" s="2346"/>
      <c r="S487" s="2346"/>
      <c r="T487" s="2346"/>
      <c r="U487" s="2346"/>
      <c r="V487" s="2346"/>
      <c r="W487" s="2346"/>
      <c r="X487" s="2346"/>
      <c r="Y487" s="2346"/>
      <c r="Z487" s="2346"/>
      <c r="AA487" s="1218"/>
      <c r="AB487" s="1219"/>
      <c r="AC487" s="1219"/>
      <c r="AD487" s="1197"/>
      <c r="AE487" s="1197"/>
      <c r="AF487" s="1197"/>
      <c r="AG487" s="1220">
        <f>IF($C$485="Yes",(VLOOKUP($F$487,$AO$458:$AP$466,2,FALSE)),0)</f>
        <v>0</v>
      </c>
      <c r="AH487" s="1221" t="s">
        <v>1078</v>
      </c>
      <c r="AI487" s="1220"/>
      <c r="AJ487" s="1220"/>
      <c r="AK487" s="1198"/>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403" t="s">
        <v>119</v>
      </c>
      <c r="D489" s="2404"/>
      <c r="E489" s="1246" t="s">
        <v>336</v>
      </c>
      <c r="F489" s="1222" t="s">
        <v>1478</v>
      </c>
      <c r="G489" s="1223"/>
      <c r="H489" s="1223"/>
      <c r="I489" s="1223"/>
      <c r="J489" s="1223"/>
      <c r="K489" s="1223"/>
      <c r="L489" s="1223"/>
      <c r="M489" s="1223"/>
      <c r="N489" s="1223"/>
      <c r="O489" s="1223"/>
      <c r="P489" s="1223"/>
      <c r="Q489" s="1223"/>
      <c r="R489" s="1223"/>
      <c r="S489" s="1223"/>
      <c r="T489" s="1223"/>
      <c r="U489" s="1223"/>
      <c r="V489" s="1223"/>
      <c r="W489" s="1223"/>
      <c r="X489" s="1223"/>
      <c r="Y489" s="1223"/>
      <c r="Z489" s="1223"/>
      <c r="AA489" s="1223"/>
      <c r="AB489" s="1223"/>
      <c r="AC489" s="1223"/>
      <c r="AD489" s="1179"/>
      <c r="AE489" s="1179"/>
      <c r="AF489" s="1179"/>
      <c r="AG489" s="1223"/>
      <c r="AH489" s="1223"/>
      <c r="AI489" s="1223"/>
      <c r="AJ489" s="1223"/>
      <c r="AK489" s="1207"/>
      <c r="AL489" s="162"/>
      <c r="AN489" s="439"/>
      <c r="AO489" s="552">
        <v>0.15</v>
      </c>
      <c r="AP489" s="64">
        <v>3</v>
      </c>
    </row>
    <row r="490" spans="1:50" s="46" customFormat="1" ht="12.75" hidden="1" customHeight="1">
      <c r="A490" s="28"/>
      <c r="C490" s="1224"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0"/>
      <c r="AD490" s="162"/>
      <c r="AE490" s="162"/>
      <c r="AF490" s="162"/>
      <c r="AG490" s="175"/>
      <c r="AH490" s="175"/>
      <c r="AI490" s="175"/>
      <c r="AJ490" s="175"/>
      <c r="AK490" s="1187"/>
      <c r="AL490" s="162"/>
      <c r="AN490" s="439"/>
      <c r="AO490" s="552">
        <v>0.2</v>
      </c>
      <c r="AP490" s="64">
        <v>5</v>
      </c>
    </row>
    <row r="491" spans="1:50" s="46" customFormat="1" ht="12.75" hidden="1" customHeight="1">
      <c r="A491" s="28"/>
      <c r="C491" s="1211"/>
      <c r="D491" s="1154"/>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87"/>
      <c r="AL491" s="162"/>
      <c r="AN491" s="475"/>
      <c r="AO491" s="552"/>
      <c r="AP491" s="43"/>
    </row>
    <row r="492" spans="1:50" s="205" customFormat="1" ht="12.75" hidden="1" customHeight="1">
      <c r="A492" s="57"/>
      <c r="B492" s="46"/>
      <c r="C492" s="1215"/>
      <c r="D492" s="162"/>
      <c r="E492" s="225"/>
      <c r="F492" s="1225" t="s">
        <v>1077</v>
      </c>
      <c r="G492" s="162"/>
      <c r="H492" s="162"/>
      <c r="I492" s="893"/>
      <c r="J492" s="893"/>
      <c r="K492" s="893"/>
      <c r="L492" s="893"/>
      <c r="M492" s="893"/>
      <c r="N492" s="893"/>
      <c r="O492" s="893"/>
      <c r="P492" s="893"/>
      <c r="Q492" s="893"/>
      <c r="R492" s="893"/>
      <c r="S492" s="893"/>
      <c r="T492" s="893"/>
      <c r="U492" s="893"/>
      <c r="V492" s="2343" t="s">
        <v>136</v>
      </c>
      <c r="W492" s="2343"/>
      <c r="X492" s="2343"/>
      <c r="Y492" s="893"/>
      <c r="Z492" s="893"/>
      <c r="AA492" s="893"/>
      <c r="AB492" s="893"/>
      <c r="AC492" s="893"/>
      <c r="AD492" s="969"/>
      <c r="AE492" s="969"/>
      <c r="AF492" s="969"/>
      <c r="AG492" s="175">
        <f>IF(AND($C$489="Yes",$V$494="N/A",$V$499="N/A",$V$503="N/A",$V$505="N/A"),(VLOOKUP(V492,$AR$468:$AS$470,2,FALSE)),0)</f>
        <v>0</v>
      </c>
      <c r="AH492" s="1153" t="s">
        <v>1078</v>
      </c>
      <c r="AI492" s="27"/>
      <c r="AJ492" s="27"/>
      <c r="AK492" s="1187"/>
      <c r="AL492" s="162"/>
      <c r="AM492" s="46"/>
      <c r="AN492" s="439"/>
    </row>
    <row r="493" spans="1:50" s="205" customFormat="1" ht="12.75" hidden="1" customHeight="1">
      <c r="A493" s="57"/>
      <c r="B493" s="46"/>
      <c r="C493" s="1215"/>
      <c r="D493" s="162"/>
      <c r="E493" s="225"/>
      <c r="F493" s="1225"/>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44"/>
      <c r="AI493" s="27"/>
      <c r="AJ493" s="27"/>
      <c r="AK493" s="1187"/>
      <c r="AL493" s="162"/>
      <c r="AM493" s="46"/>
      <c r="AN493" s="439"/>
    </row>
    <row r="494" spans="1:50" s="205" customFormat="1" ht="12.75" hidden="1" customHeight="1">
      <c r="A494" s="57"/>
      <c r="B494" s="46"/>
      <c r="C494" s="1215"/>
      <c r="D494" s="162"/>
      <c r="E494" s="225"/>
      <c r="F494" s="1225" t="s">
        <v>2202</v>
      </c>
      <c r="G494" s="162"/>
      <c r="H494" s="162"/>
      <c r="I494" s="893"/>
      <c r="J494" s="893"/>
      <c r="K494" s="893"/>
      <c r="L494" s="893"/>
      <c r="M494" s="893"/>
      <c r="N494" s="893"/>
      <c r="O494" s="893"/>
      <c r="P494" s="893"/>
      <c r="Q494" s="893"/>
      <c r="R494" s="893"/>
      <c r="S494" s="893"/>
      <c r="T494" s="893"/>
      <c r="U494" s="893"/>
      <c r="V494" s="2343" t="s">
        <v>136</v>
      </c>
      <c r="W494" s="2343"/>
      <c r="X494" s="2343"/>
      <c r="Y494" s="893"/>
      <c r="Z494" s="893"/>
      <c r="AA494" s="893"/>
      <c r="AB494" s="893"/>
      <c r="AC494" s="893"/>
      <c r="AD494" s="969"/>
      <c r="AE494" s="969"/>
      <c r="AF494" s="969"/>
      <c r="AG494" s="175">
        <f>IF(AND($C$489="Yes",$V$492="N/A", $V$499="N/A",$V$503="N/A",$V$505="N/A"),(VLOOKUP(V494,$AO$468:$AP$470,2,FALSE)),0)</f>
        <v>0</v>
      </c>
      <c r="AH494" s="1344" t="s">
        <v>1078</v>
      </c>
      <c r="AI494" s="27"/>
      <c r="AJ494" s="27"/>
      <c r="AK494" s="1187"/>
      <c r="AL494" s="162"/>
      <c r="AM494" s="46"/>
      <c r="AN494" s="439"/>
    </row>
    <row r="495" spans="1:50" s="46" customFormat="1" ht="12.75" hidden="1" customHeight="1">
      <c r="A495" s="28"/>
      <c r="C495" s="1215"/>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87"/>
      <c r="AL495" s="162"/>
      <c r="AN495" s="439"/>
      <c r="AO495" s="46" t="s">
        <v>136</v>
      </c>
      <c r="AP495" s="46">
        <v>0</v>
      </c>
    </row>
    <row r="496" spans="1:50" s="46" customFormat="1" ht="12.75" hidden="1" customHeight="1">
      <c r="A496" s="28"/>
      <c r="C496" s="1215"/>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87"/>
      <c r="AL496" s="162"/>
      <c r="AN496" s="439"/>
      <c r="AO496" s="46" t="s">
        <v>1480</v>
      </c>
      <c r="AP496" s="64">
        <v>2</v>
      </c>
    </row>
    <row r="497" spans="1:147" s="46" customFormat="1" ht="12.75" hidden="1" customHeight="1">
      <c r="A497" s="28"/>
      <c r="C497" s="1215"/>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3"/>
      <c r="AI497" s="27"/>
      <c r="AJ497" s="27"/>
      <c r="AK497" s="1187"/>
      <c r="AL497" s="162"/>
      <c r="AN497" s="439"/>
      <c r="AO497" s="46" t="s">
        <v>1085</v>
      </c>
      <c r="AP497" s="46">
        <v>2</v>
      </c>
    </row>
    <row r="498" spans="1:147" s="205" customFormat="1" ht="12.75" hidden="1" customHeight="1">
      <c r="A498" s="28"/>
      <c r="B498" s="46"/>
      <c r="C498" s="1190"/>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3"/>
      <c r="AI498" s="27"/>
      <c r="AJ498" s="27"/>
      <c r="AK498" s="1187"/>
      <c r="AL498" s="162"/>
      <c r="AM498" s="46"/>
      <c r="AN498" s="475"/>
      <c r="AO498" s="46" t="s">
        <v>1086</v>
      </c>
      <c r="AP498" s="46">
        <v>2</v>
      </c>
    </row>
    <row r="499" spans="1:147" s="46" customFormat="1" ht="12.75" hidden="1" customHeight="1">
      <c r="A499" s="28"/>
      <c r="C499" s="1226"/>
      <c r="D499" s="28"/>
      <c r="E499" s="28"/>
      <c r="F499" s="1225" t="s">
        <v>1479</v>
      </c>
      <c r="G499" s="28"/>
      <c r="H499" s="28"/>
      <c r="I499" s="28"/>
      <c r="J499" s="28"/>
      <c r="K499" s="28"/>
      <c r="L499" s="28"/>
      <c r="M499" s="225"/>
      <c r="N499" s="225"/>
      <c r="O499" s="225"/>
      <c r="P499" s="225"/>
      <c r="Q499" s="27"/>
      <c r="R499" s="27"/>
      <c r="S499" s="27"/>
      <c r="T499" s="27"/>
      <c r="U499" s="27"/>
      <c r="V499" s="2343" t="s">
        <v>136</v>
      </c>
      <c r="W499" s="2343"/>
      <c r="X499" s="2343"/>
      <c r="Y499" s="27"/>
      <c r="Z499" s="27"/>
      <c r="AA499" s="27"/>
      <c r="AB499" s="27"/>
      <c r="AC499" s="27"/>
      <c r="AD499" s="162"/>
      <c r="AE499" s="162"/>
      <c r="AF499" s="162"/>
      <c r="AG499" s="175">
        <f>IF(AND($C$489="Yes",$V$492="N/A",$V$494="N/A", $V$503="N/A",$V$505="N/A"),(VLOOKUP($V$499,$AO$472:$AP$474,2,FALSE)),0)</f>
        <v>0</v>
      </c>
      <c r="AH499" s="1153" t="s">
        <v>1078</v>
      </c>
      <c r="AI499" s="27"/>
      <c r="AJ499" s="27"/>
      <c r="AK499" s="1187"/>
      <c r="AL499" s="162"/>
      <c r="AN499" s="1128"/>
    </row>
    <row r="500" spans="1:147" s="46" customFormat="1" ht="12.75" hidden="1" customHeight="1">
      <c r="A500" s="28"/>
      <c r="C500" s="1215"/>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87"/>
      <c r="AL500" s="162"/>
      <c r="AN500" s="1141"/>
    </row>
    <row r="501" spans="1:147" s="205" customFormat="1" ht="12.75" hidden="1" customHeight="1">
      <c r="A501" s="28"/>
      <c r="B501" s="153"/>
      <c r="C501" s="1230" t="s">
        <v>1352</v>
      </c>
      <c r="D501" s="1231"/>
      <c r="E501" s="1231"/>
      <c r="F501" s="1232" t="s">
        <v>1476</v>
      </c>
      <c r="G501" s="1179"/>
      <c r="H501" s="1179"/>
      <c r="I501" s="1231"/>
      <c r="J501" s="1231"/>
      <c r="K501" s="1231"/>
      <c r="L501" s="1231"/>
      <c r="M501" s="1231"/>
      <c r="N501" s="1231"/>
      <c r="O501" s="1231"/>
      <c r="P501" s="1231"/>
      <c r="Q501" s="1231"/>
      <c r="R501" s="1231"/>
      <c r="S501" s="1231"/>
      <c r="T501" s="1231"/>
      <c r="U501" s="1231"/>
      <c r="V501" s="1231"/>
      <c r="W501" s="1231"/>
      <c r="X501" s="1231"/>
      <c r="Y501" s="1231"/>
      <c r="Z501" s="1231"/>
      <c r="AA501" s="1231"/>
      <c r="AB501" s="1231"/>
      <c r="AC501" s="1231"/>
      <c r="AD501" s="1179"/>
      <c r="AE501" s="1179"/>
      <c r="AF501" s="1179"/>
      <c r="AG501" s="1179"/>
      <c r="AH501" s="1179"/>
      <c r="AI501" s="1179"/>
      <c r="AJ501" s="1231"/>
      <c r="AK501" s="1207"/>
      <c r="AL501" s="162"/>
      <c r="AM501" s="46"/>
      <c r="AN501" s="1129"/>
      <c r="AO501" s="46" t="s">
        <v>136</v>
      </c>
      <c r="AP501" s="46">
        <v>0</v>
      </c>
      <c r="AQ501" s="62"/>
    </row>
    <row r="502" spans="1:147" s="205" customFormat="1" ht="12.75" hidden="1" customHeight="1">
      <c r="A502" s="28"/>
      <c r="B502" s="153"/>
      <c r="C502" s="1227"/>
      <c r="D502" s="2097"/>
      <c r="E502" s="2097"/>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87"/>
      <c r="AL502" s="162"/>
      <c r="AM502" s="46"/>
      <c r="AN502" s="1129"/>
      <c r="AO502" s="46" t="s">
        <v>1488</v>
      </c>
      <c r="AP502" s="64">
        <v>5</v>
      </c>
      <c r="AQ502" s="63"/>
    </row>
    <row r="503" spans="1:147" s="16" customFormat="1" ht="12.75" hidden="1" customHeight="1">
      <c r="A503" s="195"/>
      <c r="B503" s="153"/>
      <c r="C503" s="1215"/>
      <c r="D503" s="162"/>
      <c r="E503" s="162"/>
      <c r="F503" s="896" t="s">
        <v>1077</v>
      </c>
      <c r="G503" s="162"/>
      <c r="H503" s="162"/>
      <c r="I503" s="162"/>
      <c r="J503" s="162"/>
      <c r="K503" s="162"/>
      <c r="L503" s="162"/>
      <c r="M503" s="162"/>
      <c r="N503" s="162"/>
      <c r="O503" s="162"/>
      <c r="P503" s="162"/>
      <c r="Q503" s="162"/>
      <c r="R503" s="162"/>
      <c r="S503" s="162"/>
      <c r="T503" s="162"/>
      <c r="U503" s="162"/>
      <c r="V503" s="2343" t="s">
        <v>136</v>
      </c>
      <c r="W503" s="2343"/>
      <c r="X503" s="2343"/>
      <c r="Y503" s="162"/>
      <c r="Z503" s="162"/>
      <c r="AA503" s="162"/>
      <c r="AB503" s="162"/>
      <c r="AC503" s="162"/>
      <c r="AD503" s="162"/>
      <c r="AE503" s="162"/>
      <c r="AF503" s="162"/>
      <c r="AG503" s="175">
        <f>IF(AND($C$489="Yes",$V$492="N/A",V494="N/A",$V$499="N/A",$V$505="N/A"),(VLOOKUP($V$503,$AW$468:$AX$471,2,FALSE)),0)</f>
        <v>0</v>
      </c>
      <c r="AH503" s="1153" t="s">
        <v>1078</v>
      </c>
      <c r="AI503" s="27"/>
      <c r="AJ503" s="162"/>
      <c r="AK503" s="1187"/>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5"/>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87"/>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6"/>
      <c r="D505" s="1197"/>
      <c r="E505" s="1197"/>
      <c r="F505" s="1225" t="s">
        <v>2202</v>
      </c>
      <c r="G505" s="1228"/>
      <c r="H505" s="1228"/>
      <c r="I505" s="1197"/>
      <c r="J505" s="1197"/>
      <c r="K505" s="1197"/>
      <c r="L505" s="1197"/>
      <c r="M505" s="1197"/>
      <c r="N505" s="1197"/>
      <c r="O505" s="1197"/>
      <c r="P505" s="1197"/>
      <c r="Q505" s="1197"/>
      <c r="R505" s="1197"/>
      <c r="S505" s="1197"/>
      <c r="T505" s="1197"/>
      <c r="U505" s="1197"/>
      <c r="V505" s="2343" t="s">
        <v>136</v>
      </c>
      <c r="W505" s="2343"/>
      <c r="X505" s="2343"/>
      <c r="Y505" s="1197"/>
      <c r="Z505" s="1197"/>
      <c r="AA505" s="1197"/>
      <c r="AB505" s="1197"/>
      <c r="AC505" s="1197"/>
      <c r="AD505" s="1197"/>
      <c r="AE505" s="1197"/>
      <c r="AF505" s="1197"/>
      <c r="AG505" s="1229">
        <f>IF(AND($C$489="Yes",$V$492="N/A",$V$494="N/A",$V$499="N/A",$V$503="N/A"),(VLOOKUP($V$505,$BA$468:$BB$470,2,FALSE)),0)</f>
        <v>0</v>
      </c>
      <c r="AH505" s="1221" t="s">
        <v>1078</v>
      </c>
      <c r="AI505" s="1197"/>
      <c r="AJ505" s="1197"/>
      <c r="AK505" s="1198"/>
      <c r="AL505" s="162"/>
      <c r="AM505" s="46"/>
      <c r="AN505" s="1142"/>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2"/>
      <c r="AO506" s="400"/>
      <c r="AP506" s="46"/>
      <c r="AQ506" s="46"/>
      <c r="AR506" s="46"/>
      <c r="AS506" s="46"/>
      <c r="AT506" s="46"/>
      <c r="AU506" s="2609" t="s">
        <v>723</v>
      </c>
      <c r="AV506" s="2610"/>
      <c r="AW506" s="2610"/>
      <c r="AX506" s="2610"/>
      <c r="AY506" s="2610"/>
      <c r="AZ506" s="2610"/>
      <c r="BA506" s="2610"/>
      <c r="BB506" s="205"/>
      <c r="BC506" s="205"/>
      <c r="BE506" s="46"/>
      <c r="BF506" s="46"/>
      <c r="BG506" s="46"/>
      <c r="BH506" s="46"/>
      <c r="BI506" s="46"/>
      <c r="BJ506" s="2534" t="s">
        <v>35</v>
      </c>
      <c r="BK506" s="2535"/>
      <c r="BL506" s="2535"/>
      <c r="BM506" s="2535"/>
      <c r="BN506" s="2535"/>
      <c r="BO506" s="2535"/>
      <c r="BP506" s="253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2"/>
      <c r="AO507" s="400"/>
      <c r="AP507" s="46"/>
      <c r="AQ507" s="46"/>
      <c r="AR507" s="46"/>
      <c r="AS507" s="46"/>
      <c r="AT507" s="46"/>
      <c r="AU507" s="2609"/>
      <c r="AV507" s="2610"/>
      <c r="AW507" s="2610"/>
      <c r="AX507" s="2610"/>
      <c r="AY507" s="2610"/>
      <c r="AZ507" s="2610"/>
      <c r="BA507" s="2610"/>
      <c r="BB507" s="205"/>
      <c r="BC507" s="205"/>
      <c r="BE507" s="46"/>
      <c r="BF507" s="46"/>
      <c r="BG507" s="46"/>
      <c r="BH507" s="46"/>
      <c r="BI507" s="46"/>
      <c r="BJ507" s="2534"/>
      <c r="BK507" s="2535"/>
      <c r="BL507" s="2535"/>
      <c r="BM507" s="2535"/>
      <c r="BN507" s="2535"/>
      <c r="BO507" s="2535"/>
      <c r="BP507" s="2535"/>
      <c r="BQ507" s="205"/>
      <c r="BR507" s="46"/>
    </row>
    <row r="508" spans="1:147" s="16" customFormat="1" ht="12.75" hidden="1" customHeight="1">
      <c r="A508" s="195"/>
      <c r="B508" s="46"/>
      <c r="C508" s="2341" t="s">
        <v>136</v>
      </c>
      <c r="D508" s="2342"/>
      <c r="E508" s="1233" t="s">
        <v>212</v>
      </c>
      <c r="F508" s="2372" t="s">
        <v>1076</v>
      </c>
      <c r="G508" s="2372"/>
      <c r="H508" s="2372"/>
      <c r="I508" s="2372"/>
      <c r="J508" s="2372"/>
      <c r="K508" s="2372"/>
      <c r="L508" s="2372"/>
      <c r="M508" s="2372"/>
      <c r="N508" s="2372"/>
      <c r="O508" s="2372"/>
      <c r="P508" s="2372"/>
      <c r="Q508" s="2372"/>
      <c r="R508" s="2372"/>
      <c r="S508" s="2372"/>
      <c r="T508" s="2372"/>
      <c r="U508" s="2372"/>
      <c r="V508" s="2372"/>
      <c r="W508" s="2372"/>
      <c r="X508" s="2372"/>
      <c r="Y508" s="2372"/>
      <c r="Z508" s="2372"/>
      <c r="AA508" s="2372"/>
      <c r="AB508" s="2372"/>
      <c r="AC508" s="2372"/>
      <c r="AD508" s="2372"/>
      <c r="AE508" s="2372"/>
      <c r="AF508" s="1179"/>
      <c r="AG508" s="1234"/>
      <c r="AH508" s="1234"/>
      <c r="AI508" s="1234"/>
      <c r="AJ508" s="1234"/>
      <c r="AK508" s="1207"/>
      <c r="AL508" s="162"/>
      <c r="AM508" s="46"/>
      <c r="AN508" s="1127"/>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5"/>
      <c r="D509" s="162"/>
      <c r="E509" s="225"/>
      <c r="F509" s="2373"/>
      <c r="G509" s="2373"/>
      <c r="H509" s="2373"/>
      <c r="I509" s="2373"/>
      <c r="J509" s="2373"/>
      <c r="K509" s="2373"/>
      <c r="L509" s="2373"/>
      <c r="M509" s="2373"/>
      <c r="N509" s="2373"/>
      <c r="O509" s="2373"/>
      <c r="P509" s="2373"/>
      <c r="Q509" s="2373"/>
      <c r="R509" s="2373"/>
      <c r="S509" s="2373"/>
      <c r="T509" s="2373"/>
      <c r="U509" s="2373"/>
      <c r="V509" s="2373"/>
      <c r="W509" s="2373"/>
      <c r="X509" s="2373"/>
      <c r="Y509" s="2373"/>
      <c r="Z509" s="2373"/>
      <c r="AA509" s="2373"/>
      <c r="AB509" s="2373"/>
      <c r="AC509" s="2373"/>
      <c r="AD509" s="2373"/>
      <c r="AE509" s="2373"/>
      <c r="AF509" s="162"/>
      <c r="AG509" s="27"/>
      <c r="AH509" s="27"/>
      <c r="AI509" s="27"/>
      <c r="AJ509" s="27"/>
      <c r="AK509" s="1187"/>
      <c r="AL509" s="162"/>
      <c r="AM509" s="46"/>
      <c r="AN509" s="1127"/>
      <c r="AO509" s="132"/>
      <c r="AP509" s="2578" t="s">
        <v>1677</v>
      </c>
      <c r="AQ509" s="2579"/>
      <c r="AR509" s="2580"/>
      <c r="AS509" s="977">
        <v>80</v>
      </c>
      <c r="AT509" s="46">
        <v>0</v>
      </c>
      <c r="AU509" s="243">
        <v>10</v>
      </c>
      <c r="AV509" s="243">
        <v>25</v>
      </c>
      <c r="AW509" s="243">
        <v>37.5</v>
      </c>
      <c r="AX509" s="243">
        <v>35</v>
      </c>
      <c r="AY509" s="243">
        <v>37.5</v>
      </c>
      <c r="AZ509" s="243">
        <v>50</v>
      </c>
      <c r="BA509" s="243">
        <v>50</v>
      </c>
      <c r="BB509" s="65"/>
      <c r="BC509" s="65"/>
      <c r="BE509" s="2578" t="s">
        <v>1677</v>
      </c>
      <c r="BF509" s="2579"/>
      <c r="BG509" s="2580"/>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6"/>
      <c r="D510" s="1197"/>
      <c r="E510" s="1217"/>
      <c r="F510" s="2370" t="s">
        <v>136</v>
      </c>
      <c r="G510" s="2370"/>
      <c r="H510" s="2370"/>
      <c r="I510" s="2370"/>
      <c r="J510" s="2370"/>
      <c r="K510" s="2370"/>
      <c r="L510" s="2370"/>
      <c r="M510" s="2370"/>
      <c r="N510" s="2370"/>
      <c r="O510" s="2370"/>
      <c r="P510" s="2370"/>
      <c r="Q510" s="2370"/>
      <c r="R510" s="2370"/>
      <c r="S510" s="2370"/>
      <c r="T510" s="2370"/>
      <c r="U510" s="2370"/>
      <c r="V510" s="2370"/>
      <c r="W510" s="2370"/>
      <c r="X510" s="2370"/>
      <c r="Y510" s="2370"/>
      <c r="Z510" s="2370"/>
      <c r="AA510" s="1218"/>
      <c r="AB510" s="1219"/>
      <c r="AC510" s="1219"/>
      <c r="AD510" s="1197"/>
      <c r="AE510" s="1197"/>
      <c r="AF510" s="1197"/>
      <c r="AG510" s="1220">
        <f>IF($C$508="Yes",(VLOOKUP($F$510,$AO$478:$AP$486,2,FALSE)),0)</f>
        <v>0</v>
      </c>
      <c r="AH510" s="1221" t="s">
        <v>1078</v>
      </c>
      <c r="AI510" s="1220"/>
      <c r="AJ510" s="1219"/>
      <c r="AK510" s="1198"/>
      <c r="AL510" s="162"/>
      <c r="AM510" s="46"/>
      <c r="AN510" s="1127"/>
      <c r="AO510" s="132"/>
      <c r="AP510" s="2396"/>
      <c r="AQ510" s="2397"/>
      <c r="AR510" s="2398"/>
      <c r="AS510" s="977">
        <v>75</v>
      </c>
      <c r="AT510" s="46">
        <v>0</v>
      </c>
      <c r="AU510" s="243">
        <v>10</v>
      </c>
      <c r="AV510" s="243">
        <v>25</v>
      </c>
      <c r="AW510" s="243">
        <v>37.5</v>
      </c>
      <c r="AX510" s="243">
        <v>35</v>
      </c>
      <c r="AY510" s="243">
        <v>37.5</v>
      </c>
      <c r="AZ510" s="243">
        <v>50</v>
      </c>
      <c r="BA510" s="243">
        <v>50</v>
      </c>
      <c r="BB510" s="65"/>
      <c r="BC510" s="65"/>
      <c r="BE510" s="2396"/>
      <c r="BF510" s="2397"/>
      <c r="BG510" s="239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27"/>
      <c r="AO511" s="132"/>
      <c r="AP511" s="2396"/>
      <c r="AQ511" s="2397"/>
      <c r="AR511" s="2398"/>
      <c r="AS511" s="977">
        <v>70</v>
      </c>
      <c r="AT511" s="46">
        <v>0</v>
      </c>
      <c r="AU511" s="243">
        <v>10</v>
      </c>
      <c r="AV511" s="243">
        <v>25</v>
      </c>
      <c r="AW511" s="243">
        <v>37.5</v>
      </c>
      <c r="AX511" s="243">
        <v>35</v>
      </c>
      <c r="AY511" s="243">
        <v>37.5</v>
      </c>
      <c r="AZ511" s="243">
        <v>50</v>
      </c>
      <c r="BA511" s="243">
        <v>50</v>
      </c>
      <c r="BB511" s="65"/>
      <c r="BC511" s="65"/>
      <c r="BE511" s="2396"/>
      <c r="BF511" s="2397"/>
      <c r="BG511" s="239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1" t="s">
        <v>136</v>
      </c>
      <c r="D512" s="2342"/>
      <c r="E512" s="1233" t="s">
        <v>336</v>
      </c>
      <c r="F512" s="2405" t="s">
        <v>1284</v>
      </c>
      <c r="G512" s="2405"/>
      <c r="H512" s="2405"/>
      <c r="I512" s="2405"/>
      <c r="J512" s="2405"/>
      <c r="K512" s="2405"/>
      <c r="L512" s="2405"/>
      <c r="M512" s="2405"/>
      <c r="N512" s="2405"/>
      <c r="O512" s="2405"/>
      <c r="P512" s="2405"/>
      <c r="Q512" s="2405"/>
      <c r="R512" s="2405"/>
      <c r="S512" s="2405"/>
      <c r="T512" s="2405"/>
      <c r="U512" s="2405"/>
      <c r="V512" s="2405"/>
      <c r="W512" s="2405"/>
      <c r="X512" s="2405"/>
      <c r="Y512" s="2405"/>
      <c r="Z512" s="2405"/>
      <c r="AA512" s="2405"/>
      <c r="AB512" s="2405"/>
      <c r="AC512" s="2405"/>
      <c r="AD512" s="2405"/>
      <c r="AE512" s="2405"/>
      <c r="AF512" s="1179"/>
      <c r="AG512" s="1223"/>
      <c r="AH512" s="1223"/>
      <c r="AI512" s="1223"/>
      <c r="AJ512" s="1223"/>
      <c r="AK512" s="1207"/>
      <c r="AL512" s="162"/>
      <c r="AM512" s="46"/>
      <c r="AN512" s="1127"/>
      <c r="AO512" s="132"/>
      <c r="AP512" s="2396"/>
      <c r="AQ512" s="2397"/>
      <c r="AR512" s="2398"/>
      <c r="AS512" s="977">
        <v>65</v>
      </c>
      <c r="AT512" s="46">
        <v>0</v>
      </c>
      <c r="AU512" s="243">
        <v>10</v>
      </c>
      <c r="AV512" s="243">
        <v>25</v>
      </c>
      <c r="AW512" s="243">
        <v>37.5</v>
      </c>
      <c r="AX512" s="243">
        <v>35</v>
      </c>
      <c r="AY512" s="243">
        <v>37.5</v>
      </c>
      <c r="AZ512" s="243">
        <v>50</v>
      </c>
      <c r="BA512" s="243">
        <v>50</v>
      </c>
      <c r="BB512" s="65"/>
      <c r="BC512" s="65"/>
      <c r="BE512" s="2396"/>
      <c r="BF512" s="2397"/>
      <c r="BG512" s="239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5"/>
      <c r="D513" s="162"/>
      <c r="E513" s="225"/>
      <c r="F513" s="2406"/>
      <c r="G513" s="2406"/>
      <c r="H513" s="2406"/>
      <c r="I513" s="2406"/>
      <c r="J513" s="2406"/>
      <c r="K513" s="2406"/>
      <c r="L513" s="2406"/>
      <c r="M513" s="2406"/>
      <c r="N513" s="2406"/>
      <c r="O513" s="2406"/>
      <c r="P513" s="2406"/>
      <c r="Q513" s="2406"/>
      <c r="R513" s="2406"/>
      <c r="S513" s="2406"/>
      <c r="T513" s="2406"/>
      <c r="U513" s="2406"/>
      <c r="V513" s="2406"/>
      <c r="W513" s="2406"/>
      <c r="X513" s="2406"/>
      <c r="Y513" s="2406"/>
      <c r="Z513" s="2406"/>
      <c r="AA513" s="2406"/>
      <c r="AB513" s="2406"/>
      <c r="AC513" s="2406"/>
      <c r="AD513" s="2406"/>
      <c r="AE513" s="2406"/>
      <c r="AF513" s="162"/>
      <c r="AG513" s="27"/>
      <c r="AH513" s="27"/>
      <c r="AI513" s="27"/>
      <c r="AJ513" s="27"/>
      <c r="AK513" s="1187"/>
      <c r="AL513" s="162"/>
      <c r="AM513" s="46"/>
      <c r="AN513" s="1127"/>
      <c r="AO513" s="132"/>
      <c r="AP513" s="2396"/>
      <c r="AQ513" s="2397"/>
      <c r="AR513" s="2398"/>
      <c r="AS513" s="977">
        <v>60</v>
      </c>
      <c r="AT513" s="46">
        <v>0</v>
      </c>
      <c r="AU513" s="243">
        <v>10</v>
      </c>
      <c r="AV513" s="243">
        <v>25</v>
      </c>
      <c r="AW513" s="243">
        <v>37.5</v>
      </c>
      <c r="AX513" s="243">
        <v>35</v>
      </c>
      <c r="AY513" s="243">
        <v>37.5</v>
      </c>
      <c r="AZ513" s="243">
        <v>50</v>
      </c>
      <c r="BA513" s="243">
        <v>50</v>
      </c>
      <c r="BB513" s="65"/>
      <c r="BC513" s="65"/>
      <c r="BE513" s="2396"/>
      <c r="BF513" s="2397"/>
      <c r="BG513" s="239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0"/>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0"/>
      <c r="AD514" s="162"/>
      <c r="AE514" s="162"/>
      <c r="AF514" s="162"/>
      <c r="AG514" s="175"/>
      <c r="AH514" s="175"/>
      <c r="AI514" s="175"/>
      <c r="AJ514" s="175"/>
      <c r="AK514" s="1187"/>
      <c r="AL514" s="162"/>
      <c r="AM514" s="46"/>
      <c r="AN514" s="1127"/>
      <c r="AP514" s="2396"/>
      <c r="AQ514" s="2397"/>
      <c r="AR514" s="2398"/>
      <c r="AS514" s="977">
        <v>55</v>
      </c>
      <c r="AT514" s="46">
        <v>0</v>
      </c>
      <c r="AU514" s="243">
        <v>10</v>
      </c>
      <c r="AV514" s="243">
        <v>25</v>
      </c>
      <c r="AW514" s="243">
        <v>37.5</v>
      </c>
      <c r="AX514" s="243">
        <v>35</v>
      </c>
      <c r="AY514" s="243">
        <v>37.5</v>
      </c>
      <c r="AZ514" s="243">
        <v>50</v>
      </c>
      <c r="BA514" s="243">
        <v>50</v>
      </c>
      <c r="BE514" s="2396"/>
      <c r="BF514" s="2397"/>
      <c r="BG514" s="239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6"/>
      <c r="D515" s="1197"/>
      <c r="E515" s="1217"/>
      <c r="F515" s="2371" t="s">
        <v>136</v>
      </c>
      <c r="G515" s="2371"/>
      <c r="H515" s="2371"/>
      <c r="I515" s="1219"/>
      <c r="J515" s="1219"/>
      <c r="K515" s="1219"/>
      <c r="L515" s="1219"/>
      <c r="M515" s="1219"/>
      <c r="N515" s="1219"/>
      <c r="O515" s="1219"/>
      <c r="P515" s="1219"/>
      <c r="Q515" s="1219"/>
      <c r="R515" s="1219"/>
      <c r="S515" s="1219"/>
      <c r="T515" s="1219"/>
      <c r="U515" s="1219"/>
      <c r="V515" s="1219"/>
      <c r="W515" s="1219"/>
      <c r="X515" s="1219"/>
      <c r="Y515" s="1219"/>
      <c r="Z515" s="1219"/>
      <c r="AA515" s="1219"/>
      <c r="AB515" s="1219"/>
      <c r="AC515" s="1219"/>
      <c r="AD515" s="1197"/>
      <c r="AE515" s="1197"/>
      <c r="AF515" s="1197"/>
      <c r="AG515" s="1220">
        <f>IF($C$512="Yes",(VLOOKUP($F$515,$AO$488:$AP$490,2,FALSE)),0)</f>
        <v>0</v>
      </c>
      <c r="AH515" s="1221" t="s">
        <v>1078</v>
      </c>
      <c r="AI515" s="1219"/>
      <c r="AJ515" s="1219"/>
      <c r="AK515" s="1198"/>
      <c r="AL515" s="162"/>
      <c r="AM515" s="46"/>
      <c r="AN515" s="1127"/>
      <c r="AP515" s="2396"/>
      <c r="AQ515" s="2397"/>
      <c r="AR515" s="2398"/>
      <c r="AS515" s="242">
        <v>50</v>
      </c>
      <c r="AT515" s="46">
        <v>0</v>
      </c>
      <c r="AU515" s="243">
        <v>10</v>
      </c>
      <c r="AV515" s="243">
        <v>25</v>
      </c>
      <c r="AW515" s="243">
        <v>37.5</v>
      </c>
      <c r="AX515" s="243">
        <v>35</v>
      </c>
      <c r="AY515" s="243">
        <v>37.5</v>
      </c>
      <c r="AZ515" s="243">
        <v>50</v>
      </c>
      <c r="BA515" s="243">
        <v>50</v>
      </c>
      <c r="BE515" s="2396"/>
      <c r="BF515" s="2397"/>
      <c r="BG515" s="239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3"/>
      <c r="AI516" s="27"/>
      <c r="AJ516" s="27"/>
      <c r="AK516" s="162"/>
      <c r="AL516" s="162"/>
      <c r="AM516" s="46"/>
      <c r="AN516" s="1127"/>
      <c r="AP516" s="2396"/>
      <c r="AQ516" s="2397"/>
      <c r="AR516" s="2398"/>
      <c r="AS516" s="242">
        <v>45</v>
      </c>
      <c r="AT516" s="46">
        <v>0</v>
      </c>
      <c r="AU516" s="243">
        <v>10</v>
      </c>
      <c r="AV516" s="243">
        <v>22.5</v>
      </c>
      <c r="AW516" s="243">
        <v>33.799999999999997</v>
      </c>
      <c r="AX516" s="243">
        <v>35</v>
      </c>
      <c r="AY516" s="243">
        <v>37.5</v>
      </c>
      <c r="AZ516" s="243">
        <v>50</v>
      </c>
      <c r="BA516" s="243">
        <v>50</v>
      </c>
      <c r="BE516" s="2396"/>
      <c r="BF516" s="2397"/>
      <c r="BG516" s="239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1" t="s">
        <v>136</v>
      </c>
      <c r="D517" s="2342"/>
      <c r="E517" s="1233" t="s">
        <v>1393</v>
      </c>
      <c r="F517" s="1232" t="s">
        <v>1083</v>
      </c>
      <c r="G517" s="1223"/>
      <c r="H517" s="1223"/>
      <c r="I517" s="1223"/>
      <c r="J517" s="1223"/>
      <c r="K517" s="1223"/>
      <c r="L517" s="1223"/>
      <c r="M517" s="1223"/>
      <c r="N517" s="1223"/>
      <c r="O517" s="1223"/>
      <c r="P517" s="1223"/>
      <c r="Q517" s="1223"/>
      <c r="R517" s="1223"/>
      <c r="S517" s="1223"/>
      <c r="T517" s="1223"/>
      <c r="U517" s="1223"/>
      <c r="V517" s="1223"/>
      <c r="W517" s="1223"/>
      <c r="X517" s="1223"/>
      <c r="Y517" s="1223"/>
      <c r="Z517" s="1223"/>
      <c r="AA517" s="1223"/>
      <c r="AB517" s="1223"/>
      <c r="AC517" s="1236"/>
      <c r="AD517" s="1179"/>
      <c r="AE517" s="1179"/>
      <c r="AF517" s="1179"/>
      <c r="AG517" s="1237"/>
      <c r="AH517" s="1237"/>
      <c r="AI517" s="1237"/>
      <c r="AJ517" s="1237"/>
      <c r="AK517" s="1207"/>
      <c r="AL517" s="162"/>
      <c r="AM517" s="46"/>
      <c r="AN517" s="1127"/>
      <c r="AP517" s="2396"/>
      <c r="AQ517" s="2397"/>
      <c r="AR517" s="2398"/>
      <c r="AS517" s="242">
        <v>40</v>
      </c>
      <c r="AT517" s="46">
        <v>0</v>
      </c>
      <c r="AU517" s="243">
        <v>10</v>
      </c>
      <c r="AV517" s="243">
        <v>20</v>
      </c>
      <c r="AW517" s="243">
        <v>30</v>
      </c>
      <c r="AX517" s="243">
        <v>35</v>
      </c>
      <c r="AY517" s="243">
        <v>37.5</v>
      </c>
      <c r="AZ517" s="243">
        <v>50</v>
      </c>
      <c r="BA517" s="243">
        <v>50</v>
      </c>
      <c r="BE517" s="2396"/>
      <c r="BF517" s="2397"/>
      <c r="BG517" s="239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5"/>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87"/>
      <c r="AL518" s="162"/>
      <c r="AM518" s="46"/>
      <c r="AN518" s="1127"/>
      <c r="AP518" s="2396"/>
      <c r="AQ518" s="2397"/>
      <c r="AR518" s="2398"/>
      <c r="AS518" s="242">
        <v>35</v>
      </c>
      <c r="AT518" s="46">
        <v>0</v>
      </c>
      <c r="AU518" s="243">
        <v>8.8000000000000007</v>
      </c>
      <c r="AV518" s="243">
        <v>17.5</v>
      </c>
      <c r="AW518" s="243">
        <v>26.3</v>
      </c>
      <c r="AX518" s="243">
        <v>35</v>
      </c>
      <c r="AY518" s="243">
        <v>37.5</v>
      </c>
      <c r="AZ518" s="243">
        <v>50</v>
      </c>
      <c r="BA518" s="243">
        <v>50</v>
      </c>
      <c r="BE518" s="2396"/>
      <c r="BF518" s="2397"/>
      <c r="BG518" s="239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15"/>
      <c r="D519" s="2097"/>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0"/>
      <c r="AD519" s="162"/>
      <c r="AE519" s="162"/>
      <c r="AF519" s="162"/>
      <c r="AG519" s="175">
        <f>IF($C$517="Yes",(VLOOKUP($G$520,$AO$495:$AP$498,2,FALSE)),0)</f>
        <v>0</v>
      </c>
      <c r="AH519" s="1153" t="s">
        <v>1078</v>
      </c>
      <c r="AI519" s="27"/>
      <c r="AJ519" s="175"/>
      <c r="AK519" s="1187"/>
      <c r="AL519" s="162"/>
      <c r="AM519" s="46"/>
      <c r="AN519" s="1127"/>
      <c r="AP519" s="2396"/>
      <c r="AQ519" s="2397"/>
      <c r="AR519" s="2398"/>
      <c r="AS519" s="242">
        <v>30</v>
      </c>
      <c r="AT519" s="46">
        <v>0</v>
      </c>
      <c r="AU519" s="243">
        <v>7.5</v>
      </c>
      <c r="AV519" s="243">
        <v>15</v>
      </c>
      <c r="AW519" s="243">
        <v>22.5</v>
      </c>
      <c r="AX519" s="243">
        <v>30</v>
      </c>
      <c r="AY519" s="243">
        <v>37.5</v>
      </c>
      <c r="AZ519" s="243">
        <v>45</v>
      </c>
      <c r="BA519" s="243">
        <v>50</v>
      </c>
      <c r="BE519" s="2396"/>
      <c r="BF519" s="2397"/>
      <c r="BG519" s="239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5"/>
      <c r="D520" s="153"/>
      <c r="E520" s="225"/>
      <c r="F520" s="27"/>
      <c r="G520" s="2611" t="s">
        <v>136</v>
      </c>
      <c r="H520" s="2611"/>
      <c r="I520" s="2611"/>
      <c r="J520" s="2611"/>
      <c r="K520" s="2611"/>
      <c r="L520" s="2611"/>
      <c r="M520" s="2611"/>
      <c r="N520" s="2611"/>
      <c r="O520" s="2611"/>
      <c r="P520" s="2611"/>
      <c r="Q520" s="2611"/>
      <c r="R520" s="2611"/>
      <c r="S520" s="2611"/>
      <c r="T520" s="2611"/>
      <c r="U520" s="2611"/>
      <c r="V520" s="2611"/>
      <c r="W520" s="2611"/>
      <c r="X520" s="2611"/>
      <c r="Y520" s="2611"/>
      <c r="Z520" s="2611"/>
      <c r="AA520" s="2611"/>
      <c r="AB520" s="2611"/>
      <c r="AC520" s="2611"/>
      <c r="AD520" s="2611"/>
      <c r="AE520" s="2611"/>
      <c r="AF520" s="2611"/>
      <c r="AG520" s="162"/>
      <c r="AH520" s="162"/>
      <c r="AI520" s="162"/>
      <c r="AJ520" s="27"/>
      <c r="AK520" s="1187"/>
      <c r="AL520" s="162"/>
      <c r="AM520" s="46"/>
      <c r="AN520" s="1127"/>
      <c r="AP520" s="2396"/>
      <c r="AQ520" s="2397"/>
      <c r="AR520" s="2398"/>
      <c r="AS520" s="242">
        <v>25</v>
      </c>
      <c r="AT520" s="46">
        <v>0</v>
      </c>
      <c r="AU520" s="243">
        <v>6.3</v>
      </c>
      <c r="AV520" s="243">
        <v>12.5</v>
      </c>
      <c r="AW520" s="243">
        <v>18.8</v>
      </c>
      <c r="AX520" s="243">
        <v>25</v>
      </c>
      <c r="AY520" s="243">
        <v>31.3</v>
      </c>
      <c r="AZ520" s="243">
        <v>37.5</v>
      </c>
      <c r="BA520" s="243">
        <v>50</v>
      </c>
      <c r="BE520" s="2396"/>
      <c r="BF520" s="2397"/>
      <c r="BG520" s="239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38"/>
      <c r="D521" s="35"/>
      <c r="E521" s="35"/>
      <c r="F521" s="553"/>
      <c r="G521" s="1239"/>
      <c r="H521" s="1239"/>
      <c r="I521" s="1239"/>
      <c r="J521" s="1239"/>
      <c r="K521" s="1239"/>
      <c r="L521" s="1239"/>
      <c r="M521" s="1239"/>
      <c r="N521" s="1239"/>
      <c r="O521" s="1239"/>
      <c r="P521" s="1239"/>
      <c r="Q521" s="1239"/>
      <c r="R521" s="1239"/>
      <c r="S521" s="1239"/>
      <c r="T521" s="1239"/>
      <c r="U521" s="1239"/>
      <c r="V521" s="1239"/>
      <c r="W521" s="1239"/>
      <c r="X521" s="1239"/>
      <c r="Y521" s="1239"/>
      <c r="Z521" s="1239"/>
      <c r="AA521" s="1239"/>
      <c r="AB521" s="1239"/>
      <c r="AC521" s="1239"/>
      <c r="AD521" s="162"/>
      <c r="AE521" s="162"/>
      <c r="AF521" s="162"/>
      <c r="AG521" s="1239"/>
      <c r="AH521" s="1239"/>
      <c r="AI521" s="1239"/>
      <c r="AJ521" s="1239"/>
      <c r="AK521" s="1187"/>
      <c r="AL521" s="162"/>
      <c r="AM521" s="46"/>
      <c r="AN521" s="1127"/>
      <c r="AP521" s="2396"/>
      <c r="AQ521" s="2397"/>
      <c r="AR521" s="2398"/>
      <c r="AS521" s="242">
        <v>20</v>
      </c>
      <c r="AT521" s="46">
        <v>0</v>
      </c>
      <c r="AU521" s="243">
        <v>5</v>
      </c>
      <c r="AV521" s="243">
        <v>10</v>
      </c>
      <c r="AW521" s="243">
        <v>15</v>
      </c>
      <c r="AX521" s="243">
        <v>20</v>
      </c>
      <c r="AY521" s="243">
        <v>25</v>
      </c>
      <c r="AZ521" s="243">
        <v>30</v>
      </c>
      <c r="BA521" s="243">
        <v>40</v>
      </c>
      <c r="BE521" s="2396"/>
      <c r="BF521" s="2397"/>
      <c r="BG521" s="239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12" t="s">
        <v>136</v>
      </c>
      <c r="D522" s="2613"/>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0"/>
      <c r="AD522" s="162"/>
      <c r="AE522" s="162"/>
      <c r="AF522" s="162"/>
      <c r="AG522" s="175">
        <f>IF(AND($C$522="Yes",$C$517="Yes"),2,0)</f>
        <v>0</v>
      </c>
      <c r="AH522" s="1153" t="s">
        <v>1078</v>
      </c>
      <c r="AI522" s="27"/>
      <c r="AJ522" s="1151"/>
      <c r="AK522" s="1187"/>
      <c r="AL522" s="162"/>
      <c r="AM522" s="46"/>
      <c r="AN522" s="1127"/>
      <c r="AP522" s="2396"/>
      <c r="AQ522" s="2397"/>
      <c r="AR522" s="2398"/>
      <c r="AS522" s="242">
        <v>15</v>
      </c>
      <c r="AT522" s="46">
        <v>0</v>
      </c>
      <c r="AU522" s="243">
        <v>3.8</v>
      </c>
      <c r="AV522" s="243">
        <v>7.5</v>
      </c>
      <c r="AW522" s="243">
        <v>11.3</v>
      </c>
      <c r="AX522" s="243">
        <v>15</v>
      </c>
      <c r="AY522" s="243">
        <v>18.8</v>
      </c>
      <c r="AZ522" s="243">
        <v>22.5</v>
      </c>
      <c r="BA522" s="243">
        <v>30</v>
      </c>
      <c r="BE522" s="2396"/>
      <c r="BF522" s="2397"/>
      <c r="BG522" s="239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27"/>
      <c r="D523" s="1154"/>
      <c r="E523" s="1154"/>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0"/>
      <c r="AD523" s="162"/>
      <c r="AE523" s="162"/>
      <c r="AF523" s="162"/>
      <c r="AG523" s="1151"/>
      <c r="AH523" s="1151"/>
      <c r="AI523" s="1151"/>
      <c r="AJ523" s="1151"/>
      <c r="AK523" s="1187"/>
      <c r="AL523" s="162"/>
      <c r="AM523" s="46"/>
      <c r="AN523" s="1132"/>
      <c r="AP523" s="2399"/>
      <c r="AQ523" s="2400"/>
      <c r="AR523" s="2401"/>
      <c r="AS523" s="242">
        <v>10</v>
      </c>
      <c r="AT523" s="46">
        <v>0</v>
      </c>
      <c r="AU523" s="243">
        <v>2.5</v>
      </c>
      <c r="AV523" s="243">
        <v>5</v>
      </c>
      <c r="AW523" s="243">
        <v>7.5</v>
      </c>
      <c r="AX523" s="243">
        <v>10</v>
      </c>
      <c r="AY523" s="243">
        <v>12.5</v>
      </c>
      <c r="AZ523" s="243">
        <v>15</v>
      </c>
      <c r="BA523" s="243">
        <v>20</v>
      </c>
      <c r="BE523" s="2399"/>
      <c r="BF523" s="2400"/>
      <c r="BG523" s="240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27"/>
      <c r="D524" s="1154"/>
      <c r="E524" s="1154"/>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0"/>
      <c r="AD524" s="153"/>
      <c r="AE524" s="153"/>
      <c r="AF524" s="153"/>
      <c r="AG524" s="1151"/>
      <c r="AH524" s="1151"/>
      <c r="AI524" s="1151"/>
      <c r="AJ524" s="1151"/>
      <c r="AK524" s="1244"/>
      <c r="AL524" s="153"/>
      <c r="AM524" s="153"/>
      <c r="AN524" s="1128"/>
      <c r="AP524" s="136"/>
      <c r="AQ524" s="136"/>
      <c r="AR524" s="136"/>
      <c r="CW524" s="46"/>
    </row>
    <row r="525" spans="1:122" s="46" customFormat="1" ht="12.75" hidden="1" customHeight="1">
      <c r="A525" s="57"/>
      <c r="B525" s="65"/>
      <c r="C525" s="1240"/>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0"/>
      <c r="AH525" s="1150"/>
      <c r="AI525" s="1150"/>
      <c r="AJ525" s="1150"/>
      <c r="AK525" s="1245"/>
      <c r="AL525" s="125"/>
      <c r="AM525" s="65"/>
      <c r="AN525" s="1128"/>
      <c r="AO525" s="8"/>
      <c r="AP525" s="8"/>
      <c r="AQ525" s="8"/>
      <c r="AR525" s="8"/>
    </row>
    <row r="526" spans="1:122" s="46" customFormat="1" ht="12.75" hidden="1" customHeight="1">
      <c r="A526" s="57"/>
      <c r="C526" s="2612" t="s">
        <v>136</v>
      </c>
      <c r="D526" s="2613"/>
      <c r="E526" s="162"/>
      <c r="F526" s="793" t="s">
        <v>964</v>
      </c>
      <c r="G526" s="2378" t="s">
        <v>1087</v>
      </c>
      <c r="H526" s="2378"/>
      <c r="I526" s="2378"/>
      <c r="J526" s="2378"/>
      <c r="K526" s="2378"/>
      <c r="L526" s="2378"/>
      <c r="M526" s="2378"/>
      <c r="N526" s="2378"/>
      <c r="O526" s="2378"/>
      <c r="P526" s="2378"/>
      <c r="Q526" s="2378"/>
      <c r="R526" s="2378"/>
      <c r="S526" s="2378"/>
      <c r="T526" s="2378"/>
      <c r="U526" s="2378"/>
      <c r="V526" s="2378"/>
      <c r="W526" s="2378"/>
      <c r="X526" s="2378"/>
      <c r="Y526" s="2378"/>
      <c r="Z526" s="2378"/>
      <c r="AA526" s="2378"/>
      <c r="AB526" s="2378"/>
      <c r="AC526" s="2378"/>
      <c r="AD526" s="2378"/>
      <c r="AE526" s="2378"/>
      <c r="AF526" s="2378"/>
      <c r="AG526" s="175">
        <f>IF(AND($C$526="Yes",$C$517="Yes"),2,0)</f>
        <v>0</v>
      </c>
      <c r="AH526" s="1153" t="s">
        <v>1078</v>
      </c>
      <c r="AI526" s="27"/>
      <c r="AJ526" s="1151"/>
      <c r="AK526" s="1187"/>
      <c r="AL526" s="162"/>
      <c r="AN526" s="1128"/>
      <c r="AP526" s="253"/>
      <c r="AQ526" s="254"/>
      <c r="AR526" s="254"/>
      <c r="AS526" s="254"/>
      <c r="AT526" s="254"/>
      <c r="AU526" s="254"/>
      <c r="AV526" s="254"/>
      <c r="AW526" s="254"/>
      <c r="AX526" s="254"/>
      <c r="AY526" s="254"/>
      <c r="AZ526" s="255"/>
      <c r="BA526" s="254"/>
      <c r="BB526" s="254"/>
      <c r="BC526" s="138" t="s">
        <v>376</v>
      </c>
      <c r="BD526" s="2606">
        <f>BJ530</f>
        <v>100</v>
      </c>
      <c r="BE526" s="2606"/>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2"/>
      <c r="D527" s="1235"/>
      <c r="E527" s="1217"/>
      <c r="F527" s="1243"/>
      <c r="G527" s="2614"/>
      <c r="H527" s="2614"/>
      <c r="I527" s="2614"/>
      <c r="J527" s="2614"/>
      <c r="K527" s="2614"/>
      <c r="L527" s="2614"/>
      <c r="M527" s="2614"/>
      <c r="N527" s="2614"/>
      <c r="O527" s="2614"/>
      <c r="P527" s="2614"/>
      <c r="Q527" s="2614"/>
      <c r="R527" s="2614"/>
      <c r="S527" s="2614"/>
      <c r="T527" s="2614"/>
      <c r="U527" s="2614"/>
      <c r="V527" s="2614"/>
      <c r="W527" s="2614"/>
      <c r="X527" s="2614"/>
      <c r="Y527" s="2614"/>
      <c r="Z527" s="2614"/>
      <c r="AA527" s="2614"/>
      <c r="AB527" s="2614"/>
      <c r="AC527" s="2614"/>
      <c r="AD527" s="2614"/>
      <c r="AE527" s="2614"/>
      <c r="AF527" s="2614"/>
      <c r="AG527" s="1219"/>
      <c r="AH527" s="1219"/>
      <c r="AI527" s="1219"/>
      <c r="AJ527" s="1219"/>
      <c r="AK527" s="1198"/>
      <c r="AL527" s="162"/>
      <c r="AN527" s="1128"/>
      <c r="AP527" s="253"/>
      <c r="AQ527" s="254"/>
      <c r="AR527" s="254"/>
      <c r="AS527" s="254"/>
      <c r="AT527" s="254"/>
      <c r="AU527" s="254"/>
      <c r="AV527" s="254"/>
      <c r="AW527" s="254"/>
      <c r="AX527" s="254"/>
      <c r="AY527" s="254"/>
      <c r="AZ527" s="255"/>
      <c r="BA527" s="254"/>
      <c r="BB527" s="254"/>
      <c r="BC527" s="99" t="s">
        <v>378</v>
      </c>
      <c r="BD527" s="2606">
        <f>SUM(E583:J591)</f>
        <v>100</v>
      </c>
      <c r="BE527" s="260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52"/>
      <c r="H528" s="1152"/>
      <c r="I528" s="1152"/>
      <c r="J528" s="1152"/>
      <c r="K528" s="1152"/>
      <c r="L528" s="1152"/>
      <c r="M528" s="1152"/>
      <c r="N528" s="1152"/>
      <c r="O528" s="1152"/>
      <c r="P528" s="1152"/>
      <c r="Q528" s="1152"/>
      <c r="R528" s="1152"/>
      <c r="S528" s="1152"/>
      <c r="T528" s="1152"/>
      <c r="U528" s="1152"/>
      <c r="V528" s="1152"/>
      <c r="W528" s="1152"/>
      <c r="X528" s="1152"/>
      <c r="Y528" s="1152"/>
      <c r="Z528" s="1152"/>
      <c r="AA528" s="1152"/>
      <c r="AB528" s="1152"/>
      <c r="AC528" s="1152"/>
      <c r="AD528" s="1152"/>
      <c r="AE528" s="1152"/>
      <c r="AF528" s="1152"/>
      <c r="AG528" s="27"/>
      <c r="AH528" s="27"/>
      <c r="AI528" s="27"/>
      <c r="AJ528" s="27"/>
      <c r="AK528" s="162"/>
      <c r="AL528" s="162"/>
      <c r="AM528" s="46"/>
      <c r="AN528" s="1130"/>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98">
        <v>0</v>
      </c>
      <c r="BK528" s="2599"/>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47" t="s">
        <v>2075</v>
      </c>
      <c r="D529" s="1248"/>
      <c r="E529" s="1249"/>
      <c r="F529" s="1250"/>
      <c r="G529" s="1251"/>
      <c r="H529" s="1251"/>
      <c r="I529" s="1251"/>
      <c r="J529" s="1251"/>
      <c r="K529" s="1251"/>
      <c r="L529" s="1251"/>
      <c r="M529" s="1251"/>
      <c r="N529" s="1251"/>
      <c r="O529" s="1251"/>
      <c r="P529" s="1251"/>
      <c r="Q529" s="1251"/>
      <c r="R529" s="1251"/>
      <c r="S529" s="1251"/>
      <c r="T529" s="1251"/>
      <c r="U529" s="1251"/>
      <c r="V529" s="1251"/>
      <c r="W529" s="1251"/>
      <c r="X529" s="1251"/>
      <c r="Y529" s="1251"/>
      <c r="Z529" s="1251"/>
      <c r="AA529" s="1251"/>
      <c r="AB529" s="1251"/>
      <c r="AC529" s="1251"/>
      <c r="AD529" s="1251"/>
      <c r="AE529" s="1251"/>
      <c r="AF529" s="1251"/>
      <c r="AG529" s="1223"/>
      <c r="AH529" s="1223"/>
      <c r="AI529" s="1223"/>
      <c r="AJ529" s="1223"/>
      <c r="AK529" s="1207"/>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8">
        <f>Application!AG431</f>
        <v>0</v>
      </c>
      <c r="BK529" s="2599"/>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95" t="s">
        <v>136</v>
      </c>
      <c r="D530" s="1688"/>
      <c r="E530" s="792" t="s">
        <v>1394</v>
      </c>
      <c r="F530" s="893" t="s">
        <v>1490</v>
      </c>
      <c r="G530" s="1152"/>
      <c r="H530" s="1152"/>
      <c r="I530" s="1152"/>
      <c r="J530" s="1152"/>
      <c r="K530" s="1152"/>
      <c r="L530" s="1152"/>
      <c r="M530" s="1152"/>
      <c r="N530" s="1152"/>
      <c r="O530" s="1152"/>
      <c r="P530" s="1152"/>
      <c r="Q530" s="1152"/>
      <c r="R530" s="1152"/>
      <c r="S530" s="1152"/>
      <c r="T530" s="1152"/>
      <c r="U530" s="1152"/>
      <c r="V530" s="1152"/>
      <c r="W530" s="1152"/>
      <c r="X530" s="1152"/>
      <c r="Y530" s="1152"/>
      <c r="Z530" s="1152"/>
      <c r="AA530" s="1152"/>
      <c r="AB530" s="1152"/>
      <c r="AC530" s="1152"/>
      <c r="AD530" s="1152"/>
      <c r="AE530" s="1152"/>
      <c r="AF530" s="1152"/>
      <c r="AG530" s="175">
        <f>IF(C$530="Yes",(VLOOKUP(F$531,$AO$501:$AP$504,2,FALSE)),0)</f>
        <v>0</v>
      </c>
      <c r="AH530" s="1153" t="s">
        <v>1078</v>
      </c>
      <c r="AI530" s="27"/>
      <c r="AJ530" s="27"/>
      <c r="AK530" s="1187"/>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8">
        <f>Application!AG433</f>
        <v>100</v>
      </c>
      <c r="BK530" s="2599"/>
      <c r="BM530" s="2455"/>
      <c r="BN530" s="2456"/>
      <c r="BO530" s="2455"/>
      <c r="BP530" s="2456"/>
      <c r="BQ530" s="2470"/>
      <c r="BR530" s="2472"/>
      <c r="BS530" s="2470"/>
      <c r="BT530" s="2472"/>
      <c r="BU530" s="2455">
        <f>IF(T610&gt;0,1,0)</f>
        <v>1</v>
      </c>
      <c r="BV530" s="2456"/>
      <c r="BW530" s="2455">
        <f>IF(Y610&gt;=0.1,1,0)</f>
        <v>1</v>
      </c>
      <c r="BX530" s="2456"/>
      <c r="BY530" s="2470"/>
      <c r="BZ530" s="2472"/>
      <c r="CA530" s="2470"/>
      <c r="CB530" s="2472"/>
      <c r="CC530" s="2455"/>
      <c r="CD530" s="2456"/>
      <c r="CE530" s="2455"/>
      <c r="CF530" s="2456"/>
      <c r="CG530" s="16"/>
      <c r="CH530" s="16"/>
      <c r="CI530" s="16"/>
      <c r="CJ530" s="16"/>
    </row>
    <row r="531" spans="1:101" s="46" customFormat="1" ht="12.75" hidden="1" customHeight="1">
      <c r="A531" s="28"/>
      <c r="C531" s="1241"/>
      <c r="D531" s="153"/>
      <c r="E531" s="225"/>
      <c r="F531" s="1988" t="s">
        <v>136</v>
      </c>
      <c r="G531" s="1988"/>
      <c r="H531" s="1988"/>
      <c r="I531" s="1988"/>
      <c r="J531" s="1988"/>
      <c r="K531" s="1988"/>
      <c r="L531" s="1988"/>
      <c r="M531" s="1988"/>
      <c r="N531" s="1988"/>
      <c r="O531" s="1988"/>
      <c r="P531" s="1988"/>
      <c r="Q531" s="1988"/>
      <c r="R531" s="1988"/>
      <c r="S531" s="1988"/>
      <c r="T531" s="1988"/>
      <c r="U531" s="1988"/>
      <c r="V531" s="1988"/>
      <c r="W531" s="1988"/>
      <c r="X531" s="1988"/>
      <c r="Y531" s="1988"/>
      <c r="Z531" s="1988"/>
      <c r="AA531" s="1988"/>
      <c r="AB531" s="1988"/>
      <c r="AC531" s="1988"/>
      <c r="AD531" s="1988"/>
      <c r="AE531" s="1988"/>
      <c r="AF531" s="1988"/>
      <c r="AG531" s="27"/>
      <c r="AH531" s="27"/>
      <c r="AI531" s="27"/>
      <c r="AJ531" s="27"/>
      <c r="AK531" s="1187"/>
      <c r="AL531" s="162"/>
      <c r="AN531" s="439"/>
      <c r="BM531" s="2455"/>
      <c r="BN531" s="2456"/>
      <c r="BO531" s="2455"/>
      <c r="BP531" s="2456"/>
      <c r="BQ531" s="2470"/>
      <c r="BR531" s="2472"/>
      <c r="BS531" s="2470"/>
      <c r="BT531" s="2472"/>
      <c r="BU531" s="2455"/>
      <c r="BV531" s="2456"/>
      <c r="BW531" s="2455"/>
      <c r="BX531" s="2456"/>
      <c r="BY531" s="2506">
        <f>IF(T611&gt;0,1,0)</f>
        <v>1</v>
      </c>
      <c r="BZ531" s="2508"/>
      <c r="CA531" s="2506">
        <f>IF(Y611&gt;=0.1,1,0)</f>
        <v>1</v>
      </c>
      <c r="CB531" s="2508"/>
      <c r="CC531" s="2455"/>
      <c r="CD531" s="2456"/>
      <c r="CE531" s="2455"/>
      <c r="CF531" s="2456"/>
      <c r="CG531" s="16"/>
      <c r="CH531" s="16"/>
      <c r="CI531" s="16"/>
      <c r="CJ531" s="16"/>
      <c r="CW531" s="16"/>
    </row>
    <row r="532" spans="1:101" s="46" customFormat="1" ht="12.75" hidden="1" customHeight="1">
      <c r="A532" s="28"/>
      <c r="C532" s="1242"/>
      <c r="D532" s="1197"/>
      <c r="E532" s="1217"/>
      <c r="F532" s="2402"/>
      <c r="G532" s="2402"/>
      <c r="H532" s="2402"/>
      <c r="I532" s="2402"/>
      <c r="J532" s="2402"/>
      <c r="K532" s="2402"/>
      <c r="L532" s="2402"/>
      <c r="M532" s="2402"/>
      <c r="N532" s="2402"/>
      <c r="O532" s="2402"/>
      <c r="P532" s="2402"/>
      <c r="Q532" s="2402"/>
      <c r="R532" s="2402"/>
      <c r="S532" s="2402"/>
      <c r="T532" s="2402"/>
      <c r="U532" s="2402"/>
      <c r="V532" s="2402"/>
      <c r="W532" s="2402"/>
      <c r="X532" s="2402"/>
      <c r="Y532" s="2402"/>
      <c r="Z532" s="2402"/>
      <c r="AA532" s="2402"/>
      <c r="AB532" s="2402"/>
      <c r="AC532" s="2402"/>
      <c r="AD532" s="2402"/>
      <c r="AE532" s="2402"/>
      <c r="AF532" s="2402"/>
      <c r="AG532" s="1219"/>
      <c r="AH532" s="1219"/>
      <c r="AI532" s="1219"/>
      <c r="AJ532" s="1219"/>
      <c r="AK532" s="1198"/>
      <c r="AL532" s="162"/>
      <c r="AN532" s="439"/>
      <c r="BM532" s="2455"/>
      <c r="BN532" s="2456"/>
      <c r="BO532" s="2455"/>
      <c r="BP532" s="2456"/>
      <c r="BQ532" s="2470"/>
      <c r="BR532" s="2472"/>
      <c r="BS532" s="2470"/>
      <c r="BT532" s="2472"/>
      <c r="BU532" s="2455"/>
      <c r="BV532" s="2456"/>
      <c r="BW532" s="2455"/>
      <c r="BX532" s="2456"/>
      <c r="BY532" s="2470"/>
      <c r="BZ532" s="2472"/>
      <c r="CA532" s="2470"/>
      <c r="CB532" s="2472"/>
      <c r="CC532" s="2455">
        <f>IF(T612&gt;0,1,0)</f>
        <v>0</v>
      </c>
      <c r="CD532" s="2456"/>
      <c r="CE532" s="2455">
        <f>IF(Y612&gt;=0.1,1,0)</f>
        <v>0</v>
      </c>
      <c r="CF532" s="245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5">
        <f>SUM(BM528:BN532)</f>
        <v>0</v>
      </c>
      <c r="BN533" s="2456"/>
      <c r="BO533" s="2455">
        <f>SUM(BO528:BP532)</f>
        <v>0</v>
      </c>
      <c r="BP533" s="2456"/>
      <c r="BQ533" s="2455">
        <f>SUM(BQ528:BR532)</f>
        <v>0</v>
      </c>
      <c r="BR533" s="2456"/>
      <c r="BS533" s="2455">
        <f>SUM(BS528:BT532)</f>
        <v>0</v>
      </c>
      <c r="BT533" s="2456"/>
      <c r="BU533" s="2455">
        <f>SUM(BU528:BV532)</f>
        <v>1</v>
      </c>
      <c r="BV533" s="2456"/>
      <c r="BW533" s="2455">
        <f>SUM(BW528:BX532)</f>
        <v>1</v>
      </c>
      <c r="BX533" s="2456"/>
      <c r="BY533" s="2455">
        <f>SUM(BY528:BZ532)</f>
        <v>1</v>
      </c>
      <c r="BZ533" s="2456"/>
      <c r="CA533" s="2455">
        <f>SUM(CA528:CB532)</f>
        <v>1</v>
      </c>
      <c r="CB533" s="2456"/>
      <c r="CC533" s="2455">
        <f>SUM(CC528:CD532)</f>
        <v>0</v>
      </c>
      <c r="CD533" s="2456"/>
      <c r="CE533" s="2455">
        <f>SUM(CE528:CF532)</f>
        <v>0</v>
      </c>
      <c r="CF533" s="2456"/>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603" t="s">
        <v>504</v>
      </c>
      <c r="AQ534" s="2604"/>
      <c r="AR534" s="2604"/>
      <c r="AS534" s="2604"/>
      <c r="AT534" s="2605"/>
      <c r="AU534" s="2603" t="s">
        <v>505</v>
      </c>
      <c r="AV534" s="2604"/>
      <c r="AW534" s="2604"/>
      <c r="AX534" s="2604"/>
      <c r="AY534" s="2605"/>
      <c r="BM534" s="2470">
        <f>SUM(BM533:BP533)</f>
        <v>0</v>
      </c>
      <c r="BN534" s="2471"/>
      <c r="BO534" s="2471"/>
      <c r="BP534" s="2472"/>
      <c r="BQ534" s="2470">
        <f>SUM(BQ533:BT533)</f>
        <v>0</v>
      </c>
      <c r="BR534" s="2471"/>
      <c r="BS534" s="2471"/>
      <c r="BT534" s="2472"/>
      <c r="BU534" s="2470">
        <f>SUM(BU533:BX533)</f>
        <v>2</v>
      </c>
      <c r="BV534" s="2471"/>
      <c r="BW534" s="2471"/>
      <c r="BX534" s="2472"/>
      <c r="BY534" s="2470">
        <f>SUM(BY533:CB533)</f>
        <v>2</v>
      </c>
      <c r="BZ534" s="2471"/>
      <c r="CA534" s="2471"/>
      <c r="CB534" s="2472"/>
      <c r="CC534" s="2470">
        <f>SUM(CC533:CF533)</f>
        <v>0</v>
      </c>
      <c r="CD534" s="2471"/>
      <c r="CE534" s="2471"/>
      <c r="CF534" s="2472"/>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600">
        <f>RANK(T608,$T$608:$X$612,0)+COUNTIF($T$608:$X$612,T608)-1</f>
        <v>5</v>
      </c>
      <c r="AQ535" s="2601"/>
      <c r="AR535" s="2601"/>
      <c r="AS535" s="2601"/>
      <c r="AT535" s="2602"/>
      <c r="AU535" s="2600">
        <f>RANK(Y608,$Y$608:$AC$612,0)+COUNTIF($Y$608:$AC$612,Y608)-1</f>
        <v>5</v>
      </c>
      <c r="AV535" s="2601"/>
      <c r="AW535" s="2601"/>
      <c r="AX535" s="2601"/>
      <c r="AY535" s="2602"/>
      <c r="BM535" s="2470"/>
      <c r="BN535" s="2471"/>
      <c r="BO535" s="2471"/>
      <c r="BP535" s="2472"/>
      <c r="BQ535" s="2470">
        <f>IF(AND(BQ534=2,BM534=1),1,0)</f>
        <v>0</v>
      </c>
      <c r="BR535" s="2471"/>
      <c r="BS535" s="2471"/>
      <c r="BT535" s="2472"/>
      <c r="BU535" s="2470">
        <f>IF(AND(BU534=2,BQ534=1),1,0)</f>
        <v>0</v>
      </c>
      <c r="BV535" s="2471"/>
      <c r="BW535" s="2471"/>
      <c r="BX535" s="2472"/>
      <c r="BY535" s="2470">
        <f>IF(AND(BY534=2,BU534=1),1,0)</f>
        <v>0</v>
      </c>
      <c r="BZ535" s="2471"/>
      <c r="CA535" s="2471"/>
      <c r="CB535" s="2472"/>
      <c r="CC535" s="2470">
        <f>IF(AND(CC534=2,BU534=1),1,0)</f>
        <v>0</v>
      </c>
      <c r="CD535" s="2471"/>
      <c r="CE535" s="2471"/>
      <c r="CF535" s="2472"/>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600">
        <f>RANK(T609,$T$608:$X$612,0)+COUNTIF($T$608:$X$612,T609)-1</f>
        <v>5</v>
      </c>
      <c r="AQ536" s="2601"/>
      <c r="AR536" s="2601"/>
      <c r="AS536" s="2601"/>
      <c r="AT536" s="2602"/>
      <c r="AU536" s="2600">
        <f>RANK(Y609,$Y$608:$AC$612,0)+COUNTIF($Y$608:$AC$612,Y609)-1</f>
        <v>5</v>
      </c>
      <c r="AV536" s="2601"/>
      <c r="AW536" s="2601"/>
      <c r="AX536" s="2601"/>
      <c r="AY536" s="2602"/>
      <c r="BM536" s="2470"/>
      <c r="BN536" s="2471"/>
      <c r="BO536" s="2471"/>
      <c r="BP536" s="2472"/>
      <c r="BQ536" s="2470"/>
      <c r="BR536" s="2471"/>
      <c r="BS536" s="2471"/>
      <c r="BT536" s="2472"/>
      <c r="BU536" s="2470">
        <f>IF(AND(BU534=2,BM534=1),1,0)</f>
        <v>0</v>
      </c>
      <c r="BV536" s="2471"/>
      <c r="BW536" s="2471"/>
      <c r="BX536" s="2472"/>
      <c r="BY536" s="2470">
        <f>IF(AND(BY534=2,BQ534=1),1,0)</f>
        <v>0</v>
      </c>
      <c r="BZ536" s="2471"/>
      <c r="CA536" s="2471"/>
      <c r="CB536" s="2472"/>
      <c r="CC536" s="2470">
        <f>IF(AND(CC535=2,BY535=1),1,0)</f>
        <v>0</v>
      </c>
      <c r="CD536" s="2471"/>
      <c r="CE536" s="2471"/>
      <c r="CF536" s="2472"/>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600">
        <f>RANK(T610,$T$608:$X$612,0)+COUNTIF($T$608:$X$612,T610)-1</f>
        <v>2</v>
      </c>
      <c r="AQ537" s="2601"/>
      <c r="AR537" s="2601"/>
      <c r="AS537" s="2601"/>
      <c r="AT537" s="2602"/>
      <c r="AU537" s="2600">
        <f>RANK(Y610,$Y$608:$AC$612,0)+COUNTIF($Y$608:$AC$612,Y610)-1</f>
        <v>2</v>
      </c>
      <c r="AV537" s="2601"/>
      <c r="AW537" s="2601"/>
      <c r="AX537" s="2601"/>
      <c r="AY537" s="2602"/>
      <c r="BM537" s="2470"/>
      <c r="BN537" s="2471"/>
      <c r="BO537" s="2471"/>
      <c r="BP537" s="2472"/>
      <c r="BQ537" s="2470"/>
      <c r="BR537" s="2471"/>
      <c r="BS537" s="2471"/>
      <c r="BT537" s="2472"/>
      <c r="BU537" s="2470"/>
      <c r="BV537" s="2471"/>
      <c r="BW537" s="2471"/>
      <c r="BX537" s="2472"/>
      <c r="BY537" s="2470">
        <f>IF(AND(BY534=2,BM534=1),1,0)</f>
        <v>0</v>
      </c>
      <c r="BZ537" s="2471"/>
      <c r="CA537" s="2471"/>
      <c r="CB537" s="2472"/>
      <c r="CC537" s="2470">
        <f>IF(AND(CC534=2,BQ534=1),1,0)</f>
        <v>0</v>
      </c>
      <c r="CD537" s="2471"/>
      <c r="CE537" s="2471"/>
      <c r="CF537" s="2472"/>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600">
        <f>RANK(T611,$T$608:$X$612,0)+COUNTIF($T$608:$X$612,T611)-1</f>
        <v>1</v>
      </c>
      <c r="AQ538" s="2601"/>
      <c r="AR538" s="2601"/>
      <c r="AS538" s="2601"/>
      <c r="AT538" s="2602"/>
      <c r="AU538" s="2600">
        <f>RANK(Y611,$Y$608:$AC$612,0)+COUNTIF($Y$608:$AC$612,Y611)-1</f>
        <v>1</v>
      </c>
      <c r="AV538" s="2601"/>
      <c r="AW538" s="2601"/>
      <c r="AX538" s="2601"/>
      <c r="AY538" s="2602"/>
      <c r="BM538" s="2470"/>
      <c r="BN538" s="2471"/>
      <c r="BO538" s="2471"/>
      <c r="BP538" s="2472"/>
      <c r="BQ538" s="2470"/>
      <c r="BR538" s="2471"/>
      <c r="BS538" s="2471"/>
      <c r="BT538" s="2472"/>
      <c r="BU538" s="2470"/>
      <c r="BV538" s="2471"/>
      <c r="BW538" s="2471"/>
      <c r="BX538" s="2472"/>
      <c r="BY538" s="2470"/>
      <c r="BZ538" s="2471"/>
      <c r="CA538" s="2471"/>
      <c r="CB538" s="2472"/>
      <c r="CC538" s="2470">
        <f>IF(AND(CC534=2,BM534=1),1,0)</f>
        <v>0</v>
      </c>
      <c r="CD538" s="2471"/>
      <c r="CE538" s="2471"/>
      <c r="CF538" s="2472"/>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600">
        <f>RANK(T612,$T$608:$X$612,0)+COUNTIF($T$608:$X$612,T612)-1</f>
        <v>5</v>
      </c>
      <c r="AQ539" s="2601"/>
      <c r="AR539" s="2601"/>
      <c r="AS539" s="2601"/>
      <c r="AT539" s="2602"/>
      <c r="AU539" s="2600">
        <f>RANK(Y612,$Y$608:$AC$612,0)+COUNTIF($Y$608:$AC$612,Y612)-1</f>
        <v>5</v>
      </c>
      <c r="AV539" s="2601"/>
      <c r="AW539" s="2601"/>
      <c r="AX539" s="2601"/>
      <c r="AY539" s="2602"/>
      <c r="BM539" s="2470">
        <f>SUM(BM535:BP538)</f>
        <v>0</v>
      </c>
      <c r="BN539" s="2471"/>
      <c r="BO539" s="2471"/>
      <c r="BP539" s="2472"/>
      <c r="BQ539" s="2470">
        <f>SUM(BQ535:BT538)</f>
        <v>0</v>
      </c>
      <c r="BR539" s="2471"/>
      <c r="BS539" s="2471"/>
      <c r="BT539" s="2472"/>
      <c r="BU539" s="2470">
        <f>SUM(BU535:BX538)</f>
        <v>0</v>
      </c>
      <c r="BV539" s="2471"/>
      <c r="BW539" s="2471"/>
      <c r="BX539" s="2472"/>
      <c r="BY539" s="2470">
        <f>SUM(BY535:CB538)</f>
        <v>0</v>
      </c>
      <c r="BZ539" s="2471"/>
      <c r="CA539" s="2471"/>
      <c r="CB539" s="2472"/>
      <c r="CC539" s="2470">
        <f>SUM(CC535:CF538)</f>
        <v>0</v>
      </c>
      <c r="CD539" s="2471"/>
      <c r="CE539" s="2471"/>
      <c r="CF539" s="2472"/>
      <c r="CG539" s="2470">
        <f>SUM(BM539:CF539)</f>
        <v>0</v>
      </c>
      <c r="CH539" s="2471"/>
      <c r="CI539" s="2471"/>
      <c r="CJ539" s="2472"/>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0" t="s">
        <v>196</v>
      </c>
      <c r="AK542" s="2365">
        <f>SUM(AG486:AG531)</f>
        <v>0</v>
      </c>
      <c r="AL542" s="2366"/>
      <c r="AM542" s="2367"/>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55">
        <f>SUM(O608:S612)</f>
        <v>100</v>
      </c>
      <c r="AZ543" s="2456"/>
      <c r="CG543" s="35"/>
      <c r="CH543" s="2505" t="s">
        <v>848</v>
      </c>
      <c r="CI543" s="1952"/>
      <c r="CJ543" s="1952"/>
      <c r="CK543" s="195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55" t="str">
        <f>IF(AY543=BK570,"passed","failed")</f>
        <v>passed</v>
      </c>
      <c r="AT544" s="2461"/>
      <c r="AU544" s="2456"/>
      <c r="AV544" s="233"/>
      <c r="AW544" s="233"/>
      <c r="AX544" s="233"/>
      <c r="AY544" s="233"/>
      <c r="AZ544" s="234"/>
      <c r="CG544" s="35"/>
      <c r="CH544" s="1954"/>
      <c r="CI544" s="1955"/>
      <c r="CJ544" s="1955"/>
      <c r="CK544" s="1956"/>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0" t="s">
        <v>409</v>
      </c>
      <c r="AF545" s="2420"/>
      <c r="AG545" s="2420"/>
      <c r="AH545" s="2420"/>
      <c r="AI545" s="2420"/>
      <c r="AJ545" s="2420"/>
      <c r="AK545" s="2420"/>
      <c r="AL545" s="1292"/>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54"/>
      <c r="CI545" s="1955"/>
      <c r="CJ545" s="1955"/>
      <c r="CK545" s="1956"/>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8" t="s">
        <v>199</v>
      </c>
      <c r="AH546" s="2368"/>
      <c r="AI546" s="2368"/>
      <c r="AJ546" s="2368"/>
      <c r="AK546" s="26"/>
      <c r="AL546" s="1292"/>
      <c r="AM546" s="65"/>
      <c r="AN546" s="439"/>
      <c r="BE546" s="2470" t="s">
        <v>249</v>
      </c>
      <c r="BF546" s="2471"/>
      <c r="BG546" s="2471"/>
      <c r="BH546" s="2472"/>
      <c r="BI546" s="2470" t="s">
        <v>783</v>
      </c>
      <c r="BJ546" s="2471"/>
      <c r="BK546" s="2471"/>
      <c r="BL546" s="2472"/>
      <c r="BM546" s="2470" t="s">
        <v>784</v>
      </c>
      <c r="BN546" s="2471"/>
      <c r="BO546" s="2471"/>
      <c r="BP546" s="2472"/>
      <c r="BQ546" s="2470" t="s">
        <v>785</v>
      </c>
      <c r="BR546" s="2471"/>
      <c r="BS546" s="2471"/>
      <c r="BT546" s="2472"/>
      <c r="BU546" s="2470" t="s">
        <v>786</v>
      </c>
      <c r="BV546" s="2471"/>
      <c r="BW546" s="2471"/>
      <c r="BX546" s="2472"/>
      <c r="BY546" s="2470" t="s">
        <v>250</v>
      </c>
      <c r="BZ546" s="2471"/>
      <c r="CA546" s="2471"/>
      <c r="CB546" s="2472"/>
      <c r="CC546" s="16"/>
      <c r="CG546" s="16"/>
      <c r="CH546" s="1954"/>
      <c r="CI546" s="1955"/>
      <c r="CJ546" s="1955"/>
      <c r="CK546" s="1956"/>
    </row>
    <row r="547" spans="1:89" s="46" customFormat="1" ht="12.75" customHeight="1">
      <c r="A547" s="152"/>
      <c r="B547" s="2581" t="s">
        <v>1936</v>
      </c>
      <c r="C547" s="2581"/>
      <c r="D547" s="2581"/>
      <c r="E547" s="2581"/>
      <c r="F547" s="2581"/>
      <c r="G547" s="2581"/>
      <c r="H547" s="2581"/>
      <c r="I547" s="2581"/>
      <c r="J547" s="2581"/>
      <c r="K547" s="2581"/>
      <c r="L547" s="2581"/>
      <c r="M547" s="2581"/>
      <c r="N547" s="2581"/>
      <c r="O547" s="2581"/>
      <c r="P547" s="2581"/>
      <c r="Q547" s="2581"/>
      <c r="R547" s="2581"/>
      <c r="S547" s="2581"/>
      <c r="T547" s="2581"/>
      <c r="U547" s="2581"/>
      <c r="V547" s="2581"/>
      <c r="W547" s="2581"/>
      <c r="X547" s="2581"/>
      <c r="Y547" s="2581"/>
      <c r="Z547" s="2581"/>
      <c r="AA547" s="2581"/>
      <c r="AB547" s="2581"/>
      <c r="AC547" s="2581"/>
      <c r="AD547" s="2581"/>
      <c r="AE547" s="2581"/>
      <c r="AF547" s="2581"/>
      <c r="AG547" s="2581"/>
      <c r="AK547" s="65"/>
      <c r="AL547" s="65"/>
      <c r="AM547" s="153"/>
      <c r="AN547" s="439"/>
      <c r="AP547" s="690" t="s">
        <v>679</v>
      </c>
      <c r="AQ547" s="691"/>
      <c r="AR547" s="691"/>
      <c r="AS547" s="691"/>
      <c r="AT547" s="691"/>
      <c r="AU547" s="691"/>
      <c r="AV547" s="692"/>
      <c r="AW547" s="691"/>
      <c r="AX547" s="691"/>
      <c r="AY547" s="692"/>
      <c r="BE547" s="2455">
        <f>IF(CH548=1,0,1)</f>
        <v>0</v>
      </c>
      <c r="BF547" s="2461"/>
      <c r="BG547" s="2461"/>
      <c r="BH547" s="2456"/>
      <c r="BI547" s="2455"/>
      <c r="BJ547" s="2461"/>
      <c r="BK547" s="2461"/>
      <c r="BL547" s="2456"/>
      <c r="BM547" s="2455"/>
      <c r="BN547" s="2461"/>
      <c r="BO547" s="2461"/>
      <c r="BP547" s="2456"/>
      <c r="BQ547" s="2455"/>
      <c r="BR547" s="2461"/>
      <c r="BS547" s="2461"/>
      <c r="BT547" s="2456"/>
      <c r="BU547" s="2506"/>
      <c r="BV547" s="2507"/>
      <c r="BW547" s="2507"/>
      <c r="BX547" s="2508"/>
      <c r="BY547" s="2506"/>
      <c r="BZ547" s="2507"/>
      <c r="CA547" s="2507"/>
      <c r="CB547" s="2508"/>
      <c r="CC547" s="16"/>
      <c r="CG547" s="16"/>
      <c r="CH547" s="1957"/>
      <c r="CI547" s="1958"/>
      <c r="CJ547" s="1958"/>
      <c r="CK547" s="1959"/>
    </row>
    <row r="548" spans="1:89" s="46" customFormat="1" ht="12.75" customHeight="1">
      <c r="A548" s="29"/>
      <c r="B548" s="2581"/>
      <c r="C548" s="2581"/>
      <c r="D548" s="2581"/>
      <c r="E548" s="2581"/>
      <c r="F548" s="2581"/>
      <c r="G548" s="2581"/>
      <c r="H548" s="2581"/>
      <c r="I548" s="2581"/>
      <c r="J548" s="2581"/>
      <c r="K548" s="2581"/>
      <c r="L548" s="2581"/>
      <c r="M548" s="2581"/>
      <c r="N548" s="2581"/>
      <c r="O548" s="2581"/>
      <c r="P548" s="2581"/>
      <c r="Q548" s="2581"/>
      <c r="R548" s="2581"/>
      <c r="S548" s="2581"/>
      <c r="T548" s="2581"/>
      <c r="U548" s="2581"/>
      <c r="V548" s="2581"/>
      <c r="W548" s="2581"/>
      <c r="X548" s="2581"/>
      <c r="Y548" s="2581"/>
      <c r="Z548" s="2581"/>
      <c r="AA548" s="2581"/>
      <c r="AB548" s="2581"/>
      <c r="AC548" s="2581"/>
      <c r="AD548" s="2581"/>
      <c r="AE548" s="2581"/>
      <c r="AF548" s="2581"/>
      <c r="AG548" s="2581"/>
      <c r="AK548" s="246"/>
      <c r="AL548" s="246"/>
      <c r="AM548" s="246"/>
      <c r="AN548" s="439"/>
      <c r="AP548" s="693" t="s">
        <v>677</v>
      </c>
      <c r="AQ548" s="694"/>
      <c r="AR548" s="694"/>
      <c r="AS548" s="694"/>
      <c r="AT548" s="694"/>
      <c r="AU548" s="2495">
        <f>ROUNDUP(BK570*0.1,0)</f>
        <v>10</v>
      </c>
      <c r="AV548" s="2497"/>
      <c r="AW548" s="694"/>
      <c r="AX548" s="694">
        <f>AU548-AP550</f>
        <v>-35</v>
      </c>
      <c r="AY548" s="695"/>
      <c r="BE548" s="2455"/>
      <c r="BF548" s="2461"/>
      <c r="BG548" s="2461"/>
      <c r="BH548" s="2456"/>
      <c r="BI548" s="2455">
        <f>IF(AND(CH549=1,BE547=0),0,1)</f>
        <v>0</v>
      </c>
      <c r="BJ548" s="2461"/>
      <c r="BK548" s="2461"/>
      <c r="BL548" s="2456"/>
      <c r="BM548" s="2455"/>
      <c r="BN548" s="2461"/>
      <c r="BO548" s="2461"/>
      <c r="BP548" s="2456"/>
      <c r="BQ548" s="2455"/>
      <c r="BR548" s="2461"/>
      <c r="BS548" s="2461"/>
      <c r="BT548" s="2456"/>
      <c r="BU548" s="2506"/>
      <c r="BV548" s="2507"/>
      <c r="BW548" s="2507"/>
      <c r="BX548" s="2508"/>
      <c r="BY548" s="2506"/>
      <c r="BZ548" s="2507"/>
      <c r="CA548" s="2507"/>
      <c r="CB548" s="2508"/>
      <c r="CC548" s="16"/>
      <c r="CG548" s="16"/>
      <c r="CH548" s="2470">
        <f>IF(OR(Y608=0,Y608&gt;=0.1),1,0)</f>
        <v>1</v>
      </c>
      <c r="CI548" s="2471"/>
      <c r="CJ548" s="2471"/>
      <c r="CK548" s="2472"/>
    </row>
    <row r="549" spans="1:89" s="46" customFormat="1" ht="12.75" customHeight="1">
      <c r="A549" s="28"/>
      <c r="B549" s="2581"/>
      <c r="C549" s="2581"/>
      <c r="D549" s="2581"/>
      <c r="E549" s="2581"/>
      <c r="F549" s="2581"/>
      <c r="G549" s="2581"/>
      <c r="H549" s="2581"/>
      <c r="I549" s="2581"/>
      <c r="J549" s="2581"/>
      <c r="K549" s="2581"/>
      <c r="L549" s="2581"/>
      <c r="M549" s="2581"/>
      <c r="N549" s="2581"/>
      <c r="O549" s="2581"/>
      <c r="P549" s="2581"/>
      <c r="Q549" s="2581"/>
      <c r="R549" s="2581"/>
      <c r="S549" s="2581"/>
      <c r="T549" s="2581"/>
      <c r="U549" s="2581"/>
      <c r="V549" s="2581"/>
      <c r="W549" s="2581"/>
      <c r="X549" s="2581"/>
      <c r="Y549" s="2581"/>
      <c r="Z549" s="2581"/>
      <c r="AA549" s="2581"/>
      <c r="AB549" s="2581"/>
      <c r="AC549" s="2581"/>
      <c r="AD549" s="2581"/>
      <c r="AE549" s="2581"/>
      <c r="AF549" s="2581"/>
      <c r="AG549" s="2581"/>
      <c r="AH549" s="245"/>
      <c r="AI549" s="245"/>
      <c r="AJ549" s="245"/>
      <c r="AK549" s="246"/>
      <c r="AL549" s="246"/>
      <c r="AM549" s="246"/>
      <c r="AN549" s="439"/>
      <c r="AP549" s="693"/>
      <c r="AQ549" s="694"/>
      <c r="AR549" s="694"/>
      <c r="AS549" s="694"/>
      <c r="AT549" s="694"/>
      <c r="AU549" s="694"/>
      <c r="AV549" s="695"/>
      <c r="AW549" s="694"/>
      <c r="AX549" s="694"/>
      <c r="AY549" s="695"/>
      <c r="BE549" s="2455"/>
      <c r="BF549" s="2461"/>
      <c r="BG549" s="2461"/>
      <c r="BH549" s="2456"/>
      <c r="BI549" s="2455"/>
      <c r="BJ549" s="2461"/>
      <c r="BK549" s="2461"/>
      <c r="BL549" s="2456"/>
      <c r="BM549" s="2455">
        <f>IF(AND(AND(CH550=1,BI548=0,BE547=0)),0,1)</f>
        <v>0</v>
      </c>
      <c r="BN549" s="2461"/>
      <c r="BO549" s="2461"/>
      <c r="BP549" s="2456"/>
      <c r="BQ549" s="2455"/>
      <c r="BR549" s="2461"/>
      <c r="BS549" s="2461"/>
      <c r="BT549" s="2456"/>
      <c r="BU549" s="2506"/>
      <c r="BV549" s="2507"/>
      <c r="BW549" s="2507"/>
      <c r="BX549" s="2508"/>
      <c r="BY549" s="2506"/>
      <c r="BZ549" s="2507"/>
      <c r="CA549" s="2507"/>
      <c r="CB549" s="2508"/>
      <c r="CC549" s="16"/>
      <c r="CG549" s="16"/>
      <c r="CH549" s="2470">
        <f>IF(OR(Y609=0,Y609&gt;=0.1),1,0)</f>
        <v>1</v>
      </c>
      <c r="CI549" s="2471"/>
      <c r="CJ549" s="2471"/>
      <c r="CK549" s="2472"/>
    </row>
    <row r="550" spans="1:89" s="46" customFormat="1" ht="12.75" customHeight="1">
      <c r="A550" s="28"/>
      <c r="B550" s="2581"/>
      <c r="C550" s="2581"/>
      <c r="D550" s="2581"/>
      <c r="E550" s="2581"/>
      <c r="F550" s="2581"/>
      <c r="G550" s="2581"/>
      <c r="H550" s="2581"/>
      <c r="I550" s="2581"/>
      <c r="J550" s="2581"/>
      <c r="K550" s="2581"/>
      <c r="L550" s="2581"/>
      <c r="M550" s="2581"/>
      <c r="N550" s="2581"/>
      <c r="O550" s="2581"/>
      <c r="P550" s="2581"/>
      <c r="Q550" s="2581"/>
      <c r="R550" s="2581"/>
      <c r="S550" s="2581"/>
      <c r="T550" s="2581"/>
      <c r="U550" s="2581"/>
      <c r="V550" s="2581"/>
      <c r="W550" s="2581"/>
      <c r="X550" s="2581"/>
      <c r="Y550" s="2581"/>
      <c r="Z550" s="2581"/>
      <c r="AA550" s="2581"/>
      <c r="AB550" s="2581"/>
      <c r="AC550" s="2581"/>
      <c r="AD550" s="2581"/>
      <c r="AE550" s="2581"/>
      <c r="AF550" s="2581"/>
      <c r="AG550" s="2581"/>
      <c r="AH550" s="245"/>
      <c r="AI550" s="245"/>
      <c r="AJ550" s="245"/>
      <c r="AK550" s="246"/>
      <c r="AL550" s="246"/>
      <c r="AM550" s="246"/>
      <c r="AN550" s="439"/>
      <c r="AP550" s="2583">
        <f>SUM(T608:X612)</f>
        <v>45</v>
      </c>
      <c r="AQ550" s="2584"/>
      <c r="AR550" s="2584"/>
      <c r="AS550" s="2584"/>
      <c r="AT550" s="2585"/>
      <c r="AU550" s="694"/>
      <c r="AV550" s="695"/>
      <c r="AW550" s="694"/>
      <c r="AX550" s="694"/>
      <c r="AY550" s="695"/>
      <c r="BE550" s="2455"/>
      <c r="BF550" s="2461"/>
      <c r="BG550" s="2461"/>
      <c r="BH550" s="2456"/>
      <c r="BI550" s="2455"/>
      <c r="BJ550" s="2461"/>
      <c r="BK550" s="2461"/>
      <c r="BL550" s="2456"/>
      <c r="BM550" s="2455"/>
      <c r="BN550" s="2461"/>
      <c r="BO550" s="2461"/>
      <c r="BP550" s="2456"/>
      <c r="BQ550" s="2455">
        <f>IF(AND(AND(AND(CH551=1,BM549=0,BI548=0,BE547=0))),0,1)</f>
        <v>0</v>
      </c>
      <c r="BR550" s="2461"/>
      <c r="BS550" s="2461"/>
      <c r="BT550" s="2456"/>
      <c r="BU550" s="2506"/>
      <c r="BV550" s="2507"/>
      <c r="BW550" s="2507"/>
      <c r="BX550" s="2508"/>
      <c r="BY550" s="2506"/>
      <c r="BZ550" s="2507"/>
      <c r="CA550" s="2507"/>
      <c r="CB550" s="2508"/>
      <c r="CC550" s="16"/>
      <c r="CG550" s="16"/>
      <c r="CH550" s="2470">
        <f>IF(OR(Y610=0,Y610&gt;=0.1),1,0)</f>
        <v>1</v>
      </c>
      <c r="CI550" s="2471"/>
      <c r="CJ550" s="2471"/>
      <c r="CK550" s="2472"/>
    </row>
    <row r="551" spans="1:89" s="46" customFormat="1" ht="12.75" customHeight="1">
      <c r="A551" s="28"/>
      <c r="B551" s="2581"/>
      <c r="C551" s="2581"/>
      <c r="D551" s="2581"/>
      <c r="E551" s="2581"/>
      <c r="F551" s="2581"/>
      <c r="G551" s="2581"/>
      <c r="H551" s="2581"/>
      <c r="I551" s="2581"/>
      <c r="J551" s="2581"/>
      <c r="K551" s="2581"/>
      <c r="L551" s="2581"/>
      <c r="M551" s="2581"/>
      <c r="N551" s="2581"/>
      <c r="O551" s="2581"/>
      <c r="P551" s="2581"/>
      <c r="Q551" s="2581"/>
      <c r="R551" s="2581"/>
      <c r="S551" s="2581"/>
      <c r="T551" s="2581"/>
      <c r="U551" s="2581"/>
      <c r="V551" s="2581"/>
      <c r="W551" s="2581"/>
      <c r="X551" s="2581"/>
      <c r="Y551" s="2581"/>
      <c r="Z551" s="2581"/>
      <c r="AA551" s="2581"/>
      <c r="AB551" s="2581"/>
      <c r="AC551" s="2581"/>
      <c r="AD551" s="2581"/>
      <c r="AE551" s="2581"/>
      <c r="AF551" s="2581"/>
      <c r="AG551" s="2581"/>
      <c r="AH551" s="245"/>
      <c r="AI551" s="245"/>
      <c r="AJ551" s="245"/>
      <c r="AK551" s="246"/>
      <c r="AL551" s="246"/>
      <c r="AM551" s="246"/>
      <c r="AN551" s="439"/>
      <c r="AP551" s="696"/>
      <c r="AQ551" s="697"/>
      <c r="AR551" s="697"/>
      <c r="AS551" s="697"/>
      <c r="AT551" s="698" t="s">
        <v>672</v>
      </c>
      <c r="AU551" s="2495" t="str">
        <f>IF(AP550&gt;=AU548,"passed","failed")</f>
        <v>passed</v>
      </c>
      <c r="AV551" s="2496"/>
      <c r="AW551" s="2497"/>
      <c r="AX551" s="699"/>
      <c r="AY551" s="700"/>
      <c r="BE551" s="2455"/>
      <c r="BF551" s="2461"/>
      <c r="BG551" s="2461"/>
      <c r="BH551" s="2456"/>
      <c r="BI551" s="2455"/>
      <c r="BJ551" s="2461"/>
      <c r="BK551" s="2461"/>
      <c r="BL551" s="2456"/>
      <c r="BM551" s="2455"/>
      <c r="BN551" s="2461"/>
      <c r="BO551" s="2461"/>
      <c r="BP551" s="2456"/>
      <c r="BQ551" s="2455"/>
      <c r="BR551" s="2461"/>
      <c r="BS551" s="2461"/>
      <c r="BT551" s="2456"/>
      <c r="BU551" s="2455">
        <f>IF(AND(AND(AND(AND(CH552=1,BQ550=0,BM549=0,BI548=0,BE547=0)))),0,1)</f>
        <v>0</v>
      </c>
      <c r="BV551" s="2461"/>
      <c r="BW551" s="2461"/>
      <c r="BX551" s="2456"/>
      <c r="BY551" s="2506"/>
      <c r="BZ551" s="2507"/>
      <c r="CA551" s="2507"/>
      <c r="CB551" s="2508"/>
      <c r="CC551" s="16"/>
      <c r="CD551" s="16"/>
      <c r="CE551" s="16"/>
      <c r="CF551" s="16"/>
      <c r="CG551" s="16"/>
      <c r="CH551" s="2470">
        <f>IF(OR(Y611=0,Y611&gt;=0.1),1,0)</f>
        <v>1</v>
      </c>
      <c r="CI551" s="2471"/>
      <c r="CJ551" s="2471"/>
      <c r="CK551" s="2472"/>
    </row>
    <row r="552" spans="1:89" s="46" customFormat="1" ht="13.7" customHeight="1">
      <c r="A552" s="28"/>
      <c r="B552" s="2581"/>
      <c r="C552" s="2581"/>
      <c r="D552" s="2581"/>
      <c r="E552" s="2581"/>
      <c r="F552" s="2581"/>
      <c r="G552" s="2581"/>
      <c r="H552" s="2581"/>
      <c r="I552" s="2581"/>
      <c r="J552" s="2581"/>
      <c r="K552" s="2581"/>
      <c r="L552" s="2581"/>
      <c r="M552" s="2581"/>
      <c r="N552" s="2581"/>
      <c r="O552" s="2581"/>
      <c r="P552" s="2581"/>
      <c r="Q552" s="2581"/>
      <c r="R552" s="2581"/>
      <c r="S552" s="2581"/>
      <c r="T552" s="2581"/>
      <c r="U552" s="2581"/>
      <c r="V552" s="2581"/>
      <c r="W552" s="2581"/>
      <c r="X552" s="2581"/>
      <c r="Y552" s="2581"/>
      <c r="Z552" s="2581"/>
      <c r="AA552" s="2581"/>
      <c r="AB552" s="2581"/>
      <c r="AC552" s="2581"/>
      <c r="AD552" s="2581"/>
      <c r="AE552" s="2581"/>
      <c r="AF552" s="2581"/>
      <c r="AG552" s="2581"/>
      <c r="AH552" s="245"/>
      <c r="AI552" s="245"/>
      <c r="AJ552" s="245"/>
      <c r="AK552" s="246"/>
      <c r="AL552" s="246"/>
      <c r="AM552" s="246"/>
      <c r="AN552" s="1132"/>
      <c r="BE552" s="2455">
        <f>SUM(BE547:BH551)</f>
        <v>0</v>
      </c>
      <c r="BF552" s="2461"/>
      <c r="BG552" s="2461"/>
      <c r="BH552" s="2456"/>
      <c r="BI552" s="2455">
        <f>SUM(BI547:BL551)</f>
        <v>0</v>
      </c>
      <c r="BJ552" s="2461"/>
      <c r="BK552" s="2461"/>
      <c r="BL552" s="2456"/>
      <c r="BM552" s="2455">
        <f>SUM(BM547:BP551)</f>
        <v>0</v>
      </c>
      <c r="BN552" s="2461"/>
      <c r="BO552" s="2461"/>
      <c r="BP552" s="2456"/>
      <c r="BQ552" s="2455">
        <f>SUM(BQ547:BT551)</f>
        <v>0</v>
      </c>
      <c r="BR552" s="2461"/>
      <c r="BS552" s="2461"/>
      <c r="BT552" s="2456"/>
      <c r="BU552" s="2455">
        <f>SUM(BU547:BX551)</f>
        <v>0</v>
      </c>
      <c r="BV552" s="2461"/>
      <c r="BW552" s="2461"/>
      <c r="BX552" s="2456"/>
      <c r="BY552" s="2455">
        <f>SUM(BY547:CB551)</f>
        <v>0</v>
      </c>
      <c r="BZ552" s="2461"/>
      <c r="CA552" s="2461"/>
      <c r="CB552" s="2456"/>
      <c r="CC552" s="2470">
        <f>IF(AND(CH548=1,T608&gt;0),0,SUM(BE552:CB552))</f>
        <v>0</v>
      </c>
      <c r="CD552" s="2471"/>
      <c r="CE552" s="2471"/>
      <c r="CF552" s="2472"/>
      <c r="CG552" s="16"/>
      <c r="CH552" s="2470">
        <f>IF(OR(Y612=0,Y612&gt;=0.1),1,0)</f>
        <v>1</v>
      </c>
      <c r="CI552" s="2471"/>
      <c r="CJ552" s="2471"/>
      <c r="CK552" s="2472"/>
    </row>
    <row r="553" spans="1:89" s="137" customFormat="1" ht="12.4" customHeight="1">
      <c r="A553" s="28"/>
      <c r="B553" s="2473" t="s">
        <v>1678</v>
      </c>
      <c r="C553" s="2473"/>
      <c r="D553" s="2473"/>
      <c r="E553" s="2473"/>
      <c r="F553" s="2473"/>
      <c r="G553" s="2473"/>
      <c r="H553" s="2473"/>
      <c r="I553" s="2473"/>
      <c r="J553" s="2473"/>
      <c r="K553" s="2473"/>
      <c r="L553" s="2473"/>
      <c r="M553" s="2473"/>
      <c r="N553" s="2473"/>
      <c r="O553" s="2473"/>
      <c r="P553" s="2473"/>
      <c r="Q553" s="2473"/>
      <c r="R553" s="2473"/>
      <c r="S553" s="2473"/>
      <c r="T553" s="2473"/>
      <c r="U553" s="2473"/>
      <c r="V553" s="2473"/>
      <c r="W553" s="2473"/>
      <c r="X553" s="2473"/>
      <c r="Y553" s="2473"/>
      <c r="Z553" s="2473"/>
      <c r="AA553" s="2473"/>
      <c r="AB553" s="2473"/>
      <c r="AC553" s="2473"/>
      <c r="AD553" s="2473"/>
      <c r="AE553" s="2473"/>
      <c r="AF553" s="2473"/>
      <c r="AG553" s="2473"/>
      <c r="AH553" s="245"/>
      <c r="AI553" s="245"/>
      <c r="AJ553" s="245"/>
      <c r="AK553" s="246"/>
      <c r="AL553" s="246"/>
      <c r="AM553" s="246"/>
      <c r="AN553" s="439"/>
    </row>
    <row r="554" spans="1:89" s="46" customFormat="1" ht="21" customHeight="1">
      <c r="A554" s="28"/>
      <c r="B554" s="2473"/>
      <c r="C554" s="2473"/>
      <c r="D554" s="2473"/>
      <c r="E554" s="2473"/>
      <c r="F554" s="2473"/>
      <c r="G554" s="2473"/>
      <c r="H554" s="2473"/>
      <c r="I554" s="2473"/>
      <c r="J554" s="2473"/>
      <c r="K554" s="2473"/>
      <c r="L554" s="2473"/>
      <c r="M554" s="2473"/>
      <c r="N554" s="2473"/>
      <c r="O554" s="2473"/>
      <c r="P554" s="2473"/>
      <c r="Q554" s="2473"/>
      <c r="R554" s="2473"/>
      <c r="S554" s="2473"/>
      <c r="T554" s="2473"/>
      <c r="U554" s="2473"/>
      <c r="V554" s="2473"/>
      <c r="W554" s="2473"/>
      <c r="X554" s="2473"/>
      <c r="Y554" s="2473"/>
      <c r="Z554" s="2473"/>
      <c r="AA554" s="2473"/>
      <c r="AB554" s="2473"/>
      <c r="AC554" s="2473"/>
      <c r="AD554" s="2473"/>
      <c r="AE554" s="2473"/>
      <c r="AF554" s="2473"/>
      <c r="AG554" s="247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73" t="s">
        <v>1991</v>
      </c>
      <c r="C555" s="2473"/>
      <c r="D555" s="2473"/>
      <c r="E555" s="2473"/>
      <c r="F555" s="2473"/>
      <c r="G555" s="2473"/>
      <c r="H555" s="2473"/>
      <c r="I555" s="2473"/>
      <c r="J555" s="2473"/>
      <c r="K555" s="2473"/>
      <c r="L555" s="2473"/>
      <c r="M555" s="2473"/>
      <c r="N555" s="2473"/>
      <c r="O555" s="2473"/>
      <c r="P555" s="2473"/>
      <c r="Q555" s="2473"/>
      <c r="R555" s="2473"/>
      <c r="S555" s="2473"/>
      <c r="T555" s="2473"/>
      <c r="U555" s="2473"/>
      <c r="V555" s="2473"/>
      <c r="W555" s="2473"/>
      <c r="X555" s="2473"/>
      <c r="Y555" s="2473"/>
      <c r="Z555" s="2473"/>
      <c r="AA555" s="2473"/>
      <c r="AB555" s="2473"/>
      <c r="AC555" s="2473"/>
      <c r="AD555" s="2473"/>
      <c r="AE555" s="2473"/>
      <c r="AF555" s="2473"/>
      <c r="AG555" s="1146"/>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73"/>
      <c r="C556" s="2473"/>
      <c r="D556" s="2473"/>
      <c r="E556" s="2473"/>
      <c r="F556" s="2473"/>
      <c r="G556" s="2473"/>
      <c r="H556" s="2473"/>
      <c r="I556" s="2473"/>
      <c r="J556" s="2473"/>
      <c r="K556" s="2473"/>
      <c r="L556" s="2473"/>
      <c r="M556" s="2473"/>
      <c r="N556" s="2473"/>
      <c r="O556" s="2473"/>
      <c r="P556" s="2473"/>
      <c r="Q556" s="2473"/>
      <c r="R556" s="2473"/>
      <c r="S556" s="2473"/>
      <c r="T556" s="2473"/>
      <c r="U556" s="2473"/>
      <c r="V556" s="2473"/>
      <c r="W556" s="2473"/>
      <c r="X556" s="2473"/>
      <c r="Y556" s="2473"/>
      <c r="Z556" s="2473"/>
      <c r="AA556" s="2473"/>
      <c r="AB556" s="2473"/>
      <c r="AC556" s="2473"/>
      <c r="AD556" s="2473"/>
      <c r="AE556" s="2473"/>
      <c r="AF556" s="2473"/>
      <c r="AG556" s="245"/>
      <c r="AH556" s="245"/>
      <c r="AI556" s="245"/>
      <c r="AJ556" s="245"/>
      <c r="AK556" s="246"/>
      <c r="AL556" s="246"/>
      <c r="AM556" s="246"/>
      <c r="AN556" s="439"/>
      <c r="AP556" s="232"/>
      <c r="AQ556" s="233"/>
      <c r="AR556" s="233"/>
      <c r="AS556" s="233"/>
      <c r="AT556" s="239" t="s">
        <v>672</v>
      </c>
      <c r="AU556" s="233"/>
      <c r="AV556" s="2455" t="str">
        <f>IF(BJ592&gt;0,"failed","passed")</f>
        <v>failed</v>
      </c>
      <c r="AW556" s="2461"/>
      <c r="AX556" s="2461"/>
      <c r="AY556" s="2456"/>
    </row>
    <row r="557" spans="1:89" s="46" customFormat="1" ht="12.4" customHeight="1">
      <c r="A557" s="28"/>
      <c r="B557" s="1147" t="s">
        <v>1682</v>
      </c>
      <c r="C557" s="1148"/>
      <c r="D557" s="1148"/>
      <c r="E557" s="1148"/>
      <c r="F557" s="1148"/>
      <c r="G557" s="1148"/>
      <c r="H557" s="1148"/>
      <c r="I557" s="1148"/>
      <c r="J557" s="1148"/>
      <c r="K557" s="1148"/>
      <c r="L557" s="1148"/>
      <c r="M557" s="1148"/>
      <c r="N557" s="1148"/>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82" t="s">
        <v>1679</v>
      </c>
      <c r="R559" s="2582"/>
      <c r="S559" s="2582"/>
      <c r="T559" s="2582"/>
      <c r="U559" s="2582"/>
      <c r="V559" s="2582"/>
      <c r="W559" s="2582"/>
      <c r="X559" s="2582"/>
      <c r="Y559" s="2582"/>
      <c r="Z559" s="2582"/>
      <c r="AA559" s="2582"/>
      <c r="AB559" s="2582"/>
      <c r="AC559" s="2582"/>
      <c r="AD559" s="2582"/>
      <c r="AE559" s="2582"/>
      <c r="AF559" s="2582"/>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82"/>
      <c r="R560" s="2582"/>
      <c r="S560" s="2582"/>
      <c r="T560" s="2582"/>
      <c r="U560" s="2582"/>
      <c r="V560" s="2582"/>
      <c r="W560" s="2582"/>
      <c r="X560" s="2582"/>
      <c r="Y560" s="2582"/>
      <c r="Z560" s="2582"/>
      <c r="AA560" s="2582"/>
      <c r="AB560" s="2582"/>
      <c r="AC560" s="2582"/>
      <c r="AD560" s="2582"/>
      <c r="AE560" s="2582"/>
      <c r="AF560" s="2582"/>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3" t="s">
        <v>1990</v>
      </c>
      <c r="R561" s="2384"/>
      <c r="S561" s="2594" t="s">
        <v>227</v>
      </c>
      <c r="T561" s="2594"/>
      <c r="U561" s="2383">
        <v>0.5</v>
      </c>
      <c r="V561" s="2384"/>
      <c r="W561" s="2383">
        <v>0.45</v>
      </c>
      <c r="X561" s="2384"/>
      <c r="Y561" s="2383">
        <v>0.4</v>
      </c>
      <c r="Z561" s="2384"/>
      <c r="AA561" s="2383">
        <v>0.35</v>
      </c>
      <c r="AB561" s="2384"/>
      <c r="AC561" s="2493">
        <v>0.3</v>
      </c>
      <c r="AD561" s="2494"/>
      <c r="AE561" s="2383">
        <v>0.2</v>
      </c>
      <c r="AF561" s="238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4"/>
      <c r="P562" s="2345"/>
      <c r="Q562" s="2382"/>
      <c r="R562" s="2369"/>
      <c r="S562" s="2474"/>
      <c r="T562" s="2474"/>
      <c r="U562" s="2369"/>
      <c r="V562" s="2369"/>
      <c r="W562" s="2369"/>
      <c r="X562" s="2369"/>
      <c r="Y562" s="2369"/>
      <c r="Z562" s="2369"/>
      <c r="AA562" s="2462"/>
      <c r="AB562" s="2462"/>
      <c r="AC562" s="2369"/>
      <c r="AD562" s="2369"/>
      <c r="AE562" s="2491"/>
      <c r="AF562" s="2492"/>
      <c r="AN562" s="439"/>
      <c r="AP562" s="226" t="s">
        <v>780</v>
      </c>
      <c r="AQ562" s="91"/>
      <c r="AR562" s="91"/>
      <c r="AS562" s="91"/>
      <c r="AT562" s="2470" t="str">
        <f>IF(OR(AV556="passed",BD560="passed"),"passed","failed")</f>
        <v>passed</v>
      </c>
      <c r="AU562" s="2471"/>
      <c r="AV562" s="2471"/>
      <c r="AW562" s="2471"/>
      <c r="AX562" s="2472"/>
    </row>
    <row r="563" spans="1:96" s="46" customFormat="1" ht="12.75" customHeight="1">
      <c r="A563" s="28"/>
      <c r="B563" s="106"/>
      <c r="C563" s="28"/>
      <c r="I563" s="345"/>
      <c r="J563" s="245"/>
      <c r="K563" s="162"/>
      <c r="L563" s="162"/>
      <c r="M563" s="162"/>
      <c r="N563" s="71"/>
      <c r="O563" s="2344"/>
      <c r="P563" s="2345"/>
      <c r="Q563" s="2357"/>
      <c r="R563" s="2358"/>
      <c r="S563" s="2358"/>
      <c r="T563" s="2358"/>
      <c r="U563" s="2358"/>
      <c r="V563" s="2358"/>
      <c r="W563" s="2358"/>
      <c r="X563" s="2358"/>
      <c r="Y563" s="2356"/>
      <c r="Z563" s="2356"/>
      <c r="AA563" s="2358"/>
      <c r="AB563" s="2358"/>
      <c r="AC563" s="2356"/>
      <c r="AD563" s="2356"/>
      <c r="AE563" s="2359"/>
      <c r="AF563" s="236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4"/>
      <c r="P564" s="2345"/>
      <c r="Q564" s="2357"/>
      <c r="R564" s="2358"/>
      <c r="S564" s="2358"/>
      <c r="T564" s="2358"/>
      <c r="U564" s="2358"/>
      <c r="V564" s="2358"/>
      <c r="W564" s="2358"/>
      <c r="X564" s="2358"/>
      <c r="Y564" s="2358"/>
      <c r="Z564" s="2358"/>
      <c r="AA564" s="2356"/>
      <c r="AB564" s="2356"/>
      <c r="AC564" s="2358"/>
      <c r="AD564" s="2358"/>
      <c r="AE564" s="2501"/>
      <c r="AF564" s="2502"/>
      <c r="AN564" s="439"/>
      <c r="AP564" s="235" t="s">
        <v>673</v>
      </c>
      <c r="AQ564" s="236"/>
      <c r="AR564" s="236"/>
      <c r="AS564" s="236"/>
      <c r="AT564" s="236"/>
      <c r="AU564" s="236"/>
      <c r="AV564" s="237"/>
      <c r="AW564" s="2498" t="str">
        <f>IF(AND(AND(AND(AND(AS544="passed",AU551="passed",BD560="passed",SUM(T608:X612)&gt;1)))),"YES","NO")</f>
        <v>YES</v>
      </c>
      <c r="AX564" s="2499"/>
      <c r="AY564" s="250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4"/>
      <c r="P565" s="2345"/>
      <c r="Q565" s="2357"/>
      <c r="R565" s="2358"/>
      <c r="S565" s="2358"/>
      <c r="T565" s="2358"/>
      <c r="U565" s="2358"/>
      <c r="V565" s="2358"/>
      <c r="W565" s="2358"/>
      <c r="X565" s="2358"/>
      <c r="Y565" s="2356"/>
      <c r="Z565" s="2356"/>
      <c r="AA565" s="2358"/>
      <c r="AB565" s="2358"/>
      <c r="AC565" s="2356"/>
      <c r="AD565" s="2356"/>
      <c r="AE565" s="2359"/>
      <c r="AF565" s="2360"/>
      <c r="AN565" s="439"/>
    </row>
    <row r="566" spans="1:96" s="46" customFormat="1" ht="12.75" customHeight="1">
      <c r="A566" s="28"/>
      <c r="B566" s="106"/>
      <c r="C566" s="28"/>
      <c r="I566" s="345"/>
      <c r="J566" s="245"/>
      <c r="K566" s="162"/>
      <c r="L566" s="162"/>
      <c r="M566" s="162"/>
      <c r="N566" s="71"/>
      <c r="O566" s="2344"/>
      <c r="P566" s="2345"/>
      <c r="Q566" s="2357"/>
      <c r="R566" s="2358"/>
      <c r="S566" s="2358"/>
      <c r="T566" s="2358"/>
      <c r="U566" s="2358"/>
      <c r="V566" s="2358"/>
      <c r="W566" s="2356"/>
      <c r="X566" s="2356"/>
      <c r="Y566" s="2358"/>
      <c r="Z566" s="2358"/>
      <c r="AA566" s="2356"/>
      <c r="AB566" s="2356"/>
      <c r="AC566" s="2358"/>
      <c r="AD566" s="2358"/>
      <c r="AE566" s="2501"/>
      <c r="AF566" s="2502"/>
      <c r="AN566" s="439"/>
    </row>
    <row r="567" spans="1:96" s="46" customFormat="1" ht="12.75" customHeight="1">
      <c r="A567" s="28"/>
      <c r="B567" s="106"/>
      <c r="C567" s="28"/>
      <c r="I567" s="345"/>
      <c r="J567" s="245"/>
      <c r="K567" s="162"/>
      <c r="L567" s="162"/>
      <c r="M567" s="162"/>
      <c r="N567" s="71"/>
      <c r="O567" s="2344"/>
      <c r="P567" s="2345"/>
      <c r="Q567" s="2357"/>
      <c r="R567" s="2358"/>
      <c r="S567" s="2358"/>
      <c r="T567" s="2358"/>
      <c r="U567" s="2358"/>
      <c r="V567" s="2358"/>
      <c r="W567" s="2358"/>
      <c r="X567" s="2358"/>
      <c r="Y567" s="2356"/>
      <c r="Z567" s="2356"/>
      <c r="AA567" s="2358"/>
      <c r="AB567" s="2358"/>
      <c r="AC567" s="2356"/>
      <c r="AD567" s="2356"/>
      <c r="AE567" s="2359"/>
      <c r="AF567" s="2360"/>
      <c r="AN567" s="439"/>
      <c r="AU567" s="65"/>
      <c r="AV567" s="65"/>
      <c r="AW567" s="90"/>
      <c r="AX567" s="91"/>
      <c r="AY567" s="91"/>
      <c r="AZ567" s="100" t="s">
        <v>1248</v>
      </c>
      <c r="BA567" s="2509" t="s">
        <v>781</v>
      </c>
      <c r="BB567" s="2510"/>
      <c r="BC567" s="2510"/>
      <c r="BD567" s="2510"/>
      <c r="BE567" s="2511"/>
      <c r="BF567" s="2466">
        <f>SUM(O608:S612)</f>
        <v>100</v>
      </c>
      <c r="BG567" s="2467"/>
      <c r="BH567" s="2467"/>
      <c r="BI567" s="2467"/>
      <c r="BJ567" s="2468"/>
      <c r="BK567" s="2347">
        <f>SUM(T608:X612)</f>
        <v>45</v>
      </c>
      <c r="BL567" s="2348"/>
      <c r="BM567" s="2348"/>
      <c r="BN567" s="2348"/>
      <c r="BO567" s="2349"/>
    </row>
    <row r="568" spans="1:96" s="46" customFormat="1" ht="12.75" customHeight="1">
      <c r="A568" s="28"/>
      <c r="B568" s="57"/>
      <c r="C568" s="28"/>
      <c r="I568" s="2396" t="s">
        <v>1677</v>
      </c>
      <c r="J568" s="2397"/>
      <c r="K568" s="2397"/>
      <c r="L568" s="2397"/>
      <c r="M568" s="2397"/>
      <c r="N568" s="2398"/>
      <c r="O568" s="2344">
        <v>0.5</v>
      </c>
      <c r="P568" s="2345"/>
      <c r="Q568" s="2375"/>
      <c r="R568" s="2376"/>
      <c r="S568" s="2358"/>
      <c r="T568" s="2358"/>
      <c r="U568" s="2596" t="s">
        <v>1681</v>
      </c>
      <c r="V568" s="2596"/>
      <c r="W568" s="2374">
        <v>37.5</v>
      </c>
      <c r="X568" s="2374"/>
      <c r="Y568" s="2376"/>
      <c r="Z568" s="2376"/>
      <c r="AA568" s="2374"/>
      <c r="AB568" s="2374"/>
      <c r="AC568" s="2376"/>
      <c r="AD568" s="2376"/>
      <c r="AE568" s="2503"/>
      <c r="AF568" s="2504"/>
      <c r="AN568" s="439"/>
      <c r="CL568" s="16"/>
      <c r="CM568" s="16"/>
    </row>
    <row r="569" spans="1:96" s="46" customFormat="1" ht="12.75" customHeight="1">
      <c r="A569" s="28"/>
      <c r="B569" s="195"/>
      <c r="C569" s="101"/>
      <c r="D569" s="28"/>
      <c r="E569" s="28"/>
      <c r="I569" s="2396"/>
      <c r="J569" s="2397"/>
      <c r="K569" s="2397"/>
      <c r="L569" s="2397"/>
      <c r="M569" s="2397"/>
      <c r="N569" s="2398"/>
      <c r="O569" s="2344">
        <v>0.45</v>
      </c>
      <c r="P569" s="2345"/>
      <c r="Q569" s="2357"/>
      <c r="R569" s="2358"/>
      <c r="S569" s="2358"/>
      <c r="T569" s="2358"/>
      <c r="U569" s="2364" t="s">
        <v>145</v>
      </c>
      <c r="V569" s="2364"/>
      <c r="W569" s="2356">
        <v>33.799999999999997</v>
      </c>
      <c r="X569" s="2356"/>
      <c r="Y569" s="2356"/>
      <c r="Z569" s="2356"/>
      <c r="AA569" s="2358"/>
      <c r="AB569" s="2358"/>
      <c r="AC569" s="2356"/>
      <c r="AD569" s="2356"/>
      <c r="AE569" s="2359"/>
      <c r="AF569" s="2360"/>
      <c r="AN569" s="439"/>
      <c r="CL569" s="16"/>
      <c r="CM569" s="16"/>
    </row>
    <row r="570" spans="1:96" s="46" customFormat="1" ht="12.75" customHeight="1">
      <c r="A570" s="28"/>
      <c r="B570" s="8"/>
      <c r="C570" s="8"/>
      <c r="D570" s="8"/>
      <c r="E570" s="8"/>
      <c r="I570" s="2396"/>
      <c r="J570" s="2397"/>
      <c r="K570" s="2397"/>
      <c r="L570" s="2397"/>
      <c r="M570" s="2397"/>
      <c r="N570" s="2398"/>
      <c r="O570" s="2344">
        <v>0.4</v>
      </c>
      <c r="P570" s="2345"/>
      <c r="Q570" s="2357"/>
      <c r="R570" s="2358"/>
      <c r="S570" s="2364" t="s">
        <v>1680</v>
      </c>
      <c r="T570" s="2364"/>
      <c r="U570" s="2356">
        <v>20</v>
      </c>
      <c r="V570" s="2356"/>
      <c r="W570" s="2356">
        <v>30</v>
      </c>
      <c r="X570" s="2356"/>
      <c r="Y570" s="2356"/>
      <c r="Z570" s="2356"/>
      <c r="AA570" s="2356"/>
      <c r="AB570" s="2356"/>
      <c r="AC570" s="2356"/>
      <c r="AD570" s="2356"/>
      <c r="AE570" s="2359"/>
      <c r="AF570" s="2360"/>
      <c r="AN570" s="439"/>
      <c r="AP570" s="2512" t="s">
        <v>228</v>
      </c>
      <c r="AQ570" s="2513"/>
      <c r="AR570" s="2513"/>
      <c r="AS570" s="2513"/>
      <c r="AT570" s="2513"/>
      <c r="AU570" s="2513"/>
      <c r="AV570" s="2513"/>
      <c r="AW570" s="2513"/>
      <c r="AX570" s="2513"/>
      <c r="AY570" s="2513"/>
      <c r="AZ570" s="2513"/>
      <c r="BA570" s="2513"/>
      <c r="BB570" s="2513"/>
      <c r="BC570" s="2513"/>
      <c r="BD570" s="2513"/>
      <c r="BE570" s="2513"/>
      <c r="BF570" s="2513"/>
      <c r="BG570" s="2513"/>
      <c r="BH570" s="2513"/>
      <c r="BI570" s="2513"/>
      <c r="BJ570" s="2514"/>
      <c r="BK570" s="2485">
        <f>BF567</f>
        <v>100</v>
      </c>
      <c r="BL570" s="2486"/>
      <c r="BM570" s="2486"/>
      <c r="BN570" s="2486"/>
      <c r="BO570" s="248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6"/>
      <c r="J571" s="2397"/>
      <c r="K571" s="2397"/>
      <c r="L571" s="2397"/>
      <c r="M571" s="2397"/>
      <c r="N571" s="2398"/>
      <c r="O571" s="2344">
        <v>0.35</v>
      </c>
      <c r="P571" s="2345"/>
      <c r="Q571" s="2357"/>
      <c r="R571" s="2358"/>
      <c r="S571" s="2364" t="s">
        <v>1992</v>
      </c>
      <c r="T571" s="2364"/>
      <c r="U571" s="2356">
        <v>17.5</v>
      </c>
      <c r="V571" s="2356"/>
      <c r="W571" s="2356">
        <v>26.3</v>
      </c>
      <c r="X571" s="2356"/>
      <c r="Y571" s="2356">
        <v>35</v>
      </c>
      <c r="Z571" s="2356"/>
      <c r="AA571" s="2356"/>
      <c r="AB571" s="2356"/>
      <c r="AC571" s="2356">
        <v>50</v>
      </c>
      <c r="AD571" s="2356"/>
      <c r="AE571" s="2359"/>
      <c r="AF571" s="2360"/>
      <c r="AN571" s="439"/>
      <c r="AP571" s="2515"/>
      <c r="AQ571" s="2516"/>
      <c r="AR571" s="2516"/>
      <c r="AS571" s="2516"/>
      <c r="AT571" s="2516"/>
      <c r="AU571" s="2516"/>
      <c r="AV571" s="2516"/>
      <c r="AW571" s="2516"/>
      <c r="AX571" s="2516"/>
      <c r="AY571" s="2516"/>
      <c r="AZ571" s="2516"/>
      <c r="BA571" s="2516"/>
      <c r="BB571" s="2516"/>
      <c r="BC571" s="2516"/>
      <c r="BD571" s="2516"/>
      <c r="BE571" s="2516"/>
      <c r="BF571" s="2516"/>
      <c r="BG571" s="2516"/>
      <c r="BH571" s="2516"/>
      <c r="BI571" s="2516"/>
      <c r="BJ571" s="2517"/>
      <c r="BK571" s="2488"/>
      <c r="BL571" s="2489"/>
      <c r="BM571" s="2489"/>
      <c r="BN571" s="2489"/>
      <c r="BO571" s="249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6"/>
      <c r="J572" s="2397"/>
      <c r="K572" s="2397"/>
      <c r="L572" s="2397"/>
      <c r="M572" s="2397"/>
      <c r="N572" s="2398"/>
      <c r="O572" s="2344">
        <v>0.3</v>
      </c>
      <c r="P572" s="2345"/>
      <c r="Q572" s="2357"/>
      <c r="R572" s="2358"/>
      <c r="S572" s="2364" t="s">
        <v>1993</v>
      </c>
      <c r="T572" s="2364"/>
      <c r="U572" s="2356">
        <v>15</v>
      </c>
      <c r="V572" s="2356"/>
      <c r="W572" s="2356">
        <v>22.5</v>
      </c>
      <c r="X572" s="2356"/>
      <c r="Y572" s="2356">
        <v>30</v>
      </c>
      <c r="Z572" s="2356"/>
      <c r="AA572" s="2356">
        <v>37.5</v>
      </c>
      <c r="AB572" s="2356"/>
      <c r="AC572" s="2356">
        <v>45</v>
      </c>
      <c r="AD572" s="2356"/>
      <c r="AE572" s="2359"/>
      <c r="AF572" s="236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4">
        <v>5</v>
      </c>
      <c r="BK572" s="2469"/>
      <c r="BL572" s="2469"/>
      <c r="BM572" s="2469"/>
      <c r="BN572" s="1875"/>
      <c r="BO572" s="1874">
        <v>4</v>
      </c>
      <c r="BP572" s="2469"/>
      <c r="BQ572" s="2469"/>
      <c r="BR572" s="2469"/>
      <c r="BS572" s="1875"/>
      <c r="BT572" s="1874">
        <v>3</v>
      </c>
      <c r="BU572" s="2469"/>
      <c r="BV572" s="2469"/>
      <c r="BW572" s="2469"/>
      <c r="BX572" s="1875"/>
      <c r="BY572" s="1874">
        <v>2</v>
      </c>
      <c r="BZ572" s="2469"/>
      <c r="CA572" s="2469"/>
      <c r="CB572" s="2469"/>
      <c r="CC572" s="1875"/>
      <c r="CD572" s="1874">
        <v>1</v>
      </c>
      <c r="CE572" s="2469"/>
      <c r="CF572" s="2469"/>
      <c r="CG572" s="2469"/>
      <c r="CH572" s="1875"/>
      <c r="CI572" s="1874">
        <v>0</v>
      </c>
      <c r="CJ572" s="2469"/>
      <c r="CK572" s="2469"/>
      <c r="CL572" s="2469"/>
      <c r="CM572" s="1875"/>
      <c r="CN572" s="65"/>
      <c r="CO572" s="65"/>
      <c r="CP572" s="65"/>
      <c r="CQ572" s="65"/>
      <c r="CR572" s="65"/>
    </row>
    <row r="573" spans="1:96" s="46" customFormat="1" ht="12.75" customHeight="1">
      <c r="A573" s="28"/>
      <c r="B573" s="8"/>
      <c r="C573" s="8"/>
      <c r="D573" s="8"/>
      <c r="E573" s="8"/>
      <c r="I573" s="2396"/>
      <c r="J573" s="2397"/>
      <c r="K573" s="2397"/>
      <c r="L573" s="2397"/>
      <c r="M573" s="2397"/>
      <c r="N573" s="2398"/>
      <c r="O573" s="2344">
        <v>0.25</v>
      </c>
      <c r="P573" s="2345"/>
      <c r="Q573" s="2357"/>
      <c r="R573" s="2358"/>
      <c r="S573" s="2364" t="s">
        <v>1994</v>
      </c>
      <c r="T573" s="2364"/>
      <c r="U573" s="2356">
        <v>12.5</v>
      </c>
      <c r="V573" s="2356"/>
      <c r="W573" s="2356">
        <v>18.8</v>
      </c>
      <c r="X573" s="2356"/>
      <c r="Y573" s="2356">
        <v>25</v>
      </c>
      <c r="Z573" s="2356"/>
      <c r="AA573" s="2356">
        <v>31.3</v>
      </c>
      <c r="AB573" s="2356"/>
      <c r="AC573" s="2356">
        <v>37.5</v>
      </c>
      <c r="AD573" s="2356"/>
      <c r="AE573" s="2359">
        <v>50</v>
      </c>
      <c r="AF573" s="2360"/>
      <c r="AN573" s="439"/>
      <c r="AP573" s="2463" t="str">
        <f t="shared" ref="AP573:AP579" si="0">J607</f>
        <v>5 BR</v>
      </c>
      <c r="AQ573" s="2464"/>
      <c r="AR573" s="2464"/>
      <c r="AS573" s="2464"/>
      <c r="AT573" s="2465"/>
      <c r="AU573" s="2458">
        <f t="shared" ref="AU573:AU578" si="1">O607</f>
        <v>0</v>
      </c>
      <c r="AV573" s="2459"/>
      <c r="AW573" s="2459"/>
      <c r="AX573" s="2459"/>
      <c r="AY573" s="2460"/>
      <c r="AZ573" s="2458">
        <f t="shared" ref="AZ573:AZ578" si="2">T607</f>
        <v>0</v>
      </c>
      <c r="BA573" s="2459"/>
      <c r="BB573" s="2459"/>
      <c r="BC573" s="2459"/>
      <c r="BD573" s="2460"/>
      <c r="BE573" s="1881">
        <f t="shared" ref="BE573:BE578" si="3">Y607</f>
        <v>0</v>
      </c>
      <c r="BF573" s="1882"/>
      <c r="BG573" s="1882"/>
      <c r="BH573" s="1882"/>
      <c r="BI573" s="1883"/>
      <c r="BJ573" s="1874">
        <f>IF(OR(AP583=0,BE573&gt;=0.1),0,1)</f>
        <v>0</v>
      </c>
      <c r="BK573" s="2469"/>
      <c r="BL573" s="2469"/>
      <c r="BM573" s="2469"/>
      <c r="BN573" s="1875"/>
      <c r="BO573" s="1874"/>
      <c r="BP573" s="2469"/>
      <c r="BQ573" s="2469"/>
      <c r="BR573" s="2469"/>
      <c r="BS573" s="1875"/>
      <c r="BT573" s="1874"/>
      <c r="BU573" s="2469"/>
      <c r="BV573" s="2469"/>
      <c r="BW573" s="2469"/>
      <c r="BX573" s="1875"/>
      <c r="BY573" s="1874"/>
      <c r="BZ573" s="2469"/>
      <c r="CA573" s="2469"/>
      <c r="CB573" s="2469"/>
      <c r="CC573" s="1875"/>
      <c r="CD573" s="1874"/>
      <c r="CE573" s="2469"/>
      <c r="CF573" s="2469"/>
      <c r="CG573" s="2469"/>
      <c r="CH573" s="1875"/>
      <c r="CI573" s="1874"/>
      <c r="CJ573" s="2469"/>
      <c r="CK573" s="2469"/>
      <c r="CL573" s="2469"/>
      <c r="CM573" s="1875"/>
      <c r="CN573" s="65"/>
      <c r="CO573" s="65"/>
      <c r="CP573" s="65"/>
      <c r="CQ573" s="65"/>
      <c r="CR573" s="65"/>
    </row>
    <row r="574" spans="1:96" s="46" customFormat="1" ht="12.75" customHeight="1">
      <c r="A574" s="195"/>
      <c r="B574" s="8"/>
      <c r="C574" s="8"/>
      <c r="D574" s="8"/>
      <c r="E574" s="8"/>
      <c r="I574" s="2396"/>
      <c r="J574" s="2397"/>
      <c r="K574" s="2397"/>
      <c r="L574" s="2397"/>
      <c r="M574" s="2397"/>
      <c r="N574" s="2398"/>
      <c r="O574" s="2344">
        <v>0.2</v>
      </c>
      <c r="P574" s="2345"/>
      <c r="Q574" s="2357"/>
      <c r="R574" s="2358"/>
      <c r="S574" s="2381" t="s">
        <v>1997</v>
      </c>
      <c r="T574" s="2381"/>
      <c r="U574" s="2356">
        <v>10</v>
      </c>
      <c r="V574" s="2356"/>
      <c r="W574" s="2356">
        <v>15</v>
      </c>
      <c r="X574" s="2356"/>
      <c r="Y574" s="2356">
        <v>20</v>
      </c>
      <c r="Z574" s="2356"/>
      <c r="AA574" s="2356">
        <v>25</v>
      </c>
      <c r="AB574" s="2356"/>
      <c r="AC574" s="2356">
        <v>30</v>
      </c>
      <c r="AD574" s="2356"/>
      <c r="AE574" s="2359">
        <v>40</v>
      </c>
      <c r="AF574" s="2360"/>
      <c r="AN574" s="439"/>
      <c r="AP574" s="2463" t="str">
        <f t="shared" si="0"/>
        <v>4 BR</v>
      </c>
      <c r="AQ574" s="2464"/>
      <c r="AR574" s="2464"/>
      <c r="AS574" s="2464"/>
      <c r="AT574" s="2465"/>
      <c r="AU574" s="2458">
        <f t="shared" si="1"/>
        <v>0</v>
      </c>
      <c r="AV574" s="2459"/>
      <c r="AW574" s="2459"/>
      <c r="AX574" s="2459"/>
      <c r="AY574" s="2460"/>
      <c r="AZ574" s="2458">
        <f t="shared" si="2"/>
        <v>0</v>
      </c>
      <c r="BA574" s="2459"/>
      <c r="BB574" s="2459"/>
      <c r="BC574" s="2459"/>
      <c r="BD574" s="2460"/>
      <c r="BE574" s="1881">
        <f t="shared" si="3"/>
        <v>0</v>
      </c>
      <c r="BF574" s="1882"/>
      <c r="BG574" s="1882"/>
      <c r="BH574" s="1882"/>
      <c r="BI574" s="1883"/>
      <c r="BJ574" s="1874"/>
      <c r="BK574" s="2469"/>
      <c r="BL574" s="2469"/>
      <c r="BM574" s="2469"/>
      <c r="BN574" s="1875"/>
      <c r="BO574" s="1874">
        <f>IF(AND(AND(AZ573=0,BJ573=0,AP584=1)),1,0)</f>
        <v>0</v>
      </c>
      <c r="BP574" s="2469"/>
      <c r="BQ574" s="2469"/>
      <c r="BR574" s="2469"/>
      <c r="BS574" s="1875"/>
      <c r="BT574" s="1874"/>
      <c r="BU574" s="2469"/>
      <c r="BV574" s="2469"/>
      <c r="BW574" s="2469"/>
      <c r="BX574" s="1875"/>
      <c r="BY574" s="1874"/>
      <c r="BZ574" s="2469"/>
      <c r="CA574" s="2469"/>
      <c r="CB574" s="2469"/>
      <c r="CC574" s="1875"/>
      <c r="CD574" s="1874"/>
      <c r="CE574" s="2469"/>
      <c r="CF574" s="2469"/>
      <c r="CG574" s="2469"/>
      <c r="CH574" s="1875"/>
      <c r="CI574" s="1874"/>
      <c r="CJ574" s="2469"/>
      <c r="CK574" s="2469"/>
      <c r="CL574" s="2469"/>
      <c r="CM574" s="1875"/>
      <c r="CN574" s="65"/>
      <c r="CO574" s="65"/>
      <c r="CP574" s="65"/>
      <c r="CQ574" s="65"/>
      <c r="CR574" s="65"/>
    </row>
    <row r="575" spans="1:96" s="46" customFormat="1" ht="12.75" customHeight="1">
      <c r="A575" s="195"/>
      <c r="B575" s="8"/>
      <c r="C575" s="8"/>
      <c r="D575" s="8"/>
      <c r="E575" s="8"/>
      <c r="I575" s="2396"/>
      <c r="J575" s="2397"/>
      <c r="K575" s="2397"/>
      <c r="L575" s="2397"/>
      <c r="M575" s="2397"/>
      <c r="N575" s="2398"/>
      <c r="O575" s="2344">
        <v>0.15</v>
      </c>
      <c r="P575" s="2345"/>
      <c r="Q575" s="2357"/>
      <c r="R575" s="2358"/>
      <c r="S575" s="2364" t="s">
        <v>1995</v>
      </c>
      <c r="T575" s="2364"/>
      <c r="U575" s="2356">
        <v>7.5</v>
      </c>
      <c r="V575" s="2356"/>
      <c r="W575" s="2356">
        <v>11.3</v>
      </c>
      <c r="X575" s="2356"/>
      <c r="Y575" s="2356">
        <v>15</v>
      </c>
      <c r="Z575" s="2356"/>
      <c r="AA575" s="2356">
        <v>18.8</v>
      </c>
      <c r="AB575" s="2356"/>
      <c r="AC575" s="2356">
        <v>22.5</v>
      </c>
      <c r="AD575" s="2356"/>
      <c r="AE575" s="2359">
        <v>30</v>
      </c>
      <c r="AF575" s="2360"/>
      <c r="AK575" s="153"/>
      <c r="AL575" s="153"/>
      <c r="AM575" s="153"/>
      <c r="AN575" s="439"/>
      <c r="AP575" s="2463" t="str">
        <f t="shared" si="0"/>
        <v>3 BR</v>
      </c>
      <c r="AQ575" s="2464"/>
      <c r="AR575" s="2464"/>
      <c r="AS575" s="2464"/>
      <c r="AT575" s="2465"/>
      <c r="AU575" s="2458">
        <f t="shared" si="1"/>
        <v>0</v>
      </c>
      <c r="AV575" s="2459"/>
      <c r="AW575" s="2459"/>
      <c r="AX575" s="2459"/>
      <c r="AY575" s="2460"/>
      <c r="AZ575" s="2458">
        <f t="shared" si="2"/>
        <v>0</v>
      </c>
      <c r="BA575" s="2459"/>
      <c r="BB575" s="2459"/>
      <c r="BC575" s="2459"/>
      <c r="BD575" s="2460"/>
      <c r="BE575" s="1881">
        <f t="shared" si="3"/>
        <v>0</v>
      </c>
      <c r="BF575" s="1882"/>
      <c r="BG575" s="1882"/>
      <c r="BH575" s="1882"/>
      <c r="BI575" s="1883"/>
      <c r="BJ575" s="1874"/>
      <c r="BK575" s="2469"/>
      <c r="BL575" s="2469"/>
      <c r="BM575" s="2469"/>
      <c r="BN575" s="1875"/>
      <c r="BO575" s="1874"/>
      <c r="BP575" s="2469"/>
      <c r="BQ575" s="2469"/>
      <c r="BR575" s="2469"/>
      <c r="BS575" s="1875"/>
      <c r="BT575" s="1874">
        <f>IF(AND(AND(AZ573+AZ574=0,BJ573+BO574=0,AP585=1)),1,0)</f>
        <v>0</v>
      </c>
      <c r="BU575" s="2469"/>
      <c r="BV575" s="2469"/>
      <c r="BW575" s="2469"/>
      <c r="BX575" s="1875"/>
      <c r="BY575" s="1874"/>
      <c r="BZ575" s="2469"/>
      <c r="CA575" s="2469"/>
      <c r="CB575" s="2469"/>
      <c r="CC575" s="1875"/>
      <c r="CD575" s="1874"/>
      <c r="CE575" s="2469"/>
      <c r="CF575" s="2469"/>
      <c r="CG575" s="2469"/>
      <c r="CH575" s="1875"/>
      <c r="CI575" s="1874"/>
      <c r="CJ575" s="2469"/>
      <c r="CK575" s="2469"/>
      <c r="CL575" s="2469"/>
      <c r="CM575" s="1875"/>
      <c r="CN575" s="65"/>
      <c r="CO575" s="65"/>
      <c r="CP575" s="65"/>
      <c r="CQ575" s="65"/>
      <c r="CR575" s="65"/>
    </row>
    <row r="576" spans="1:96" s="46" customFormat="1" ht="12.75" customHeight="1" thickBot="1">
      <c r="B576" s="8"/>
      <c r="C576" s="8"/>
      <c r="D576" s="8"/>
      <c r="E576" s="8"/>
      <c r="I576" s="2399"/>
      <c r="J576" s="2400"/>
      <c r="K576" s="2400"/>
      <c r="L576" s="2400"/>
      <c r="M576" s="2400"/>
      <c r="N576" s="2401"/>
      <c r="O576" s="2344">
        <v>0.1</v>
      </c>
      <c r="P576" s="2345"/>
      <c r="Q576" s="2379"/>
      <c r="R576" s="2380"/>
      <c r="S576" s="2364" t="s">
        <v>1996</v>
      </c>
      <c r="T576" s="2364"/>
      <c r="U576" s="2457">
        <v>5</v>
      </c>
      <c r="V576" s="2457"/>
      <c r="W576" s="2457">
        <v>7.5</v>
      </c>
      <c r="X576" s="2457"/>
      <c r="Y576" s="2457">
        <v>10</v>
      </c>
      <c r="Z576" s="2457"/>
      <c r="AA576" s="2457">
        <v>12.5</v>
      </c>
      <c r="AB576" s="2457"/>
      <c r="AC576" s="2457">
        <v>15</v>
      </c>
      <c r="AD576" s="2457"/>
      <c r="AE576" s="2617">
        <v>20</v>
      </c>
      <c r="AF576" s="2618"/>
      <c r="AK576" s="252"/>
      <c r="AL576" s="252"/>
      <c r="AM576" s="8"/>
      <c r="AN576" s="439"/>
      <c r="AP576" s="2463" t="str">
        <f t="shared" si="0"/>
        <v>2 BR</v>
      </c>
      <c r="AQ576" s="2464"/>
      <c r="AR576" s="2464"/>
      <c r="AS576" s="2464"/>
      <c r="AT576" s="2465"/>
      <c r="AU576" s="2458">
        <f t="shared" si="1"/>
        <v>20</v>
      </c>
      <c r="AV576" s="2459"/>
      <c r="AW576" s="2459"/>
      <c r="AX576" s="2459"/>
      <c r="AY576" s="2460"/>
      <c r="AZ576" s="2458">
        <f t="shared" si="2"/>
        <v>5</v>
      </c>
      <c r="BA576" s="2459"/>
      <c r="BB576" s="2459"/>
      <c r="BC576" s="2459"/>
      <c r="BD576" s="2460"/>
      <c r="BE576" s="1881">
        <f t="shared" si="3"/>
        <v>0.25</v>
      </c>
      <c r="BF576" s="1882"/>
      <c r="BG576" s="1882"/>
      <c r="BH576" s="1882"/>
      <c r="BI576" s="1883"/>
      <c r="BJ576" s="1874"/>
      <c r="BK576" s="2469"/>
      <c r="BL576" s="2469"/>
      <c r="BM576" s="2469"/>
      <c r="BN576" s="1875"/>
      <c r="BO576" s="1874"/>
      <c r="BP576" s="2469"/>
      <c r="BQ576" s="2469"/>
      <c r="BR576" s="2469"/>
      <c r="BS576" s="1875"/>
      <c r="BT576" s="1874"/>
      <c r="BU576" s="2469"/>
      <c r="BV576" s="2469"/>
      <c r="BW576" s="2469"/>
      <c r="BX576" s="1875"/>
      <c r="BY576" s="1874">
        <f>IF(AND(AND(AZ573+AZ574+AZ575=0,BO574+BT575+BJ573=0,AP586=1)),1,0)</f>
        <v>0</v>
      </c>
      <c r="BZ576" s="2469"/>
      <c r="CA576" s="2469"/>
      <c r="CB576" s="2469"/>
      <c r="CC576" s="1875"/>
      <c r="CD576" s="1874"/>
      <c r="CE576" s="2469"/>
      <c r="CF576" s="2469"/>
      <c r="CG576" s="2469"/>
      <c r="CH576" s="1875"/>
      <c r="CI576" s="1874"/>
      <c r="CJ576" s="2469"/>
      <c r="CK576" s="2469"/>
      <c r="CL576" s="2469"/>
      <c r="CM576" s="1875"/>
      <c r="CN576" s="65"/>
      <c r="CO576" s="65"/>
      <c r="CP576" s="65"/>
      <c r="CQ576" s="65"/>
      <c r="CR576" s="65"/>
    </row>
    <row r="577" spans="2:96" s="46" customFormat="1" ht="12.75" customHeight="1">
      <c r="B577" s="8"/>
      <c r="C577" s="8"/>
      <c r="D577" s="8"/>
      <c r="E577" s="1825" t="s">
        <v>1043</v>
      </c>
      <c r="F577" s="2178"/>
      <c r="G577" s="2178"/>
      <c r="H577" s="2178"/>
      <c r="I577" s="2178"/>
      <c r="J577" s="2178"/>
      <c r="K577" s="2178"/>
      <c r="L577" s="2178"/>
      <c r="M577" s="2178"/>
      <c r="N577" s="2178"/>
      <c r="O577" s="2178"/>
      <c r="P577" s="2178"/>
      <c r="Q577" s="2178"/>
      <c r="R577" s="2178"/>
      <c r="S577" s="2178"/>
      <c r="T577" s="2178"/>
      <c r="U577" s="2178"/>
      <c r="V577" s="2178"/>
      <c r="W577" s="2178"/>
      <c r="X577" s="2178"/>
      <c r="Y577" s="2178"/>
      <c r="Z577" s="2178"/>
      <c r="AA577" s="2178"/>
      <c r="AB577" s="2178"/>
      <c r="AC577" s="2178"/>
      <c r="AD577" s="2178"/>
      <c r="AE577" s="2178"/>
      <c r="AF577" s="2178"/>
      <c r="AG577" s="2178"/>
      <c r="AH577" s="2179"/>
      <c r="AK577" s="252"/>
      <c r="AL577" s="252"/>
      <c r="AM577" s="8"/>
      <c r="AN577" s="439"/>
      <c r="AP577" s="2463" t="str">
        <f t="shared" si="0"/>
        <v>1 BR</v>
      </c>
      <c r="AQ577" s="2464"/>
      <c r="AR577" s="2464"/>
      <c r="AS577" s="2464"/>
      <c r="AT577" s="2465"/>
      <c r="AU577" s="2458">
        <f t="shared" si="1"/>
        <v>80</v>
      </c>
      <c r="AV577" s="2459"/>
      <c r="AW577" s="2459"/>
      <c r="AX577" s="2459"/>
      <c r="AY577" s="2460"/>
      <c r="AZ577" s="2458">
        <f t="shared" si="2"/>
        <v>40</v>
      </c>
      <c r="BA577" s="2459"/>
      <c r="BB577" s="2459"/>
      <c r="BC577" s="2459"/>
      <c r="BD577" s="2460"/>
      <c r="BE577" s="1881">
        <f t="shared" si="3"/>
        <v>0.5</v>
      </c>
      <c r="BF577" s="1882"/>
      <c r="BG577" s="1882"/>
      <c r="BH577" s="1882"/>
      <c r="BI577" s="1883"/>
      <c r="BJ577" s="1874"/>
      <c r="BK577" s="2469"/>
      <c r="BL577" s="2469"/>
      <c r="BM577" s="2469"/>
      <c r="BN577" s="1875"/>
      <c r="BO577" s="1874"/>
      <c r="BP577" s="2469"/>
      <c r="BQ577" s="2469"/>
      <c r="BR577" s="2469"/>
      <c r="BS577" s="1875"/>
      <c r="BT577" s="1874"/>
      <c r="BU577" s="2469"/>
      <c r="BV577" s="2469"/>
      <c r="BW577" s="2469"/>
      <c r="BX577" s="1875"/>
      <c r="BY577" s="1874"/>
      <c r="BZ577" s="2469"/>
      <c r="CA577" s="2469"/>
      <c r="CB577" s="2469"/>
      <c r="CC577" s="1875"/>
      <c r="CD577" s="1874">
        <f>IF(AND(AND(BE574+BE575+BE576+BE573=0,BT575+BY576+BO574+BJ573=0,AP587=1)),1,0)</f>
        <v>0</v>
      </c>
      <c r="CE577" s="2469"/>
      <c r="CF577" s="2469"/>
      <c r="CG577" s="2469"/>
      <c r="CH577" s="1875"/>
      <c r="CI577" s="1874"/>
      <c r="CJ577" s="2469"/>
      <c r="CK577" s="2469"/>
      <c r="CL577" s="2469"/>
      <c r="CM577" s="1875"/>
      <c r="CN577" s="65"/>
      <c r="CO577" s="65"/>
      <c r="CP577" s="65"/>
      <c r="CQ577" s="65"/>
      <c r="CR577" s="65"/>
    </row>
    <row r="578" spans="2:96" s="46" customFormat="1" ht="12.75" customHeight="1">
      <c r="E578" s="2586"/>
      <c r="F578" s="2182"/>
      <c r="G578" s="2182"/>
      <c r="H578" s="2182"/>
      <c r="I578" s="2182"/>
      <c r="J578" s="2182"/>
      <c r="K578" s="2182"/>
      <c r="L578" s="2182"/>
      <c r="M578" s="2182"/>
      <c r="N578" s="2182"/>
      <c r="O578" s="2182"/>
      <c r="P578" s="2182"/>
      <c r="Q578" s="2182"/>
      <c r="R578" s="2182"/>
      <c r="S578" s="2182"/>
      <c r="T578" s="2182"/>
      <c r="U578" s="2182"/>
      <c r="V578" s="2182"/>
      <c r="W578" s="2182"/>
      <c r="X578" s="2182"/>
      <c r="Y578" s="2182"/>
      <c r="Z578" s="2182"/>
      <c r="AA578" s="2182"/>
      <c r="AB578" s="2182"/>
      <c r="AC578" s="2182"/>
      <c r="AD578" s="2182"/>
      <c r="AE578" s="2182"/>
      <c r="AF578" s="2182"/>
      <c r="AG578" s="2182"/>
      <c r="AH578" s="2587"/>
      <c r="AN578" s="439"/>
      <c r="AP578" s="2463" t="str">
        <f t="shared" si="0"/>
        <v>SRO</v>
      </c>
      <c r="AQ578" s="2464"/>
      <c r="AR578" s="2464"/>
      <c r="AS578" s="2464"/>
      <c r="AT578" s="2465"/>
      <c r="AU578" s="2458">
        <f t="shared" si="1"/>
        <v>0</v>
      </c>
      <c r="AV578" s="2459"/>
      <c r="AW578" s="2459"/>
      <c r="AX578" s="2459"/>
      <c r="AY578" s="2460"/>
      <c r="AZ578" s="2458">
        <f t="shared" si="2"/>
        <v>0</v>
      </c>
      <c r="BA578" s="2459"/>
      <c r="BB578" s="2459"/>
      <c r="BC578" s="2459"/>
      <c r="BD578" s="2460"/>
      <c r="BE578" s="1881">
        <f t="shared" si="3"/>
        <v>0</v>
      </c>
      <c r="BF578" s="1882"/>
      <c r="BG578" s="1882"/>
      <c r="BH578" s="1882"/>
      <c r="BI578" s="1883"/>
      <c r="BJ578" s="1874"/>
      <c r="BK578" s="2469"/>
      <c r="BL578" s="2469"/>
      <c r="BM578" s="2469"/>
      <c r="BN578" s="1875"/>
      <c r="BO578" s="1874"/>
      <c r="BP578" s="2469"/>
      <c r="BQ578" s="2469"/>
      <c r="BR578" s="2469"/>
      <c r="BS578" s="1875"/>
      <c r="BT578" s="1874"/>
      <c r="BU578" s="2469"/>
      <c r="BV578" s="2469"/>
      <c r="BW578" s="2469"/>
      <c r="BX578" s="1875"/>
      <c r="BY578" s="1874"/>
      <c r="BZ578" s="2469"/>
      <c r="CA578" s="2469"/>
      <c r="CB578" s="2469"/>
      <c r="CC578" s="1875"/>
      <c r="CD578" s="1874"/>
      <c r="CE578" s="2469"/>
      <c r="CF578" s="2469"/>
      <c r="CG578" s="2469"/>
      <c r="CH578" s="1875"/>
      <c r="CI578" s="1874">
        <f>IF(AND(AND(AZ575+AZ576+AZ577+AZ574+AZ573=0,BY576+CD577+BT575+BO574+BJ573=0,AP588=1)),1,0)</f>
        <v>0</v>
      </c>
      <c r="CJ578" s="2469"/>
      <c r="CK578" s="2469"/>
      <c r="CL578" s="2469"/>
      <c r="CM578" s="1875"/>
      <c r="CN578" s="65"/>
      <c r="CO578" s="65"/>
      <c r="CP578" s="65"/>
      <c r="CQ578" s="65"/>
      <c r="CR578" s="65"/>
    </row>
    <row r="579" spans="2:96" s="46" customFormat="1" ht="12.75" customHeight="1">
      <c r="E579" s="2619" t="s">
        <v>1687</v>
      </c>
      <c r="F579" s="2620"/>
      <c r="G579" s="2620"/>
      <c r="H579" s="2620"/>
      <c r="I579" s="2620"/>
      <c r="J579" s="2621"/>
      <c r="K579" s="2619" t="s">
        <v>1988</v>
      </c>
      <c r="L579" s="2620"/>
      <c r="M579" s="2620"/>
      <c r="N579" s="2620"/>
      <c r="O579" s="2620"/>
      <c r="P579" s="2621"/>
      <c r="Q579" s="2578" t="s">
        <v>1683</v>
      </c>
      <c r="R579" s="2579"/>
      <c r="S579" s="2579"/>
      <c r="T579" s="2579"/>
      <c r="U579" s="2579"/>
      <c r="V579" s="2580"/>
      <c r="W579" s="2578" t="str">
        <f>I568</f>
        <v>Percent of Low-Income Units (exclusive of manager’s units)</v>
      </c>
      <c r="X579" s="2579"/>
      <c r="Y579" s="2579"/>
      <c r="Z579" s="2579"/>
      <c r="AA579" s="2579"/>
      <c r="AB579" s="2580"/>
      <c r="AC579" s="2578" t="s">
        <v>1686</v>
      </c>
      <c r="AD579" s="2579"/>
      <c r="AE579" s="2579"/>
      <c r="AF579" s="2579"/>
      <c r="AG579" s="2579"/>
      <c r="AH579" s="2580"/>
      <c r="AN579" s="439"/>
      <c r="AP579" s="2463" t="str">
        <f t="shared" si="0"/>
        <v>Total:</v>
      </c>
      <c r="AQ579" s="2464"/>
      <c r="AR579" s="2464"/>
      <c r="AS579" s="2464"/>
      <c r="AT579" s="2465"/>
      <c r="AU579" s="2463"/>
      <c r="AV579" s="2464"/>
      <c r="AW579" s="2464"/>
      <c r="AX579" s="2464"/>
      <c r="AY579" s="2465"/>
      <c r="AZ579" s="2463"/>
      <c r="BA579" s="2464"/>
      <c r="BB579" s="2464"/>
      <c r="BC579" s="2464"/>
      <c r="BD579" s="2465"/>
      <c r="BE579" s="2463"/>
      <c r="BF579" s="2464"/>
      <c r="BG579" s="2464"/>
      <c r="BH579" s="2464"/>
      <c r="BI579" s="2465"/>
      <c r="BJ579" s="1874">
        <f>SUM(BJ573:BN578)</f>
        <v>0</v>
      </c>
      <c r="BK579" s="2469"/>
      <c r="BL579" s="2469"/>
      <c r="BM579" s="2469"/>
      <c r="BN579" s="1875"/>
      <c r="BO579" s="1874">
        <f>SUM(BO573:BS578)</f>
        <v>0</v>
      </c>
      <c r="BP579" s="2469"/>
      <c r="BQ579" s="2469"/>
      <c r="BR579" s="2469"/>
      <c r="BS579" s="1875"/>
      <c r="BT579" s="1874">
        <f>SUM(BT573:BX578)</f>
        <v>0</v>
      </c>
      <c r="BU579" s="2469"/>
      <c r="BV579" s="2469"/>
      <c r="BW579" s="2469"/>
      <c r="BX579" s="1875"/>
      <c r="BY579" s="1874">
        <f>SUM(BY573:CC578)</f>
        <v>0</v>
      </c>
      <c r="BZ579" s="2469"/>
      <c r="CA579" s="2469"/>
      <c r="CB579" s="2469"/>
      <c r="CC579" s="1875"/>
      <c r="CD579" s="1874">
        <f>SUM(CD573:CH578)</f>
        <v>0</v>
      </c>
      <c r="CE579" s="2469"/>
      <c r="CF579" s="2469"/>
      <c r="CG579" s="2469"/>
      <c r="CH579" s="1875"/>
      <c r="CI579" s="1874">
        <f>SUM(CI573:CM578)</f>
        <v>0</v>
      </c>
      <c r="CJ579" s="2469"/>
      <c r="CK579" s="2469"/>
      <c r="CL579" s="2469"/>
      <c r="CM579" s="1875"/>
      <c r="CN579" s="1874">
        <f>SUM(BJ579:CM579)</f>
        <v>0</v>
      </c>
      <c r="CO579" s="2469"/>
      <c r="CP579" s="2469"/>
      <c r="CQ579" s="2469"/>
      <c r="CR579" s="1875"/>
    </row>
    <row r="580" spans="2:96" s="46" customFormat="1" ht="12.75" customHeight="1">
      <c r="E580" s="2622"/>
      <c r="F580" s="2623"/>
      <c r="G580" s="2623"/>
      <c r="H580" s="2623"/>
      <c r="I580" s="2623"/>
      <c r="J580" s="2624"/>
      <c r="K580" s="2622"/>
      <c r="L580" s="2623"/>
      <c r="M580" s="2623"/>
      <c r="N580" s="2623"/>
      <c r="O580" s="2623"/>
      <c r="P580" s="2624"/>
      <c r="Q580" s="2396"/>
      <c r="R580" s="2397"/>
      <c r="S580" s="2397"/>
      <c r="T580" s="2397"/>
      <c r="U580" s="2397"/>
      <c r="V580" s="2398"/>
      <c r="W580" s="2396"/>
      <c r="X580" s="2397"/>
      <c r="Y580" s="2397"/>
      <c r="Z580" s="2397"/>
      <c r="AA580" s="2397"/>
      <c r="AB580" s="2398"/>
      <c r="AC580" s="2396"/>
      <c r="AD580" s="2397"/>
      <c r="AE580" s="2397"/>
      <c r="AF580" s="2397"/>
      <c r="AG580" s="2397"/>
      <c r="AH580" s="2398"/>
      <c r="AN580" s="439"/>
    </row>
    <row r="581" spans="2:96" s="46" customFormat="1" ht="12.75" customHeight="1">
      <c r="E581" s="2622"/>
      <c r="F581" s="2623"/>
      <c r="G581" s="2623"/>
      <c r="H581" s="2623"/>
      <c r="I581" s="2623"/>
      <c r="J581" s="2624"/>
      <c r="K581" s="2622"/>
      <c r="L581" s="2623"/>
      <c r="M581" s="2623"/>
      <c r="N581" s="2623"/>
      <c r="O581" s="2623"/>
      <c r="P581" s="2624"/>
      <c r="Q581" s="2396"/>
      <c r="R581" s="2397"/>
      <c r="S581" s="2397"/>
      <c r="T581" s="2397"/>
      <c r="U581" s="2397"/>
      <c r="V581" s="2398"/>
      <c r="W581" s="2396"/>
      <c r="X581" s="2397"/>
      <c r="Y581" s="2397"/>
      <c r="Z581" s="2397"/>
      <c r="AA581" s="2397"/>
      <c r="AB581" s="2398"/>
      <c r="AC581" s="2396"/>
      <c r="AD581" s="2397"/>
      <c r="AE581" s="2397"/>
      <c r="AF581" s="2397"/>
      <c r="AG581" s="2397"/>
      <c r="AH581" s="2398"/>
      <c r="AN581" s="439"/>
    </row>
    <row r="582" spans="2:96" s="46" customFormat="1" ht="12.75" customHeight="1">
      <c r="E582" s="2622"/>
      <c r="F582" s="2623"/>
      <c r="G582" s="2623"/>
      <c r="H582" s="2623"/>
      <c r="I582" s="2623"/>
      <c r="J582" s="2624"/>
      <c r="K582" s="2622"/>
      <c r="L582" s="2623"/>
      <c r="M582" s="2623"/>
      <c r="N582" s="2623"/>
      <c r="O582" s="2623"/>
      <c r="P582" s="2624"/>
      <c r="Q582" s="2396"/>
      <c r="R582" s="2397"/>
      <c r="S582" s="2397"/>
      <c r="T582" s="2397"/>
      <c r="U582" s="2397"/>
      <c r="V582" s="2398"/>
      <c r="W582" s="2396"/>
      <c r="X582" s="2397"/>
      <c r="Y582" s="2397"/>
      <c r="Z582" s="2397"/>
      <c r="AA582" s="2397"/>
      <c r="AB582" s="2398"/>
      <c r="AC582" s="2396"/>
      <c r="AD582" s="2397"/>
      <c r="AE582" s="2397"/>
      <c r="AF582" s="2397"/>
      <c r="AG582" s="2397"/>
      <c r="AH582" s="2398"/>
      <c r="AN582" s="439"/>
      <c r="AP582" s="63" t="s">
        <v>1249</v>
      </c>
      <c r="BH582" s="63" t="s">
        <v>1250</v>
      </c>
    </row>
    <row r="583" spans="2:96" s="46" customFormat="1" ht="12.75" customHeight="1">
      <c r="E583" s="2350">
        <v>25</v>
      </c>
      <c r="F583" s="2351"/>
      <c r="G583" s="2351"/>
      <c r="H583" s="2351"/>
      <c r="I583" s="2351"/>
      <c r="J583" s="2352"/>
      <c r="K583" s="2347">
        <v>20</v>
      </c>
      <c r="L583" s="2348"/>
      <c r="M583" s="2348"/>
      <c r="N583" s="2348"/>
      <c r="O583" s="2348"/>
      <c r="P583" s="2349"/>
      <c r="Q583" s="2361">
        <f>IF(ISERROR(IF((((E583/$BJ$530)*100)&gt;100),"EXCESSIVE VALUE",(E583/$BJ$530)*100)),0,IF((((E583/$BJ$530)*100)&gt;100),"EXCESSIVE VALUE",(E583/$BJ$530)*100))</f>
        <v>25</v>
      </c>
      <c r="R583" s="2362"/>
      <c r="S583" s="2362"/>
      <c r="T583" s="2362"/>
      <c r="U583" s="2362"/>
      <c r="V583" s="2363"/>
      <c r="W583" s="2353">
        <f>IF(FLOOR(Q583,5)&gt;80,80,FLOOR(Q583,5))</f>
        <v>25</v>
      </c>
      <c r="X583" s="2354"/>
      <c r="Y583" s="2354"/>
      <c r="Z583" s="2354"/>
      <c r="AA583" s="2354"/>
      <c r="AB583" s="2355"/>
      <c r="AC583" s="2353">
        <f t="shared" ref="AC583:AC588" si="4">IF(W583&gt;0,INDEX($BI$509:$BP$523,MATCH(W583,$BH$509:$BH$523,0),MATCH(K583,$BI$508:$BP$508,0)),0)</f>
        <v>50</v>
      </c>
      <c r="AD583" s="2354"/>
      <c r="AE583" s="2354"/>
      <c r="AF583" s="2354"/>
      <c r="AG583" s="2354"/>
      <c r="AH583" s="2355"/>
      <c r="AN583" s="439"/>
      <c r="AO583" s="46">
        <v>5</v>
      </c>
      <c r="AP583" s="2482">
        <f t="shared" ref="AP583:AP588" si="5">IF(OR(BE573&gt;=0.1,BE573=0),0,1)</f>
        <v>0</v>
      </c>
      <c r="AQ583" s="2483"/>
      <c r="AR583" s="2483"/>
      <c r="AS583" s="2483"/>
      <c r="AT583" s="2484"/>
      <c r="AX583" s="2455" t="s">
        <v>870</v>
      </c>
      <c r="AY583" s="2461"/>
      <c r="AZ583" s="2461"/>
      <c r="BA583" s="2461"/>
      <c r="BB583" s="2461"/>
      <c r="BC583" s="2461"/>
      <c r="BD583" s="2461"/>
      <c r="BE583" s="2461"/>
      <c r="BF583" s="2461"/>
      <c r="BG583" s="2461"/>
      <c r="BH583" s="2461"/>
      <c r="BI583" s="2461"/>
      <c r="BJ583" s="2461"/>
      <c r="BK583" s="2461"/>
      <c r="BL583" s="2461"/>
      <c r="BM583" s="2461"/>
      <c r="BN583" s="2461"/>
      <c r="BO583" s="2461"/>
      <c r="BP583" s="2461"/>
      <c r="BQ583" s="2456"/>
    </row>
    <row r="584" spans="2:96" s="46" customFormat="1" ht="12.75" customHeight="1">
      <c r="E584" s="2350">
        <v>20</v>
      </c>
      <c r="F584" s="2351"/>
      <c r="G584" s="2351"/>
      <c r="H584" s="2351"/>
      <c r="I584" s="2351"/>
      <c r="J584" s="2352"/>
      <c r="K584" s="2347">
        <v>30</v>
      </c>
      <c r="L584" s="2348"/>
      <c r="M584" s="2348"/>
      <c r="N584" s="2348"/>
      <c r="O584" s="2348"/>
      <c r="P584" s="2349"/>
      <c r="Q584" s="2361">
        <f t="shared" ref="Q584:Q591" si="6">IF(ISERROR(IF((((E584/$BJ$530)*100)&gt;100),"EXCESSIVE VALUE",(E584/$BJ$530)*100)),0,IF((((E584/$BJ$530)*100)&gt;100),"EXCESSIVE VALUE",(E584/$BJ$530)*100))</f>
        <v>20</v>
      </c>
      <c r="R584" s="2362"/>
      <c r="S584" s="2362"/>
      <c r="T584" s="2362"/>
      <c r="U584" s="2362"/>
      <c r="V584" s="2363"/>
      <c r="W584" s="2353">
        <f>IF(FLOOR(Q584,5)&gt;80,80,FLOOR(Q584,5))</f>
        <v>20</v>
      </c>
      <c r="X584" s="2354"/>
      <c r="Y584" s="2354"/>
      <c r="Z584" s="2354"/>
      <c r="AA584" s="2354"/>
      <c r="AB584" s="2355"/>
      <c r="AC584" s="2353">
        <f t="shared" si="4"/>
        <v>30</v>
      </c>
      <c r="AD584" s="2354"/>
      <c r="AE584" s="2354"/>
      <c r="AF584" s="2354"/>
      <c r="AG584" s="2354"/>
      <c r="AH584" s="2355"/>
      <c r="AN584" s="439"/>
      <c r="AO584" s="46">
        <v>4</v>
      </c>
      <c r="AP584" s="2482">
        <f t="shared" si="5"/>
        <v>0</v>
      </c>
      <c r="AQ584" s="2483"/>
      <c r="AR584" s="2483"/>
      <c r="AS584" s="2483"/>
      <c r="AT584" s="2484"/>
      <c r="AX584" s="2480" t="s">
        <v>682</v>
      </c>
      <c r="AY584" s="2481"/>
      <c r="AZ584" s="1806" t="s">
        <v>682</v>
      </c>
      <c r="BA584" s="1807"/>
      <c r="BB584" s="2480" t="s">
        <v>293</v>
      </c>
      <c r="BC584" s="2481"/>
      <c r="BD584" s="2470" t="s">
        <v>293</v>
      </c>
      <c r="BE584" s="2472"/>
      <c r="BF584" s="2480" t="s">
        <v>292</v>
      </c>
      <c r="BG584" s="2481"/>
      <c r="BH584" s="2470" t="s">
        <v>292</v>
      </c>
      <c r="BI584" s="2472"/>
      <c r="BJ584" s="2480" t="s">
        <v>291</v>
      </c>
      <c r="BK584" s="2481"/>
      <c r="BL584" s="2470" t="s">
        <v>291</v>
      </c>
      <c r="BM584" s="2472"/>
      <c r="BN584" s="2480" t="s">
        <v>681</v>
      </c>
      <c r="BO584" s="2481"/>
      <c r="BP584" s="2470" t="s">
        <v>681</v>
      </c>
      <c r="BQ584" s="2472"/>
    </row>
    <row r="585" spans="2:96" s="46" customFormat="1" ht="12.75" customHeight="1">
      <c r="E585" s="2350"/>
      <c r="F585" s="2351"/>
      <c r="G585" s="2351"/>
      <c r="H585" s="2351"/>
      <c r="I585" s="2351"/>
      <c r="J585" s="2352"/>
      <c r="K585" s="2347">
        <v>35</v>
      </c>
      <c r="L585" s="2348"/>
      <c r="M585" s="2348"/>
      <c r="N585" s="2348"/>
      <c r="O585" s="2348"/>
      <c r="P585" s="2349"/>
      <c r="Q585" s="2361">
        <f t="shared" si="6"/>
        <v>0</v>
      </c>
      <c r="R585" s="2362"/>
      <c r="S585" s="2362"/>
      <c r="T585" s="2362"/>
      <c r="U585" s="2362"/>
      <c r="V585" s="2363"/>
      <c r="W585" s="2353">
        <f t="shared" ref="W585:W591" si="7">IF(FLOOR(Q585,5)&gt;80,80,FLOOR(Q585,5))</f>
        <v>0</v>
      </c>
      <c r="X585" s="2354"/>
      <c r="Y585" s="2354"/>
      <c r="Z585" s="2354"/>
      <c r="AA585" s="2354"/>
      <c r="AB585" s="2355"/>
      <c r="AC585" s="2353">
        <f t="shared" si="4"/>
        <v>0</v>
      </c>
      <c r="AD585" s="2354"/>
      <c r="AE585" s="2354"/>
      <c r="AF585" s="2354"/>
      <c r="AG585" s="2354"/>
      <c r="AH585" s="2355"/>
      <c r="AN585" s="439"/>
      <c r="AO585" s="137">
        <v>3</v>
      </c>
      <c r="AP585" s="2347">
        <f t="shared" si="5"/>
        <v>0</v>
      </c>
      <c r="AQ585" s="2348"/>
      <c r="AR585" s="2348"/>
      <c r="AS585" s="2348"/>
      <c r="AT585" s="2349"/>
      <c r="AX585" s="2480">
        <f>IF(AP535=1,1,0)</f>
        <v>0</v>
      </c>
      <c r="AY585" s="2481"/>
      <c r="AZ585" s="2455"/>
      <c r="BA585" s="2456"/>
      <c r="BB585" s="2478"/>
      <c r="BC585" s="2479"/>
      <c r="BD585" s="2470">
        <f>IF(AND(T608&gt;0,AP535&gt;0),1,0)</f>
        <v>0</v>
      </c>
      <c r="BE585" s="2472"/>
      <c r="BF585" s="2478"/>
      <c r="BG585" s="2479"/>
      <c r="BH585" s="2470">
        <f>IF(AND(T608&gt;0,AP535&gt;0),1,0)</f>
        <v>0</v>
      </c>
      <c r="BI585" s="2472"/>
      <c r="BJ585" s="2478"/>
      <c r="BK585" s="2479"/>
      <c r="BL585" s="2470">
        <f>IF(AND(T608&gt;0,AP535&gt;0),1,0)</f>
        <v>0</v>
      </c>
      <c r="BM585" s="2472"/>
      <c r="BN585" s="2478"/>
      <c r="BO585" s="2479"/>
      <c r="BP585" s="2470">
        <f>IF(AND(T608&gt;0,AP535&gt;0),1,0)</f>
        <v>0</v>
      </c>
      <c r="BQ585" s="2472"/>
    </row>
    <row r="586" spans="2:96" s="46" customFormat="1" ht="12.75" customHeight="1">
      <c r="E586" s="2350">
        <v>25</v>
      </c>
      <c r="F586" s="2351"/>
      <c r="G586" s="2351"/>
      <c r="H586" s="2351"/>
      <c r="I586" s="2351"/>
      <c r="J586" s="2352"/>
      <c r="K586" s="2347">
        <v>40</v>
      </c>
      <c r="L586" s="2348"/>
      <c r="M586" s="2348"/>
      <c r="N586" s="2348"/>
      <c r="O586" s="2348"/>
      <c r="P586" s="2349"/>
      <c r="Q586" s="2361">
        <f t="shared" si="6"/>
        <v>25</v>
      </c>
      <c r="R586" s="2362"/>
      <c r="S586" s="2362"/>
      <c r="T586" s="2362"/>
      <c r="U586" s="2362"/>
      <c r="V586" s="2363"/>
      <c r="W586" s="2353">
        <f t="shared" si="7"/>
        <v>25</v>
      </c>
      <c r="X586" s="2354"/>
      <c r="Y586" s="2354"/>
      <c r="Z586" s="2354"/>
      <c r="AA586" s="2354"/>
      <c r="AB586" s="2355"/>
      <c r="AC586" s="2353">
        <f t="shared" si="4"/>
        <v>25</v>
      </c>
      <c r="AD586" s="2354"/>
      <c r="AE586" s="2354"/>
      <c r="AF586" s="2354"/>
      <c r="AG586" s="2354"/>
      <c r="AH586" s="2355"/>
      <c r="AN586" s="439"/>
      <c r="AO586" s="46">
        <v>2</v>
      </c>
      <c r="AP586" s="2482">
        <f t="shared" si="5"/>
        <v>0</v>
      </c>
      <c r="AQ586" s="2483"/>
      <c r="AR586" s="2483"/>
      <c r="AS586" s="2483"/>
      <c r="AT586" s="2484"/>
      <c r="AX586" s="2478"/>
      <c r="AY586" s="2479"/>
      <c r="AZ586" s="2455"/>
      <c r="BA586" s="2456"/>
      <c r="BB586" s="2480">
        <f>IF(AP536=1,1,0)</f>
        <v>0</v>
      </c>
      <c r="BC586" s="2481"/>
      <c r="BD586" s="2455"/>
      <c r="BE586" s="2456"/>
      <c r="BF586" s="2478"/>
      <c r="BG586" s="2479"/>
      <c r="BH586" s="2470">
        <f>IF(AND(T609&gt;0,AP536&gt;0),1,0)</f>
        <v>0</v>
      </c>
      <c r="BI586" s="2472"/>
      <c r="BJ586" s="2478"/>
      <c r="BK586" s="2479"/>
      <c r="BL586" s="2470">
        <f>IF(AND(T609&gt;0,AP536&gt;0),1,0)</f>
        <v>0</v>
      </c>
      <c r="BM586" s="2472"/>
      <c r="BN586" s="2478"/>
      <c r="BO586" s="2479"/>
      <c r="BP586" s="2470">
        <f>IF(AND(T609&gt;0,AP536&gt;0),1,0)</f>
        <v>0</v>
      </c>
      <c r="BQ586" s="2472"/>
    </row>
    <row r="587" spans="2:96" s="46" customFormat="1" ht="12.75" customHeight="1">
      <c r="E587" s="2350"/>
      <c r="F587" s="2351"/>
      <c r="G587" s="2351"/>
      <c r="H587" s="2351"/>
      <c r="I587" s="2351"/>
      <c r="J587" s="2352"/>
      <c r="K587" s="2347">
        <v>45</v>
      </c>
      <c r="L587" s="2348"/>
      <c r="M587" s="2348"/>
      <c r="N587" s="2348"/>
      <c r="O587" s="2348"/>
      <c r="P587" s="2349"/>
      <c r="Q587" s="2361">
        <f t="shared" si="6"/>
        <v>0</v>
      </c>
      <c r="R587" s="2362"/>
      <c r="S587" s="2362"/>
      <c r="T587" s="2362"/>
      <c r="U587" s="2362"/>
      <c r="V587" s="2363"/>
      <c r="W587" s="2353">
        <f>IF(FLOOR(Q587,5)&gt;65,65,FLOOR(Q587,5))</f>
        <v>0</v>
      </c>
      <c r="X587" s="2354"/>
      <c r="Y587" s="2354"/>
      <c r="Z587" s="2354"/>
      <c r="AA587" s="2354"/>
      <c r="AB587" s="2355"/>
      <c r="AC587" s="2353">
        <f t="shared" si="4"/>
        <v>0</v>
      </c>
      <c r="AD587" s="2354"/>
      <c r="AE587" s="2354"/>
      <c r="AF587" s="2354"/>
      <c r="AG587" s="2354"/>
      <c r="AH587" s="2355"/>
      <c r="AN587" s="439"/>
      <c r="AO587" s="46">
        <v>1</v>
      </c>
      <c r="AP587" s="2482">
        <f t="shared" si="5"/>
        <v>0</v>
      </c>
      <c r="AQ587" s="2483"/>
      <c r="AR587" s="2483"/>
      <c r="AS587" s="2483"/>
      <c r="AT587" s="2484"/>
      <c r="AX587" s="2478"/>
      <c r="AY587" s="2479"/>
      <c r="AZ587" s="2455"/>
      <c r="BA587" s="2456"/>
      <c r="BB587" s="2478"/>
      <c r="BC587" s="2479"/>
      <c r="BD587" s="2455"/>
      <c r="BE587" s="2456"/>
      <c r="BF587" s="2480">
        <f>IF(AP537=1,1,0)</f>
        <v>0</v>
      </c>
      <c r="BG587" s="2481"/>
      <c r="BH587" s="2455"/>
      <c r="BI587" s="2456"/>
      <c r="BJ587" s="2478"/>
      <c r="BK587" s="2479"/>
      <c r="BL587" s="2470">
        <f>IF(AND(T610&gt;0,AP537&gt;0),1,0)</f>
        <v>1</v>
      </c>
      <c r="BM587" s="2472"/>
      <c r="BN587" s="2478"/>
      <c r="BO587" s="2479"/>
      <c r="BP587" s="2470">
        <f>IF(AND(T610&gt;0,AP537&gt;0),1,0)</f>
        <v>1</v>
      </c>
      <c r="BQ587" s="2472"/>
    </row>
    <row r="588" spans="2:96" s="46" customFormat="1" ht="12.75" customHeight="1">
      <c r="E588" s="2350">
        <v>30</v>
      </c>
      <c r="F588" s="2351"/>
      <c r="G588" s="2351"/>
      <c r="H588" s="2351"/>
      <c r="I588" s="2351"/>
      <c r="J588" s="2352"/>
      <c r="K588" s="2347">
        <v>50</v>
      </c>
      <c r="L588" s="2348"/>
      <c r="M588" s="2348"/>
      <c r="N588" s="2348"/>
      <c r="O588" s="2348"/>
      <c r="P588" s="2349"/>
      <c r="Q588" s="2361">
        <f t="shared" si="6"/>
        <v>30</v>
      </c>
      <c r="R588" s="2362"/>
      <c r="S588" s="2362"/>
      <c r="T588" s="2362"/>
      <c r="U588" s="2362"/>
      <c r="V588" s="2363"/>
      <c r="W588" s="2353">
        <f>IF(FLOOR(Q588,5)&gt;40,40,FLOOR(Q588,5))</f>
        <v>30</v>
      </c>
      <c r="X588" s="2354"/>
      <c r="Y588" s="2354"/>
      <c r="Z588" s="2354"/>
      <c r="AA588" s="2354"/>
      <c r="AB588" s="2355"/>
      <c r="AC588" s="2353">
        <f t="shared" si="4"/>
        <v>15</v>
      </c>
      <c r="AD588" s="2354"/>
      <c r="AE588" s="2354"/>
      <c r="AF588" s="2354"/>
      <c r="AG588" s="2354"/>
      <c r="AH588" s="2355"/>
      <c r="AN588" s="439"/>
      <c r="AO588" s="46">
        <v>0</v>
      </c>
      <c r="AP588" s="2482">
        <f t="shared" si="5"/>
        <v>0</v>
      </c>
      <c r="AQ588" s="2483"/>
      <c r="AR588" s="2483"/>
      <c r="AS588" s="2483"/>
      <c r="AT588" s="2484"/>
      <c r="AX588" s="2478"/>
      <c r="AY588" s="2479"/>
      <c r="AZ588" s="2455"/>
      <c r="BA588" s="2456"/>
      <c r="BB588" s="2478"/>
      <c r="BC588" s="2479"/>
      <c r="BD588" s="2455"/>
      <c r="BE588" s="2456"/>
      <c r="BF588" s="2478"/>
      <c r="BG588" s="2479"/>
      <c r="BH588" s="2455"/>
      <c r="BI588" s="2456"/>
      <c r="BJ588" s="2480">
        <f>IF(AP538=1,1,0)</f>
        <v>1</v>
      </c>
      <c r="BK588" s="2481"/>
      <c r="BL588" s="2478"/>
      <c r="BM588" s="2479"/>
      <c r="BN588" s="2478"/>
      <c r="BO588" s="2479"/>
      <c r="BP588" s="2470">
        <f>IF(AND(T611&gt;0,AP538&gt;0),1,0)</f>
        <v>1</v>
      </c>
      <c r="BQ588" s="2472"/>
    </row>
    <row r="589" spans="2:96" s="46" customFormat="1" ht="12.75" customHeight="1">
      <c r="E589" s="2447"/>
      <c r="F589" s="2448"/>
      <c r="G589" s="2448"/>
      <c r="H589" s="2448"/>
      <c r="I589" s="2448"/>
      <c r="J589" s="2449"/>
      <c r="K589" s="2443">
        <f>IF(OR(Application!D211="Rural",Application!D211="Rural apportionment (Section 514)",Application!D211="Rural apportionment (Section 515)",Application!D211="Rural apportionment (HOME)",Application!D211="Rural (Native American apportionment)"),50,0)</f>
        <v>0</v>
      </c>
      <c r="L589" s="2444"/>
      <c r="M589" s="2445" t="s">
        <v>2094</v>
      </c>
      <c r="N589" s="2445"/>
      <c r="O589" s="2445"/>
      <c r="P589" s="2446"/>
      <c r="Q589" s="2361">
        <f t="shared" si="6"/>
        <v>0</v>
      </c>
      <c r="R589" s="2362"/>
      <c r="S589" s="2362"/>
      <c r="T589" s="2362"/>
      <c r="U589" s="2362"/>
      <c r="V589" s="2363"/>
      <c r="W589" s="2353">
        <f>IF(FLOOR(Q589,5)&gt;50,50,FLOOR(Q589,5))</f>
        <v>0</v>
      </c>
      <c r="X589" s="2354"/>
      <c r="Y589" s="2354"/>
      <c r="Z589" s="2354"/>
      <c r="AA589" s="2354"/>
      <c r="AB589" s="2355"/>
      <c r="AC589" s="2353">
        <f>IF(W589&gt;0,INDEX($AT$509:$BA$523,MATCH(W589,$AS$509:$AS$523,0),MATCH(K589,$AT$508:$BA$508,0)),0)</f>
        <v>0</v>
      </c>
      <c r="AD589" s="2354"/>
      <c r="AE589" s="2354"/>
      <c r="AF589" s="2354"/>
      <c r="AG589" s="2354"/>
      <c r="AH589" s="2355"/>
      <c r="AN589" s="439"/>
      <c r="AP589" s="2482"/>
      <c r="AQ589" s="2483"/>
      <c r="AR589" s="2483"/>
      <c r="AS589" s="2483"/>
      <c r="AT589" s="2484"/>
      <c r="AX589" s="2478"/>
      <c r="AY589" s="2479"/>
      <c r="AZ589" s="2455"/>
      <c r="BA589" s="2456"/>
      <c r="BB589" s="2478"/>
      <c r="BC589" s="2479"/>
      <c r="BD589" s="2455"/>
      <c r="BE589" s="2456"/>
      <c r="BF589" s="2478"/>
      <c r="BG589" s="2479"/>
      <c r="BH589" s="2455"/>
      <c r="BI589" s="2456"/>
      <c r="BJ589" s="2478"/>
      <c r="BK589" s="2479"/>
      <c r="BL589" s="2478"/>
      <c r="BM589" s="2479"/>
      <c r="BN589" s="2480">
        <f>IF(AP539=1,1,0)</f>
        <v>0</v>
      </c>
      <c r="BO589" s="2481"/>
      <c r="BP589" s="2455"/>
      <c r="BQ589" s="2456"/>
    </row>
    <row r="590" spans="2:96" s="46" customFormat="1" ht="12.75" customHeight="1">
      <c r="E590" s="2447"/>
      <c r="F590" s="2448"/>
      <c r="G590" s="2448"/>
      <c r="H590" s="2448"/>
      <c r="I590" s="2448"/>
      <c r="J590" s="2449"/>
      <c r="K590" s="2443">
        <f>IF(OR(Application!D211="Rural",Application!D211="Rural apportionment (Section 514)",Application!D211="Rural apportionment (Section 515)",Application!D211="Rural apportionment (HOME)",Application!D211="Rural (Native American apportionment)"),55,0)</f>
        <v>0</v>
      </c>
      <c r="L590" s="2444"/>
      <c r="M590" s="2445" t="s">
        <v>2094</v>
      </c>
      <c r="N590" s="2445"/>
      <c r="O590" s="2445"/>
      <c r="P590" s="2446"/>
      <c r="Q590" s="2361">
        <f t="shared" si="6"/>
        <v>0</v>
      </c>
      <c r="R590" s="2362"/>
      <c r="S590" s="2362"/>
      <c r="T590" s="2362"/>
      <c r="U590" s="2362"/>
      <c r="V590" s="2363"/>
      <c r="W590" s="2353">
        <f>IF(FLOOR(Q590,5)&gt;40,40,FLOOR(Q590,5))</f>
        <v>0</v>
      </c>
      <c r="X590" s="2354"/>
      <c r="Y590" s="2354"/>
      <c r="Z590" s="2354"/>
      <c r="AA590" s="2354"/>
      <c r="AB590" s="2355"/>
      <c r="AC590" s="2353">
        <f>IF(W590&gt;0,INDEX($AT$509:$BA$523,MATCH(W590,$AS$509:$AS$523,0),MATCH(K590,$AT$508:$BA$508,0)),0)</f>
        <v>0</v>
      </c>
      <c r="AD590" s="2354"/>
      <c r="AE590" s="2354"/>
      <c r="AF590" s="2354"/>
      <c r="AG590" s="2354"/>
      <c r="AH590" s="2355"/>
      <c r="AN590" s="439"/>
      <c r="AX590" s="2480">
        <f>SUM(AX585:AY589)</f>
        <v>0</v>
      </c>
      <c r="AY590" s="2481"/>
      <c r="AZ590" s="2470">
        <f>SUM(AZ586:BA589)</f>
        <v>0</v>
      </c>
      <c r="BA590" s="2472"/>
      <c r="BB590" s="2480">
        <f>SUM(BB586:BC589)</f>
        <v>0</v>
      </c>
      <c r="BC590" s="2481"/>
      <c r="BD590" s="2470">
        <f>SUM(BD585:BE589)</f>
        <v>0</v>
      </c>
      <c r="BE590" s="2472"/>
      <c r="BF590" s="2480">
        <f>SUM(BF587:BG589)</f>
        <v>0</v>
      </c>
      <c r="BG590" s="2481"/>
      <c r="BH590" s="2470">
        <f>SUM(BH585:BI589)</f>
        <v>0</v>
      </c>
      <c r="BI590" s="2472"/>
      <c r="BJ590" s="2480">
        <f>SUM(BJ585:BK589)</f>
        <v>1</v>
      </c>
      <c r="BK590" s="2481"/>
      <c r="BL590" s="2470">
        <f>SUM(BL585:BM589)</f>
        <v>1</v>
      </c>
      <c r="BM590" s="2472"/>
      <c r="BN590" s="2480">
        <f>SUM(BN585:BO589)</f>
        <v>0</v>
      </c>
      <c r="BO590" s="2481"/>
      <c r="BP590" s="2470">
        <f>SUM(BP585:BQ589)</f>
        <v>2</v>
      </c>
      <c r="BQ590" s="2472"/>
    </row>
    <row r="591" spans="2:96" s="46" customFormat="1" ht="12.75" customHeight="1">
      <c r="E591" s="2350"/>
      <c r="F591" s="2351"/>
      <c r="G591" s="2351"/>
      <c r="H591" s="2351"/>
      <c r="I591" s="2351"/>
      <c r="J591" s="2352"/>
      <c r="K591" s="2347" t="s">
        <v>2095</v>
      </c>
      <c r="L591" s="2348"/>
      <c r="M591" s="2348"/>
      <c r="N591" s="2348"/>
      <c r="O591" s="2348"/>
      <c r="P591" s="2349"/>
      <c r="Q591" s="2361">
        <f t="shared" si="6"/>
        <v>0</v>
      </c>
      <c r="R591" s="2362"/>
      <c r="S591" s="2362"/>
      <c r="T591" s="2362"/>
      <c r="U591" s="2362"/>
      <c r="V591" s="2363"/>
      <c r="W591" s="2353">
        <f t="shared" si="7"/>
        <v>0</v>
      </c>
      <c r="X591" s="2354"/>
      <c r="Y591" s="2354"/>
      <c r="Z591" s="2354"/>
      <c r="AA591" s="2354"/>
      <c r="AB591" s="2355"/>
      <c r="AC591" s="2353">
        <v>0</v>
      </c>
      <c r="AD591" s="2354"/>
      <c r="AE591" s="2354"/>
      <c r="AF591" s="2354"/>
      <c r="AG591" s="2354"/>
      <c r="AH591" s="2355"/>
      <c r="AN591" s="439"/>
      <c r="AX591" s="2475">
        <f>IF(AND(AX590=1,AZ590&gt;1),1,0)</f>
        <v>0</v>
      </c>
      <c r="AY591" s="2476"/>
      <c r="AZ591" s="2476"/>
      <c r="BA591" s="2477"/>
      <c r="BB591" s="2475">
        <f>IF(AND(BB590=1,BD590&gt;=1),1,0)</f>
        <v>0</v>
      </c>
      <c r="BC591" s="2476"/>
      <c r="BD591" s="2476"/>
      <c r="BE591" s="2477"/>
      <c r="BF591" s="2475">
        <f>IF(AND(BF590=1,BH590&gt;=1),1,0)</f>
        <v>0</v>
      </c>
      <c r="BG591" s="2476"/>
      <c r="BH591" s="2476"/>
      <c r="BI591" s="2477"/>
      <c r="BJ591" s="2475">
        <f>IF(AND(BJ590=1,BL590&gt;=1),1,0)</f>
        <v>1</v>
      </c>
      <c r="BK591" s="2476"/>
      <c r="BL591" s="2476"/>
      <c r="BM591" s="2477"/>
      <c r="BN591" s="2475">
        <f>IF(AND(BN590=1,BP590&gt;=1),1,0)</f>
        <v>0</v>
      </c>
      <c r="BO591" s="2476"/>
      <c r="BP591" s="2476"/>
      <c r="BQ591" s="2477"/>
    </row>
    <row r="592" spans="2:96" s="46" customFormat="1" ht="12.75" customHeight="1">
      <c r="E592" s="2591">
        <f>SUM(E583:J591)</f>
        <v>100</v>
      </c>
      <c r="F592" s="2592"/>
      <c r="G592" s="2592"/>
      <c r="H592" s="2592"/>
      <c r="I592" s="2592"/>
      <c r="J592" s="2593"/>
      <c r="K592" s="260"/>
      <c r="L592" s="260"/>
      <c r="M592" s="260"/>
      <c r="N592" s="260"/>
      <c r="O592" s="260"/>
      <c r="P592" s="260"/>
      <c r="Q592" s="260"/>
      <c r="R592" s="260"/>
      <c r="S592" s="260"/>
      <c r="T592" s="260"/>
      <c r="U592" s="254"/>
      <c r="V592" s="254"/>
      <c r="W592" s="254"/>
      <c r="X592" s="254"/>
      <c r="Y592" s="254"/>
      <c r="Z592" s="260"/>
      <c r="AA592" s="254"/>
      <c r="AB592" s="100" t="s">
        <v>671</v>
      </c>
      <c r="AC592" s="2588">
        <f>IF(SUM(AC583:AH591)&gt;0,SUM(AC583:AH591),0)</f>
        <v>120</v>
      </c>
      <c r="AD592" s="2589"/>
      <c r="AE592" s="2589"/>
      <c r="AF592" s="2589"/>
      <c r="AG592" s="2589"/>
      <c r="AH592" s="2590"/>
      <c r="AK592" s="8"/>
      <c r="AL592" s="8"/>
      <c r="AM592" s="261"/>
      <c r="AN592" s="439"/>
      <c r="AX592" s="16"/>
      <c r="AY592" s="16"/>
      <c r="AZ592" s="16"/>
      <c r="BA592" s="16"/>
      <c r="BB592" s="16"/>
      <c r="BC592" s="16"/>
      <c r="BD592" s="16"/>
      <c r="BE592" s="16"/>
      <c r="BF592" s="16"/>
      <c r="BG592" s="16"/>
      <c r="BH592" s="16"/>
      <c r="BI592" s="240" t="s">
        <v>676</v>
      </c>
      <c r="BJ592" s="2475">
        <f>AX591+BB591+BF591+BJ591+BN591</f>
        <v>1</v>
      </c>
      <c r="BK592" s="2476"/>
      <c r="BL592" s="2476"/>
      <c r="BM592" s="2477"/>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68" t="s">
        <v>114</v>
      </c>
      <c r="AH595" s="2368"/>
      <c r="AI595" s="2368"/>
      <c r="AJ595" s="2368"/>
      <c r="AK595" s="8"/>
      <c r="AL595" s="8"/>
      <c r="AM595" s="8"/>
      <c r="AN595" s="439"/>
    </row>
    <row r="596" spans="1:69" s="46" customFormat="1" ht="12.75" customHeight="1">
      <c r="B596" s="2581" t="s">
        <v>2071</v>
      </c>
      <c r="C596" s="2581"/>
      <c r="D596" s="2581"/>
      <c r="E596" s="2581"/>
      <c r="F596" s="2581"/>
      <c r="G596" s="2581"/>
      <c r="H596" s="2581"/>
      <c r="I596" s="2581"/>
      <c r="J596" s="2581"/>
      <c r="K596" s="2581"/>
      <c r="L596" s="2581"/>
      <c r="M596" s="2581"/>
      <c r="N596" s="2581"/>
      <c r="O596" s="2581"/>
      <c r="P596" s="2581"/>
      <c r="Q596" s="2581"/>
      <c r="R596" s="2581"/>
      <c r="S596" s="2581"/>
      <c r="T596" s="2581"/>
      <c r="U596" s="2581"/>
      <c r="V596" s="2581"/>
      <c r="W596" s="2581"/>
      <c r="X596" s="2581"/>
      <c r="Y596" s="2581"/>
      <c r="Z596" s="2581"/>
      <c r="AA596" s="2581"/>
      <c r="AB596" s="2581"/>
      <c r="AC596" s="2581"/>
      <c r="AD596" s="2581"/>
      <c r="AE596" s="2581"/>
      <c r="AF596" s="2581"/>
      <c r="AG596" s="2581"/>
      <c r="AH596" s="2581"/>
      <c r="AI596" s="65"/>
      <c r="AJ596" s="65"/>
      <c r="AK596" s="16"/>
      <c r="AL596" s="16"/>
      <c r="AM596" s="16"/>
      <c r="AN596" s="439"/>
    </row>
    <row r="597" spans="1:69" s="46" customFormat="1" ht="12.75" customHeight="1">
      <c r="A597" s="65"/>
      <c r="B597" s="2581"/>
      <c r="C597" s="2581"/>
      <c r="D597" s="2581"/>
      <c r="E597" s="2581"/>
      <c r="F597" s="2581"/>
      <c r="G597" s="2581"/>
      <c r="H597" s="2581"/>
      <c r="I597" s="2581"/>
      <c r="J597" s="2581"/>
      <c r="K597" s="2581"/>
      <c r="L597" s="2581"/>
      <c r="M597" s="2581"/>
      <c r="N597" s="2581"/>
      <c r="O597" s="2581"/>
      <c r="P597" s="2581"/>
      <c r="Q597" s="2581"/>
      <c r="R597" s="2581"/>
      <c r="S597" s="2581"/>
      <c r="T597" s="2581"/>
      <c r="U597" s="2581"/>
      <c r="V597" s="2581"/>
      <c r="W597" s="2581"/>
      <c r="X597" s="2581"/>
      <c r="Y597" s="2581"/>
      <c r="Z597" s="2581"/>
      <c r="AA597" s="2581"/>
      <c r="AB597" s="2581"/>
      <c r="AC597" s="2581"/>
      <c r="AD597" s="2581"/>
      <c r="AE597" s="2581"/>
      <c r="AF597" s="2581"/>
      <c r="AG597" s="2581"/>
      <c r="AH597" s="2581"/>
      <c r="AI597" s="65"/>
      <c r="AJ597" s="65"/>
      <c r="AK597" s="16"/>
      <c r="AL597" s="16"/>
      <c r="AM597" s="16"/>
      <c r="AN597" s="439"/>
    </row>
    <row r="598" spans="1:69" s="46" customFormat="1" ht="12.75" customHeight="1">
      <c r="A598" s="65"/>
      <c r="B598" s="2581"/>
      <c r="C598" s="2581"/>
      <c r="D598" s="2581"/>
      <c r="E598" s="2581"/>
      <c r="F598" s="2581"/>
      <c r="G598" s="2581"/>
      <c r="H598" s="2581"/>
      <c r="I598" s="2581"/>
      <c r="J598" s="2581"/>
      <c r="K598" s="2581"/>
      <c r="L598" s="2581"/>
      <c r="M598" s="2581"/>
      <c r="N598" s="2581"/>
      <c r="O598" s="2581"/>
      <c r="P598" s="2581"/>
      <c r="Q598" s="2581"/>
      <c r="R598" s="2581"/>
      <c r="S598" s="2581"/>
      <c r="T598" s="2581"/>
      <c r="U598" s="2581"/>
      <c r="V598" s="2581"/>
      <c r="W598" s="2581"/>
      <c r="X598" s="2581"/>
      <c r="Y598" s="2581"/>
      <c r="Z598" s="2581"/>
      <c r="AA598" s="2581"/>
      <c r="AB598" s="2581"/>
      <c r="AC598" s="2581"/>
      <c r="AD598" s="2581"/>
      <c r="AE598" s="2581"/>
      <c r="AF598" s="2581"/>
      <c r="AG598" s="2581"/>
      <c r="AH598" s="2581"/>
      <c r="AI598" s="65"/>
      <c r="AJ598" s="65"/>
      <c r="AK598" s="16"/>
      <c r="AL598" s="16"/>
      <c r="AM598" s="16"/>
      <c r="AN598" s="439"/>
    </row>
    <row r="599" spans="1:69" s="46" customFormat="1" ht="12.75" customHeight="1">
      <c r="A599" s="65"/>
      <c r="B599" s="2581"/>
      <c r="C599" s="2581"/>
      <c r="D599" s="2581"/>
      <c r="E599" s="2581"/>
      <c r="F599" s="2581"/>
      <c r="G599" s="2581"/>
      <c r="H599" s="2581"/>
      <c r="I599" s="2581"/>
      <c r="J599" s="2581"/>
      <c r="K599" s="2581"/>
      <c r="L599" s="2581"/>
      <c r="M599" s="2581"/>
      <c r="N599" s="2581"/>
      <c r="O599" s="2581"/>
      <c r="P599" s="2581"/>
      <c r="Q599" s="2581"/>
      <c r="R599" s="2581"/>
      <c r="S599" s="2581"/>
      <c r="T599" s="2581"/>
      <c r="U599" s="2581"/>
      <c r="V599" s="2581"/>
      <c r="W599" s="2581"/>
      <c r="X599" s="2581"/>
      <c r="Y599" s="2581"/>
      <c r="Z599" s="2581"/>
      <c r="AA599" s="2581"/>
      <c r="AB599" s="2581"/>
      <c r="AC599" s="2581"/>
      <c r="AD599" s="2581"/>
      <c r="AE599" s="2581"/>
      <c r="AF599" s="2581"/>
      <c r="AG599" s="2581"/>
      <c r="AH599" s="2581"/>
      <c r="AI599" s="65"/>
      <c r="AJ599" s="65"/>
      <c r="AK599" s="16"/>
      <c r="AL599" s="16"/>
      <c r="AM599" s="16"/>
      <c r="AN599" s="439"/>
    </row>
    <row r="600" spans="1:69" s="46" customFormat="1" ht="12.75" customHeight="1">
      <c r="A600" s="65"/>
      <c r="B600" s="2581"/>
      <c r="C600" s="2581"/>
      <c r="D600" s="2581"/>
      <c r="E600" s="2581"/>
      <c r="F600" s="2581"/>
      <c r="G600" s="2581"/>
      <c r="H600" s="2581"/>
      <c r="I600" s="2581"/>
      <c r="J600" s="2581"/>
      <c r="K600" s="2581"/>
      <c r="L600" s="2581"/>
      <c r="M600" s="2581"/>
      <c r="N600" s="2581"/>
      <c r="O600" s="2581"/>
      <c r="P600" s="2581"/>
      <c r="Q600" s="2581"/>
      <c r="R600" s="2581"/>
      <c r="S600" s="2581"/>
      <c r="T600" s="2581"/>
      <c r="U600" s="2581"/>
      <c r="V600" s="2581"/>
      <c r="W600" s="2581"/>
      <c r="X600" s="2581"/>
      <c r="Y600" s="2581"/>
      <c r="Z600" s="2581"/>
      <c r="AA600" s="2581"/>
      <c r="AB600" s="2581"/>
      <c r="AC600" s="2581"/>
      <c r="AD600" s="2581"/>
      <c r="AE600" s="2581"/>
      <c r="AF600" s="2581"/>
      <c r="AG600" s="2581"/>
      <c r="AH600" s="2581"/>
      <c r="AI600" s="65"/>
      <c r="AJ600" s="65"/>
      <c r="AK600" s="16"/>
      <c r="AL600" s="16"/>
      <c r="AM600" s="16"/>
      <c r="AN600" s="439"/>
    </row>
    <row r="601" spans="1:69" s="46" customFormat="1" ht="12.75" customHeight="1">
      <c r="A601" s="65"/>
      <c r="B601" s="2581"/>
      <c r="C601" s="2581"/>
      <c r="D601" s="2581"/>
      <c r="E601" s="2581"/>
      <c r="F601" s="2581"/>
      <c r="G601" s="2581"/>
      <c r="H601" s="2581"/>
      <c r="I601" s="2581"/>
      <c r="J601" s="2581"/>
      <c r="K601" s="2581"/>
      <c r="L601" s="2581"/>
      <c r="M601" s="2581"/>
      <c r="N601" s="2581"/>
      <c r="O601" s="2581"/>
      <c r="P601" s="2581"/>
      <c r="Q601" s="2581"/>
      <c r="R601" s="2581"/>
      <c r="S601" s="2581"/>
      <c r="T601" s="2581"/>
      <c r="U601" s="2581"/>
      <c r="V601" s="2581"/>
      <c r="W601" s="2581"/>
      <c r="X601" s="2581"/>
      <c r="Y601" s="2581"/>
      <c r="Z601" s="2581"/>
      <c r="AA601" s="2581"/>
      <c r="AB601" s="2581"/>
      <c r="AC601" s="2581"/>
      <c r="AD601" s="2581"/>
      <c r="AE601" s="2581"/>
      <c r="AF601" s="2581"/>
      <c r="AG601" s="2581"/>
      <c r="AH601" s="2581"/>
      <c r="AI601" s="65"/>
      <c r="AJ601" s="65"/>
      <c r="AK601" s="65"/>
      <c r="AL601" s="65"/>
      <c r="AM601" s="65"/>
      <c r="AN601" s="1127"/>
    </row>
    <row r="602" spans="1:69">
      <c r="E602" s="245"/>
      <c r="BD602" s="65"/>
      <c r="BE602" s="65"/>
      <c r="BF602" s="65"/>
      <c r="BG602" s="65"/>
      <c r="BH602" s="65"/>
    </row>
    <row r="603" spans="1:69" ht="12.75" customHeight="1">
      <c r="J603" s="2531" t="s">
        <v>871</v>
      </c>
      <c r="K603" s="2532"/>
      <c r="L603" s="2532"/>
      <c r="M603" s="2532"/>
      <c r="N603" s="2533"/>
      <c r="O603" s="2578" t="s">
        <v>1684</v>
      </c>
      <c r="P603" s="2579"/>
      <c r="Q603" s="2579"/>
      <c r="R603" s="2579"/>
      <c r="S603" s="2580"/>
      <c r="T603" s="2578" t="s">
        <v>1998</v>
      </c>
      <c r="U603" s="2579"/>
      <c r="V603" s="2579"/>
      <c r="W603" s="2579"/>
      <c r="X603" s="2580"/>
      <c r="Y603" s="2578" t="s">
        <v>1685</v>
      </c>
      <c r="Z603" s="2579"/>
      <c r="AA603" s="2579"/>
      <c r="AB603" s="2579"/>
      <c r="AC603" s="2580"/>
      <c r="AF603" s="16"/>
      <c r="AG603" s="16"/>
      <c r="AH603" s="16"/>
      <c r="AI603" s="16"/>
      <c r="AJ603" s="16"/>
    </row>
    <row r="604" spans="1:69" ht="12.75" customHeight="1">
      <c r="D604" s="16"/>
      <c r="E604" s="16"/>
      <c r="F604" s="16"/>
      <c r="G604" s="16"/>
      <c r="H604" s="16"/>
      <c r="I604" s="16"/>
      <c r="J604" s="2534"/>
      <c r="K604" s="2535"/>
      <c r="L604" s="2535"/>
      <c r="M604" s="2535"/>
      <c r="N604" s="2536"/>
      <c r="O604" s="2396"/>
      <c r="P604" s="2397"/>
      <c r="Q604" s="2397"/>
      <c r="R604" s="2397"/>
      <c r="S604" s="2398"/>
      <c r="T604" s="2396"/>
      <c r="U604" s="2397"/>
      <c r="V604" s="2397"/>
      <c r="W604" s="2397"/>
      <c r="X604" s="2398"/>
      <c r="Y604" s="2396"/>
      <c r="Z604" s="2397"/>
      <c r="AA604" s="2397"/>
      <c r="AB604" s="2397"/>
      <c r="AC604" s="2398"/>
      <c r="AF604" s="16"/>
      <c r="AG604" s="16"/>
      <c r="AH604" s="16"/>
      <c r="AI604" s="16"/>
      <c r="AJ604" s="16"/>
    </row>
    <row r="605" spans="1:69">
      <c r="I605" s="16"/>
      <c r="J605" s="2534"/>
      <c r="K605" s="2535"/>
      <c r="L605" s="2535"/>
      <c r="M605" s="2535"/>
      <c r="N605" s="2536"/>
      <c r="O605" s="2396"/>
      <c r="P605" s="2397"/>
      <c r="Q605" s="2397"/>
      <c r="R605" s="2397"/>
      <c r="S605" s="2398"/>
      <c r="T605" s="2396"/>
      <c r="U605" s="2397"/>
      <c r="V605" s="2397"/>
      <c r="W605" s="2397"/>
      <c r="X605" s="2398"/>
      <c r="Y605" s="2396"/>
      <c r="Z605" s="2397"/>
      <c r="AA605" s="2397"/>
      <c r="AB605" s="2397"/>
      <c r="AC605" s="2398"/>
      <c r="AD605" s="42"/>
      <c r="AF605" s="16"/>
      <c r="AG605" s="16"/>
      <c r="AH605" s="16"/>
      <c r="AI605" s="16"/>
      <c r="AJ605" s="16"/>
    </row>
    <row r="606" spans="1:69">
      <c r="D606" s="16"/>
      <c r="E606" s="16"/>
      <c r="F606" s="16"/>
      <c r="G606" s="16"/>
      <c r="H606" s="16"/>
      <c r="I606" s="16"/>
      <c r="J606" s="2534"/>
      <c r="K606" s="2535"/>
      <c r="L606" s="2535"/>
      <c r="M606" s="2535"/>
      <c r="N606" s="2536"/>
      <c r="O606" s="2396"/>
      <c r="P606" s="2397"/>
      <c r="Q606" s="2397"/>
      <c r="R606" s="2397"/>
      <c r="S606" s="2398"/>
      <c r="T606" s="2396"/>
      <c r="U606" s="2397"/>
      <c r="V606" s="2397"/>
      <c r="W606" s="2397"/>
      <c r="X606" s="2398"/>
      <c r="Y606" s="2396"/>
      <c r="Z606" s="2397"/>
      <c r="AA606" s="2397"/>
      <c r="AB606" s="2397"/>
      <c r="AC606" s="2398"/>
      <c r="AD606" s="42"/>
      <c r="AF606" s="16"/>
      <c r="AG606" s="16"/>
      <c r="AH606" s="16"/>
      <c r="AI606" s="16"/>
      <c r="AJ606" s="16"/>
    </row>
    <row r="607" spans="1:69">
      <c r="D607" s="16"/>
      <c r="E607" s="16"/>
      <c r="F607" s="16"/>
      <c r="G607" s="16"/>
      <c r="H607" s="16"/>
      <c r="I607" s="16"/>
      <c r="J607" s="2430" t="s">
        <v>251</v>
      </c>
      <c r="K607" s="2431"/>
      <c r="L607" s="2431"/>
      <c r="M607" s="2431"/>
      <c r="N607" s="2432"/>
      <c r="O607" s="2347">
        <f>Application!CM627</f>
        <v>0</v>
      </c>
      <c r="P607" s="2348"/>
      <c r="Q607" s="2348"/>
      <c r="R607" s="2348"/>
      <c r="S607" s="2349"/>
      <c r="T607" s="2347">
        <f>Application!DR628</f>
        <v>0</v>
      </c>
      <c r="U607" s="2348"/>
      <c r="V607" s="2348"/>
      <c r="W607" s="2348"/>
      <c r="X607" s="2349"/>
      <c r="Y607" s="2433">
        <f t="shared" ref="Y607:Y612" si="8">IF(T607&gt;0,T607/O607,0)</f>
        <v>0</v>
      </c>
      <c r="Z607" s="2434"/>
      <c r="AA607" s="2434"/>
      <c r="AB607" s="2434"/>
      <c r="AC607" s="2435"/>
      <c r="AD607" s="42"/>
      <c r="AF607" s="16"/>
      <c r="AG607" s="16"/>
      <c r="AH607" s="16"/>
      <c r="AI607" s="16"/>
      <c r="AJ607" s="16"/>
    </row>
    <row r="608" spans="1:69">
      <c r="D608" s="16"/>
      <c r="E608" s="16"/>
      <c r="F608" s="16"/>
      <c r="G608" s="16"/>
      <c r="H608" s="16"/>
      <c r="I608" s="16"/>
      <c r="J608" s="2430" t="s">
        <v>36</v>
      </c>
      <c r="K608" s="2431"/>
      <c r="L608" s="2431"/>
      <c r="M608" s="2431"/>
      <c r="N608" s="2432"/>
      <c r="O608" s="2347">
        <f>Application!CH627</f>
        <v>0</v>
      </c>
      <c r="P608" s="2348"/>
      <c r="Q608" s="2348"/>
      <c r="R608" s="2348"/>
      <c r="S608" s="2349"/>
      <c r="T608" s="2347">
        <f>Application!DM628</f>
        <v>0</v>
      </c>
      <c r="U608" s="2348"/>
      <c r="V608" s="2348"/>
      <c r="W608" s="2348"/>
      <c r="X608" s="2349"/>
      <c r="Y608" s="2433">
        <f t="shared" si="8"/>
        <v>0</v>
      </c>
      <c r="Z608" s="2434"/>
      <c r="AA608" s="2434"/>
      <c r="AB608" s="2434"/>
      <c r="AC608" s="2435"/>
      <c r="AD608" s="42"/>
      <c r="AF608" s="16"/>
      <c r="AG608" s="16"/>
      <c r="AH608" s="16"/>
      <c r="AI608" s="16"/>
      <c r="AJ608" s="16"/>
    </row>
    <row r="609" spans="1:60">
      <c r="D609" s="16"/>
      <c r="E609" s="16"/>
      <c r="F609" s="16"/>
      <c r="G609" s="16"/>
      <c r="H609" s="16"/>
      <c r="I609" s="16"/>
      <c r="J609" s="2430" t="s">
        <v>293</v>
      </c>
      <c r="K609" s="2431"/>
      <c r="L609" s="2431"/>
      <c r="M609" s="2431"/>
      <c r="N609" s="2432"/>
      <c r="O609" s="2347">
        <f>Application!CC627</f>
        <v>0</v>
      </c>
      <c r="P609" s="2348"/>
      <c r="Q609" s="2348"/>
      <c r="R609" s="2348"/>
      <c r="S609" s="2349"/>
      <c r="T609" s="2347">
        <f>Application!DH628</f>
        <v>0</v>
      </c>
      <c r="U609" s="2348"/>
      <c r="V609" s="2348"/>
      <c r="W609" s="2348"/>
      <c r="X609" s="2349"/>
      <c r="Y609" s="2433">
        <f t="shared" si="8"/>
        <v>0</v>
      </c>
      <c r="Z609" s="2434"/>
      <c r="AA609" s="2434"/>
      <c r="AB609" s="2434"/>
      <c r="AC609" s="2435"/>
      <c r="AD609" s="16"/>
      <c r="AF609" s="16"/>
      <c r="AG609" s="16"/>
      <c r="AH609" s="16"/>
      <c r="AI609" s="16"/>
      <c r="AJ609" s="16"/>
      <c r="AN609" s="1143"/>
    </row>
    <row r="610" spans="1:60">
      <c r="D610" s="16"/>
      <c r="E610" s="16"/>
      <c r="F610" s="16"/>
      <c r="G610" s="16"/>
      <c r="H610" s="16"/>
      <c r="I610" s="16"/>
      <c r="J610" s="2430" t="s">
        <v>292</v>
      </c>
      <c r="K610" s="2431"/>
      <c r="L610" s="2431"/>
      <c r="M610" s="2431"/>
      <c r="N610" s="2432"/>
      <c r="O610" s="2347">
        <f>Application!BX627</f>
        <v>20</v>
      </c>
      <c r="P610" s="2348"/>
      <c r="Q610" s="2348"/>
      <c r="R610" s="2348"/>
      <c r="S610" s="2349"/>
      <c r="T610" s="2347">
        <f>Application!DC628</f>
        <v>5</v>
      </c>
      <c r="U610" s="2348"/>
      <c r="V610" s="2348"/>
      <c r="W610" s="2348"/>
      <c r="X610" s="2349"/>
      <c r="Y610" s="2433">
        <f t="shared" si="8"/>
        <v>0.25</v>
      </c>
      <c r="Z610" s="2434"/>
      <c r="AA610" s="2434"/>
      <c r="AB610" s="2434"/>
      <c r="AC610" s="2435"/>
      <c r="AD610" s="16"/>
      <c r="AF610" s="16"/>
      <c r="AG610" s="16"/>
      <c r="AH610" s="16"/>
      <c r="AI610" s="16"/>
      <c r="AJ610" s="16"/>
      <c r="AN610" s="1143"/>
      <c r="AO610" s="46"/>
      <c r="AP610" s="30"/>
      <c r="AQ610" s="30"/>
      <c r="AR610" s="30"/>
      <c r="AS610" s="30"/>
      <c r="AT610" s="30"/>
    </row>
    <row r="611" spans="1:60">
      <c r="D611" s="16"/>
      <c r="E611" s="16"/>
      <c r="F611" s="16"/>
      <c r="G611" s="16"/>
      <c r="H611" s="16"/>
      <c r="I611" s="16"/>
      <c r="J611" s="2430" t="s">
        <v>291</v>
      </c>
      <c r="K611" s="2431"/>
      <c r="L611" s="2431"/>
      <c r="M611" s="2431"/>
      <c r="N611" s="2432"/>
      <c r="O611" s="2347">
        <f>Application!BS627</f>
        <v>80</v>
      </c>
      <c r="P611" s="2348"/>
      <c r="Q611" s="2348"/>
      <c r="R611" s="2348"/>
      <c r="S611" s="2349"/>
      <c r="T611" s="2347">
        <f>Application!CX628</f>
        <v>40</v>
      </c>
      <c r="U611" s="2348"/>
      <c r="V611" s="2348"/>
      <c r="W611" s="2348"/>
      <c r="X611" s="2349"/>
      <c r="Y611" s="2433">
        <f t="shared" si="8"/>
        <v>0.5</v>
      </c>
      <c r="Z611" s="2434"/>
      <c r="AA611" s="2434"/>
      <c r="AB611" s="2434"/>
      <c r="AC611" s="2435"/>
      <c r="AD611" s="16"/>
      <c r="AF611" s="16"/>
      <c r="AG611" s="16"/>
      <c r="AH611" s="16"/>
      <c r="AI611" s="16"/>
      <c r="AJ611" s="16"/>
      <c r="AN611" s="1143"/>
      <c r="AQ611" s="30"/>
      <c r="AR611" s="30"/>
      <c r="AS611" s="30"/>
      <c r="AT611" s="30"/>
    </row>
    <row r="612" spans="1:60">
      <c r="D612" s="16"/>
      <c r="E612" s="16"/>
      <c r="F612" s="16"/>
      <c r="G612" s="16"/>
      <c r="H612" s="16"/>
      <c r="I612" s="16"/>
      <c r="J612" s="2430" t="s">
        <v>681</v>
      </c>
      <c r="K612" s="2431"/>
      <c r="L612" s="2431"/>
      <c r="M612" s="2431"/>
      <c r="N612" s="2432"/>
      <c r="O612" s="2347">
        <f>Application!BN627</f>
        <v>0</v>
      </c>
      <c r="P612" s="2348"/>
      <c r="Q612" s="2348"/>
      <c r="R612" s="2348"/>
      <c r="S612" s="2349"/>
      <c r="T612" s="2347">
        <f>Application!CS628</f>
        <v>0</v>
      </c>
      <c r="U612" s="2348"/>
      <c r="V612" s="2348"/>
      <c r="W612" s="2348"/>
      <c r="X612" s="2349"/>
      <c r="Y612" s="2433">
        <f t="shared" si="8"/>
        <v>0</v>
      </c>
      <c r="Z612" s="2434"/>
      <c r="AA612" s="2434"/>
      <c r="AB612" s="2434"/>
      <c r="AC612" s="2435"/>
      <c r="AD612" s="16"/>
      <c r="AF612" s="16"/>
      <c r="AG612" s="16"/>
      <c r="AH612" s="16"/>
      <c r="AI612" s="16"/>
      <c r="AJ612" s="16"/>
      <c r="AN612" s="1143"/>
      <c r="AQ612" s="30"/>
      <c r="AR612" s="30"/>
      <c r="AS612" s="30"/>
      <c r="AT612" s="30"/>
    </row>
    <row r="613" spans="1:60">
      <c r="D613" s="16"/>
      <c r="E613" s="16"/>
      <c r="F613" s="16"/>
      <c r="G613" s="16"/>
      <c r="H613" s="16"/>
      <c r="I613" s="16"/>
      <c r="J613" s="2575" t="s">
        <v>975</v>
      </c>
      <c r="K613" s="2576"/>
      <c r="L613" s="2576"/>
      <c r="M613" s="2576"/>
      <c r="N613" s="2577"/>
      <c r="O613" s="2572">
        <f>SUM(O607:S612)</f>
        <v>100</v>
      </c>
      <c r="P613" s="2573"/>
      <c r="Q613" s="2573"/>
      <c r="R613" s="2573"/>
      <c r="S613" s="2574"/>
      <c r="T613" s="2572">
        <f>SUM(T607:X612)</f>
        <v>45</v>
      </c>
      <c r="U613" s="2573"/>
      <c r="V613" s="2573"/>
      <c r="W613" s="2573"/>
      <c r="X613" s="2574"/>
      <c r="Y613" s="2527" t="s">
        <v>259</v>
      </c>
      <c r="Z613" s="2528"/>
      <c r="AA613" s="2528"/>
      <c r="AB613" s="2528"/>
      <c r="AC613" s="2529"/>
      <c r="AD613" s="16"/>
      <c r="AF613" s="16"/>
      <c r="AG613" s="16"/>
      <c r="AH613" s="16"/>
      <c r="AI613" s="16"/>
      <c r="AJ613" s="16"/>
      <c r="AN613" s="1143"/>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3"/>
      <c r="AO614" s="66"/>
      <c r="AP614" s="30"/>
      <c r="AQ614" s="30"/>
      <c r="AR614" s="30"/>
      <c r="AS614" s="30"/>
      <c r="AT614" s="30"/>
    </row>
    <row r="615" spans="1:60">
      <c r="A615" s="15"/>
      <c r="E615" s="16"/>
      <c r="F615" s="16"/>
      <c r="G615" s="16"/>
      <c r="H615" s="16"/>
      <c r="I615" s="16"/>
      <c r="AG615" s="16"/>
      <c r="AN615" s="1143"/>
      <c r="AR615" s="30"/>
      <c r="AS615" s="30"/>
      <c r="AT615" s="30"/>
    </row>
    <row r="616" spans="1:60">
      <c r="A616" s="1787" t="s">
        <v>1688</v>
      </c>
      <c r="B616" s="1788"/>
      <c r="C616" s="1788"/>
      <c r="D616" s="1788"/>
      <c r="E616" s="1788"/>
      <c r="F616" s="1788"/>
      <c r="G616" s="1788"/>
      <c r="H616" s="1788"/>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9"/>
      <c r="AJ616" s="2563">
        <v>2</v>
      </c>
      <c r="AK616" s="2564"/>
      <c r="AN616" s="1143"/>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3"/>
      <c r="BD617" s="65"/>
      <c r="BE617" s="65"/>
      <c r="BF617" s="65"/>
      <c r="BG617" s="65"/>
      <c r="BH617" s="65"/>
    </row>
    <row r="618" spans="1:60">
      <c r="A618" s="2391" t="s">
        <v>197</v>
      </c>
      <c r="B618" s="2391"/>
      <c r="C618" s="2391"/>
      <c r="D618" s="2391"/>
      <c r="E618" s="2391"/>
      <c r="F618" s="2391"/>
      <c r="G618" s="2391"/>
      <c r="H618" s="2391"/>
      <c r="I618" s="2391"/>
      <c r="J618" s="2391"/>
      <c r="K618" s="2391"/>
      <c r="L618" s="2391"/>
      <c r="M618" s="2391"/>
      <c r="N618" s="2391"/>
      <c r="O618" s="2391"/>
      <c r="P618" s="2391"/>
      <c r="Q618" s="2391"/>
      <c r="R618" s="2391"/>
      <c r="S618" s="2391"/>
      <c r="T618" s="2391"/>
      <c r="U618" s="2391"/>
      <c r="V618" s="2391"/>
      <c r="W618" s="2391"/>
      <c r="X618" s="2391"/>
      <c r="Y618" s="2391"/>
      <c r="Z618" s="2391"/>
      <c r="AA618" s="2391"/>
      <c r="AB618" s="2391"/>
      <c r="AC618" s="2391"/>
      <c r="AD618" s="2391"/>
      <c r="AE618" s="2391"/>
      <c r="AF618" s="2391"/>
      <c r="AG618" s="2391"/>
      <c r="AH618" s="2391"/>
      <c r="AI618" s="2391"/>
      <c r="AJ618" s="2391"/>
      <c r="AK618" s="2365">
        <f>IF($AC$592=0,0,$AC$592+$AJ$616)</f>
        <v>122</v>
      </c>
      <c r="AL618" s="2366"/>
      <c r="AM618" s="2367"/>
      <c r="AN618" s="1143"/>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3"/>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3"/>
      <c r="AO620" s="46"/>
      <c r="AR620" s="30"/>
      <c r="AS620" s="30"/>
      <c r="AT620" s="30"/>
    </row>
    <row r="621" spans="1:60" ht="13.7" customHeight="1">
      <c r="A621" s="26"/>
      <c r="AI621" s="27"/>
      <c r="AJ621" s="46"/>
      <c r="AK621" s="153"/>
      <c r="AL621" s="153"/>
      <c r="AM621" s="153"/>
      <c r="AN621" s="1143"/>
      <c r="AO621" s="46"/>
      <c r="AR621" s="30"/>
      <c r="AS621" s="30"/>
      <c r="AT621" s="30"/>
    </row>
    <row r="622" spans="1:60" ht="13.7" customHeight="1">
      <c r="A622" s="29"/>
      <c r="B622" s="2570" t="s">
        <v>1689</v>
      </c>
      <c r="C622" s="2570"/>
      <c r="D622" s="2570"/>
      <c r="E622" s="2570"/>
      <c r="F622" s="2570"/>
      <c r="G622" s="2570"/>
      <c r="H622" s="2570"/>
      <c r="I622" s="2570"/>
      <c r="J622" s="2570"/>
      <c r="K622" s="2570"/>
      <c r="L622" s="2570"/>
      <c r="M622" s="2570"/>
      <c r="N622" s="2570"/>
      <c r="O622" s="2570"/>
      <c r="P622" s="2570"/>
      <c r="Q622" s="2570"/>
      <c r="R622" s="2570"/>
      <c r="S622" s="2570"/>
      <c r="T622" s="2570"/>
      <c r="U622" s="2570"/>
      <c r="V622" s="2570"/>
      <c r="W622" s="2570"/>
      <c r="X622" s="2570"/>
      <c r="Y622" s="2570"/>
      <c r="Z622" s="2570"/>
      <c r="AA622" s="2570"/>
      <c r="AB622" s="2570"/>
      <c r="AC622" s="2570"/>
      <c r="AD622" s="2570"/>
      <c r="AE622" s="2570"/>
      <c r="AF622" s="2570"/>
      <c r="AG622" s="2570"/>
      <c r="AH622" s="2570"/>
      <c r="AI622" s="27"/>
      <c r="AJ622" s="46"/>
      <c r="AK622" s="153"/>
      <c r="AL622" s="153"/>
      <c r="AM622" s="153"/>
      <c r="AN622" s="1143"/>
      <c r="AO622" s="66"/>
      <c r="AP622" s="30"/>
      <c r="AQ622" s="30"/>
      <c r="AR622" s="30"/>
      <c r="AS622" s="30"/>
      <c r="AT622" s="30"/>
    </row>
    <row r="623" spans="1:60" ht="22.7" customHeight="1">
      <c r="A623" s="28"/>
      <c r="B623" s="2570"/>
      <c r="C623" s="2570"/>
      <c r="D623" s="2570"/>
      <c r="E623" s="2570"/>
      <c r="F623" s="2570"/>
      <c r="G623" s="2570"/>
      <c r="H623" s="2570"/>
      <c r="I623" s="2570"/>
      <c r="J623" s="2570"/>
      <c r="K623" s="2570"/>
      <c r="L623" s="2570"/>
      <c r="M623" s="2570"/>
      <c r="N623" s="2570"/>
      <c r="O623" s="2570"/>
      <c r="P623" s="2570"/>
      <c r="Q623" s="2570"/>
      <c r="R623" s="2570"/>
      <c r="S623" s="2570"/>
      <c r="T623" s="2570"/>
      <c r="U623" s="2570"/>
      <c r="V623" s="2570"/>
      <c r="W623" s="2570"/>
      <c r="X623" s="2570"/>
      <c r="Y623" s="2570"/>
      <c r="Z623" s="2570"/>
      <c r="AA623" s="2570"/>
      <c r="AB623" s="2570"/>
      <c r="AC623" s="2570"/>
      <c r="AD623" s="2570"/>
      <c r="AE623" s="2570"/>
      <c r="AF623" s="2570"/>
      <c r="AG623" s="2570"/>
      <c r="AH623" s="2570"/>
      <c r="AI623" s="46"/>
      <c r="AJ623" s="46"/>
      <c r="AK623" s="46"/>
      <c r="AL623" s="46"/>
      <c r="AM623" s="153"/>
      <c r="AN623" s="1143"/>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2"/>
      <c r="AM624" s="153"/>
      <c r="AN624" s="1143"/>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3"/>
      <c r="AS625" s="30"/>
      <c r="AT625" s="30"/>
    </row>
    <row r="626" spans="1:46" ht="13.7" customHeight="1">
      <c r="A626" s="28"/>
      <c r="B626" s="203"/>
      <c r="C626" s="1688" t="s">
        <v>119</v>
      </c>
      <c r="D626" s="1688"/>
      <c r="E626" s="293"/>
      <c r="F626" s="2537" t="s">
        <v>2319</v>
      </c>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9"/>
      <c r="AE626" s="46"/>
      <c r="AF626" s="265"/>
      <c r="AG626" s="2530" t="s">
        <v>1042</v>
      </c>
      <c r="AH626" s="2530"/>
      <c r="AI626" s="2530"/>
      <c r="AJ626" s="2530"/>
      <c r="AK626" s="153"/>
      <c r="AL626" s="153"/>
      <c r="AM626" s="153"/>
      <c r="AN626" s="1143"/>
      <c r="AO626" s="46"/>
      <c r="AS626" s="30"/>
      <c r="AT626" s="30"/>
    </row>
    <row r="627" spans="1:46" ht="13.7" customHeight="1">
      <c r="A627" s="28"/>
      <c r="B627" s="203"/>
      <c r="C627" s="77"/>
      <c r="D627" s="46"/>
      <c r="E627" s="293"/>
      <c r="F627" s="2540"/>
      <c r="G627" s="2541"/>
      <c r="H627" s="2541"/>
      <c r="I627" s="2541"/>
      <c r="J627" s="2541"/>
      <c r="K627" s="2541"/>
      <c r="L627" s="2541"/>
      <c r="M627" s="2541"/>
      <c r="N627" s="2541"/>
      <c r="O627" s="2541"/>
      <c r="P627" s="2541"/>
      <c r="Q627" s="2541"/>
      <c r="R627" s="2541"/>
      <c r="S627" s="2541"/>
      <c r="T627" s="2541"/>
      <c r="U627" s="2541"/>
      <c r="V627" s="2541"/>
      <c r="W627" s="2541"/>
      <c r="X627" s="2541"/>
      <c r="Y627" s="2541"/>
      <c r="Z627" s="2541"/>
      <c r="AA627" s="2541"/>
      <c r="AB627" s="2541"/>
      <c r="AC627" s="2541"/>
      <c r="AD627" s="2542"/>
      <c r="AE627" s="46"/>
      <c r="AF627" s="265"/>
      <c r="AG627" s="265"/>
      <c r="AH627" s="265"/>
      <c r="AI627" s="265"/>
      <c r="AJ627" s="46"/>
      <c r="AK627" s="153"/>
      <c r="AL627" s="153"/>
      <c r="AM627" s="153"/>
      <c r="AN627" s="1143"/>
      <c r="AO627" s="46"/>
      <c r="AS627" s="30"/>
      <c r="AT627" s="30"/>
    </row>
    <row r="628" spans="1:46">
      <c r="A628" s="28"/>
      <c r="B628" s="203"/>
      <c r="C628" s="77"/>
      <c r="D628" s="46"/>
      <c r="E628" s="293"/>
      <c r="F628" s="2543"/>
      <c r="G628" s="2544"/>
      <c r="H628" s="2544"/>
      <c r="I628" s="2544"/>
      <c r="J628" s="2544"/>
      <c r="K628" s="2544"/>
      <c r="L628" s="2544"/>
      <c r="M628" s="2544"/>
      <c r="N628" s="2544"/>
      <c r="O628" s="2544"/>
      <c r="P628" s="2544"/>
      <c r="Q628" s="2544"/>
      <c r="R628" s="2544"/>
      <c r="S628" s="2544"/>
      <c r="T628" s="2544"/>
      <c r="U628" s="2544"/>
      <c r="V628" s="2544"/>
      <c r="W628" s="2544"/>
      <c r="X628" s="2544"/>
      <c r="Y628" s="2544"/>
      <c r="Z628" s="2544"/>
      <c r="AA628" s="2544"/>
      <c r="AB628" s="2544"/>
      <c r="AC628" s="2544"/>
      <c r="AD628" s="2545"/>
      <c r="AE628" s="46"/>
      <c r="AF628" s="265"/>
      <c r="AG628" s="265"/>
      <c r="AH628" s="265"/>
      <c r="AI628" s="265"/>
      <c r="AJ628" s="46"/>
      <c r="AK628" s="153"/>
      <c r="AL628" s="153"/>
      <c r="AM628" s="153"/>
      <c r="AN628" s="1143"/>
      <c r="AO628" s="46"/>
      <c r="AP628" s="64"/>
      <c r="AS628" s="30"/>
      <c r="AT628" s="30"/>
    </row>
    <row r="629" spans="1:46">
      <c r="A629" s="28"/>
      <c r="B629" s="203"/>
      <c r="C629" s="77"/>
      <c r="D629" s="46"/>
      <c r="E629" s="293"/>
      <c r="F629" s="1407"/>
      <c r="G629" s="1407"/>
      <c r="H629" s="1407"/>
      <c r="I629" s="1407"/>
      <c r="J629" s="1407"/>
      <c r="K629" s="1407"/>
      <c r="L629" s="1407"/>
      <c r="M629" s="1407"/>
      <c r="N629" s="1407"/>
      <c r="O629" s="1407"/>
      <c r="P629" s="1407"/>
      <c r="Q629" s="1407"/>
      <c r="R629" s="1407"/>
      <c r="S629" s="1407"/>
      <c r="T629" s="1407"/>
      <c r="U629" s="1407"/>
      <c r="V629" s="1407"/>
      <c r="W629" s="1407"/>
      <c r="X629" s="1407"/>
      <c r="Y629" s="1407"/>
      <c r="Z629" s="1407"/>
      <c r="AA629" s="1407"/>
      <c r="AB629" s="1407"/>
      <c r="AC629" s="1407"/>
      <c r="AD629" s="1407"/>
      <c r="AE629" s="162"/>
      <c r="AF629" s="265"/>
      <c r="AG629" s="265"/>
      <c r="AH629" s="265"/>
      <c r="AI629" s="265"/>
      <c r="AJ629" s="46"/>
      <c r="AK629" s="153"/>
      <c r="AL629" s="153"/>
      <c r="AM629" s="153"/>
      <c r="AN629" s="1143"/>
      <c r="AS629" s="30"/>
      <c r="AT629" s="30"/>
    </row>
    <row r="630" spans="1:46" ht="13.7" customHeight="1">
      <c r="A630" s="28"/>
      <c r="B630" s="2570" t="s">
        <v>2074</v>
      </c>
      <c r="C630" s="2570"/>
      <c r="D630" s="2570"/>
      <c r="E630" s="2570"/>
      <c r="F630" s="2570"/>
      <c r="G630" s="2570"/>
      <c r="H630" s="2570"/>
      <c r="I630" s="2570"/>
      <c r="J630" s="2570"/>
      <c r="K630" s="2570"/>
      <c r="L630" s="2570"/>
      <c r="M630" s="2570"/>
      <c r="N630" s="2570"/>
      <c r="O630" s="2570"/>
      <c r="P630" s="2570"/>
      <c r="Q630" s="2570"/>
      <c r="R630" s="2570"/>
      <c r="S630" s="2570"/>
      <c r="T630" s="2570"/>
      <c r="U630" s="2570"/>
      <c r="V630" s="2570"/>
      <c r="W630" s="2570"/>
      <c r="X630" s="2570"/>
      <c r="Y630" s="2570"/>
      <c r="Z630" s="2570"/>
      <c r="AA630" s="2570"/>
      <c r="AB630" s="2570"/>
      <c r="AC630" s="2570"/>
      <c r="AD630" s="2570"/>
      <c r="AE630" s="2570"/>
      <c r="AF630" s="2570"/>
      <c r="AG630" s="2570"/>
      <c r="AH630" s="2570"/>
      <c r="AI630" s="265"/>
      <c r="AJ630" s="46"/>
      <c r="AK630" s="153"/>
      <c r="AL630" s="153"/>
      <c r="AM630" s="153"/>
    </row>
    <row r="631" spans="1:46" ht="13.7" customHeight="1">
      <c r="B631" s="2570"/>
      <c r="C631" s="2570"/>
      <c r="D631" s="2570"/>
      <c r="E631" s="2570"/>
      <c r="F631" s="2570"/>
      <c r="G631" s="2570"/>
      <c r="H631" s="2570"/>
      <c r="I631" s="2570"/>
      <c r="J631" s="2570"/>
      <c r="K631" s="2570"/>
      <c r="L631" s="2570"/>
      <c r="M631" s="2570"/>
      <c r="N631" s="2570"/>
      <c r="O631" s="2570"/>
      <c r="P631" s="2570"/>
      <c r="Q631" s="2570"/>
      <c r="R631" s="2570"/>
      <c r="S631" s="2570"/>
      <c r="T631" s="2570"/>
      <c r="U631" s="2570"/>
      <c r="V631" s="2570"/>
      <c r="W631" s="2570"/>
      <c r="X631" s="2570"/>
      <c r="Y631" s="2570"/>
      <c r="Z631" s="2570"/>
      <c r="AA631" s="2570"/>
      <c r="AB631" s="2570"/>
      <c r="AC631" s="2570"/>
      <c r="AD631" s="2570"/>
      <c r="AE631" s="2570"/>
      <c r="AF631" s="2570"/>
      <c r="AG631" s="2570"/>
      <c r="AH631" s="2570"/>
      <c r="AI631" s="245"/>
      <c r="AJ631" s="46"/>
      <c r="AK631" s="153"/>
      <c r="AL631" s="153"/>
      <c r="AM631" s="153"/>
    </row>
    <row r="632" spans="1:46" ht="13.7" customHeight="1">
      <c r="A632" s="263"/>
      <c r="B632" s="2570"/>
      <c r="C632" s="2570"/>
      <c r="D632" s="2570"/>
      <c r="E632" s="2570"/>
      <c r="F632" s="2570"/>
      <c r="G632" s="2570"/>
      <c r="H632" s="2570"/>
      <c r="I632" s="2570"/>
      <c r="J632" s="2570"/>
      <c r="K632" s="2570"/>
      <c r="L632" s="2570"/>
      <c r="M632" s="2570"/>
      <c r="N632" s="2570"/>
      <c r="O632" s="2570"/>
      <c r="P632" s="2570"/>
      <c r="Q632" s="2570"/>
      <c r="R632" s="2570"/>
      <c r="S632" s="2570"/>
      <c r="T632" s="2570"/>
      <c r="U632" s="2570"/>
      <c r="V632" s="2570"/>
      <c r="W632" s="2570"/>
      <c r="X632" s="2570"/>
      <c r="Y632" s="2570"/>
      <c r="Z632" s="2570"/>
      <c r="AA632" s="2570"/>
      <c r="AB632" s="2570"/>
      <c r="AC632" s="2570"/>
      <c r="AD632" s="2570"/>
      <c r="AE632" s="2570"/>
      <c r="AF632" s="2570"/>
      <c r="AG632" s="2570"/>
      <c r="AH632" s="2570"/>
      <c r="AI632" s="245"/>
      <c r="AJ632" s="46"/>
      <c r="AK632" s="153"/>
      <c r="AL632" s="153"/>
      <c r="AM632" s="153"/>
      <c r="AN632" s="124"/>
    </row>
    <row r="633" spans="1:46" ht="13.7" customHeight="1">
      <c r="A633" s="46"/>
      <c r="B633" s="2570"/>
      <c r="C633" s="2570"/>
      <c r="D633" s="2570"/>
      <c r="E633" s="2570"/>
      <c r="F633" s="2570"/>
      <c r="G633" s="2570"/>
      <c r="H633" s="2570"/>
      <c r="I633" s="2570"/>
      <c r="J633" s="2570"/>
      <c r="K633" s="2570"/>
      <c r="L633" s="2570"/>
      <c r="M633" s="2570"/>
      <c r="N633" s="2570"/>
      <c r="O633" s="2570"/>
      <c r="P633" s="2570"/>
      <c r="Q633" s="2570"/>
      <c r="R633" s="2570"/>
      <c r="S633" s="2570"/>
      <c r="T633" s="2570"/>
      <c r="U633" s="2570"/>
      <c r="V633" s="2570"/>
      <c r="W633" s="2570"/>
      <c r="X633" s="2570"/>
      <c r="Y633" s="2570"/>
      <c r="Z633" s="2570"/>
      <c r="AA633" s="2570"/>
      <c r="AB633" s="2570"/>
      <c r="AC633" s="2570"/>
      <c r="AD633" s="2570"/>
      <c r="AE633" s="2570"/>
      <c r="AF633" s="2570"/>
      <c r="AG633" s="2570"/>
      <c r="AH633" s="2570"/>
      <c r="AI633" s="245"/>
      <c r="AJ633" s="46"/>
      <c r="AK633" s="153"/>
      <c r="AL633" s="153"/>
      <c r="AM633" s="153"/>
      <c r="AN633" s="124"/>
    </row>
    <row r="634" spans="1:46" ht="13.7" customHeight="1">
      <c r="A634" s="46"/>
      <c r="B634" s="2570"/>
      <c r="C634" s="2570"/>
      <c r="D634" s="2570"/>
      <c r="E634" s="2570"/>
      <c r="F634" s="2570"/>
      <c r="G634" s="2570"/>
      <c r="H634" s="2570"/>
      <c r="I634" s="2570"/>
      <c r="J634" s="2570"/>
      <c r="K634" s="2570"/>
      <c r="L634" s="2570"/>
      <c r="M634" s="2570"/>
      <c r="N634" s="2570"/>
      <c r="O634" s="2570"/>
      <c r="P634" s="2570"/>
      <c r="Q634" s="2570"/>
      <c r="R634" s="2570"/>
      <c r="S634" s="2570"/>
      <c r="T634" s="2570"/>
      <c r="U634" s="2570"/>
      <c r="V634" s="2570"/>
      <c r="W634" s="2570"/>
      <c r="X634" s="2570"/>
      <c r="Y634" s="2570"/>
      <c r="Z634" s="2570"/>
      <c r="AA634" s="2570"/>
      <c r="AB634" s="2570"/>
      <c r="AC634" s="2570"/>
      <c r="AD634" s="2570"/>
      <c r="AE634" s="2570"/>
      <c r="AF634" s="2570"/>
      <c r="AG634" s="2570"/>
      <c r="AH634" s="2570"/>
      <c r="AI634" s="245"/>
      <c r="AJ634" s="46"/>
      <c r="AK634" s="153"/>
      <c r="AL634" s="153"/>
      <c r="AM634" s="153"/>
      <c r="AN634" s="124"/>
    </row>
    <row r="635" spans="1:46" ht="13.7" customHeight="1">
      <c r="A635" s="263"/>
      <c r="B635" s="2570"/>
      <c r="C635" s="2570"/>
      <c r="D635" s="2570"/>
      <c r="E635" s="2570"/>
      <c r="F635" s="2570"/>
      <c r="G635" s="2570"/>
      <c r="H635" s="2570"/>
      <c r="I635" s="2570"/>
      <c r="J635" s="2570"/>
      <c r="K635" s="2570"/>
      <c r="L635" s="2570"/>
      <c r="M635" s="2570"/>
      <c r="N635" s="2570"/>
      <c r="O635" s="2570"/>
      <c r="P635" s="2570"/>
      <c r="Q635" s="2570"/>
      <c r="R635" s="2570"/>
      <c r="S635" s="2570"/>
      <c r="T635" s="2570"/>
      <c r="U635" s="2570"/>
      <c r="V635" s="2570"/>
      <c r="W635" s="2570"/>
      <c r="X635" s="2570"/>
      <c r="Y635" s="2570"/>
      <c r="Z635" s="2570"/>
      <c r="AA635" s="2570"/>
      <c r="AB635" s="2570"/>
      <c r="AC635" s="2570"/>
      <c r="AD635" s="2570"/>
      <c r="AE635" s="2570"/>
      <c r="AF635" s="2570"/>
      <c r="AG635" s="2570"/>
      <c r="AH635" s="2570"/>
      <c r="AI635" s="245"/>
      <c r="AJ635" s="46"/>
      <c r="AK635" s="153"/>
      <c r="AL635" s="153"/>
      <c r="AM635" s="153"/>
      <c r="AN635" s="124"/>
    </row>
    <row r="636" spans="1:46" ht="13.7" customHeight="1">
      <c r="A636" s="263"/>
      <c r="B636" s="2570"/>
      <c r="C636" s="2570"/>
      <c r="D636" s="2570"/>
      <c r="E636" s="2570"/>
      <c r="F636" s="2570"/>
      <c r="G636" s="2570"/>
      <c r="H636" s="2570"/>
      <c r="I636" s="2570"/>
      <c r="J636" s="2570"/>
      <c r="K636" s="2570"/>
      <c r="L636" s="2570"/>
      <c r="M636" s="2570"/>
      <c r="N636" s="2570"/>
      <c r="O636" s="2570"/>
      <c r="P636" s="2570"/>
      <c r="Q636" s="2570"/>
      <c r="R636" s="2570"/>
      <c r="S636" s="2570"/>
      <c r="T636" s="2570"/>
      <c r="U636" s="2570"/>
      <c r="V636" s="2570"/>
      <c r="W636" s="2570"/>
      <c r="X636" s="2570"/>
      <c r="Y636" s="2570"/>
      <c r="Z636" s="2570"/>
      <c r="AA636" s="2570"/>
      <c r="AB636" s="2570"/>
      <c r="AC636" s="2570"/>
      <c r="AD636" s="2570"/>
      <c r="AE636" s="2570"/>
      <c r="AF636" s="2570"/>
      <c r="AG636" s="2570"/>
      <c r="AH636" s="2570"/>
      <c r="AI636" s="245"/>
      <c r="AJ636" s="46"/>
      <c r="AK636" s="153"/>
      <c r="AL636" s="153"/>
      <c r="AM636" s="153"/>
      <c r="AN636" s="124"/>
    </row>
    <row r="637" spans="1:46" ht="13.7" customHeight="1">
      <c r="A637" s="263"/>
      <c r="B637" s="2570"/>
      <c r="C637" s="2570"/>
      <c r="D637" s="2570"/>
      <c r="E637" s="2570"/>
      <c r="F637" s="2570"/>
      <c r="G637" s="2570"/>
      <c r="H637" s="2570"/>
      <c r="I637" s="2570"/>
      <c r="J637" s="2570"/>
      <c r="K637" s="2570"/>
      <c r="L637" s="2570"/>
      <c r="M637" s="2570"/>
      <c r="N637" s="2570"/>
      <c r="O637" s="2570"/>
      <c r="P637" s="2570"/>
      <c r="Q637" s="2570"/>
      <c r="R637" s="2570"/>
      <c r="S637" s="2570"/>
      <c r="T637" s="2570"/>
      <c r="U637" s="2570"/>
      <c r="V637" s="2570"/>
      <c r="W637" s="2570"/>
      <c r="X637" s="2570"/>
      <c r="Y637" s="2570"/>
      <c r="Z637" s="2570"/>
      <c r="AA637" s="2570"/>
      <c r="AB637" s="2570"/>
      <c r="AC637" s="2570"/>
      <c r="AD637" s="2570"/>
      <c r="AE637" s="2570"/>
      <c r="AF637" s="2570"/>
      <c r="AG637" s="2570"/>
      <c r="AH637" s="2570"/>
      <c r="AI637" s="245"/>
      <c r="AJ637" s="46"/>
      <c r="AK637" s="153"/>
      <c r="AL637" s="153"/>
      <c r="AM637" s="153"/>
      <c r="AN637" s="124"/>
    </row>
    <row r="638" spans="1:46" ht="13.7" customHeight="1">
      <c r="A638" s="263"/>
      <c r="B638" s="2570"/>
      <c r="C638" s="2570"/>
      <c r="D638" s="2570"/>
      <c r="E638" s="2570"/>
      <c r="F638" s="2570"/>
      <c r="G638" s="2570"/>
      <c r="H638" s="2570"/>
      <c r="I638" s="2570"/>
      <c r="J638" s="2570"/>
      <c r="K638" s="2570"/>
      <c r="L638" s="2570"/>
      <c r="M638" s="2570"/>
      <c r="N638" s="2570"/>
      <c r="O638" s="2570"/>
      <c r="P638" s="2570"/>
      <c r="Q638" s="2570"/>
      <c r="R638" s="2570"/>
      <c r="S638" s="2570"/>
      <c r="T638" s="2570"/>
      <c r="U638" s="2570"/>
      <c r="V638" s="2570"/>
      <c r="W638" s="2570"/>
      <c r="X638" s="2570"/>
      <c r="Y638" s="2570"/>
      <c r="Z638" s="2570"/>
      <c r="AA638" s="2570"/>
      <c r="AB638" s="2570"/>
      <c r="AC638" s="2570"/>
      <c r="AD638" s="2570"/>
      <c r="AE638" s="2570"/>
      <c r="AF638" s="2570"/>
      <c r="AG638" s="2570"/>
      <c r="AH638" s="2570"/>
      <c r="AI638" s="245"/>
      <c r="AJ638" s="46"/>
      <c r="AK638" s="153"/>
      <c r="AL638" s="153"/>
      <c r="AM638" s="153"/>
      <c r="AN638" s="124"/>
    </row>
    <row r="639" spans="1:46">
      <c r="A639" s="263"/>
      <c r="B639" s="2570"/>
      <c r="C639" s="2570"/>
      <c r="D639" s="2570"/>
      <c r="E639" s="2570"/>
      <c r="F639" s="2570"/>
      <c r="G639" s="2570"/>
      <c r="H639" s="2570"/>
      <c r="I639" s="2570"/>
      <c r="J639" s="2570"/>
      <c r="K639" s="2570"/>
      <c r="L639" s="2570"/>
      <c r="M639" s="2570"/>
      <c r="N639" s="2570"/>
      <c r="O639" s="2570"/>
      <c r="P639" s="2570"/>
      <c r="Q639" s="2570"/>
      <c r="R639" s="2570"/>
      <c r="S639" s="2570"/>
      <c r="T639" s="2570"/>
      <c r="U639" s="2570"/>
      <c r="V639" s="2570"/>
      <c r="W639" s="2570"/>
      <c r="X639" s="2570"/>
      <c r="Y639" s="2570"/>
      <c r="Z639" s="2570"/>
      <c r="AA639" s="2570"/>
      <c r="AB639" s="2570"/>
      <c r="AC639" s="2570"/>
      <c r="AD639" s="2570"/>
      <c r="AE639" s="2570"/>
      <c r="AF639" s="2570"/>
      <c r="AG639" s="2570"/>
      <c r="AH639" s="2570"/>
      <c r="AI639" s="245"/>
      <c r="AJ639" s="46"/>
      <c r="AK639" s="153"/>
      <c r="AL639" s="153"/>
      <c r="AM639" s="153"/>
      <c r="AN639" s="124"/>
    </row>
    <row r="640" spans="1:46">
      <c r="A640" s="263"/>
      <c r="B640" s="2570"/>
      <c r="C640" s="2570"/>
      <c r="D640" s="2570"/>
      <c r="E640" s="2570"/>
      <c r="F640" s="2570"/>
      <c r="G640" s="2570"/>
      <c r="H640" s="2570"/>
      <c r="I640" s="2570"/>
      <c r="J640" s="2570"/>
      <c r="K640" s="2570"/>
      <c r="L640" s="2570"/>
      <c r="M640" s="2570"/>
      <c r="N640" s="2570"/>
      <c r="O640" s="2570"/>
      <c r="P640" s="2570"/>
      <c r="Q640" s="2570"/>
      <c r="R640" s="2570"/>
      <c r="S640" s="2570"/>
      <c r="T640" s="2570"/>
      <c r="U640" s="2570"/>
      <c r="V640" s="2570"/>
      <c r="W640" s="2570"/>
      <c r="X640" s="2570"/>
      <c r="Y640" s="2570"/>
      <c r="Z640" s="2570"/>
      <c r="AA640" s="2570"/>
      <c r="AB640" s="2570"/>
      <c r="AC640" s="2570"/>
      <c r="AD640" s="2570"/>
      <c r="AE640" s="2570"/>
      <c r="AF640" s="2570"/>
      <c r="AG640" s="2570"/>
      <c r="AH640" s="2570"/>
      <c r="AI640" s="245"/>
      <c r="AJ640" s="46"/>
      <c r="AK640" s="153"/>
      <c r="AL640" s="153"/>
      <c r="AM640" s="153"/>
      <c r="AN640" s="124"/>
    </row>
    <row r="641" spans="1:60">
      <c r="A641" s="263"/>
      <c r="B641" s="2570"/>
      <c r="C641" s="2570"/>
      <c r="D641" s="2570"/>
      <c r="E641" s="2570"/>
      <c r="F641" s="2570"/>
      <c r="G641" s="2570"/>
      <c r="H641" s="2570"/>
      <c r="I641" s="2570"/>
      <c r="J641" s="2570"/>
      <c r="K641" s="2570"/>
      <c r="L641" s="2570"/>
      <c r="M641" s="2570"/>
      <c r="N641" s="2570"/>
      <c r="O641" s="2570"/>
      <c r="P641" s="2570"/>
      <c r="Q641" s="2570"/>
      <c r="R641" s="2570"/>
      <c r="S641" s="2570"/>
      <c r="T641" s="2570"/>
      <c r="U641" s="2570"/>
      <c r="V641" s="2570"/>
      <c r="W641" s="2570"/>
      <c r="X641" s="2570"/>
      <c r="Y641" s="2570"/>
      <c r="Z641" s="2570"/>
      <c r="AA641" s="2570"/>
      <c r="AB641" s="2570"/>
      <c r="AC641" s="2570"/>
      <c r="AD641" s="2570"/>
      <c r="AE641" s="2570"/>
      <c r="AF641" s="2570"/>
      <c r="AG641" s="2570"/>
      <c r="AH641" s="2570"/>
      <c r="AI641" s="266"/>
      <c r="AJ641" s="46"/>
      <c r="AK641" s="153"/>
      <c r="AL641" s="153"/>
      <c r="AM641" s="153"/>
      <c r="AN641" s="124"/>
    </row>
    <row r="642" spans="1:60" s="1032"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44"/>
      <c r="BD642" s="1034"/>
      <c r="BE642" s="1034"/>
      <c r="BF642" s="1034"/>
      <c r="BG642" s="1034"/>
      <c r="BH642" s="103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0" t="s">
        <v>198</v>
      </c>
      <c r="AK643" s="2365">
        <f>IF($C$626="yes",10,0)</f>
        <v>10</v>
      </c>
      <c r="AL643" s="2366"/>
      <c r="AM643" s="2367"/>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29"/>
      <c r="AR647" s="1"/>
      <c r="AS647" s="1"/>
      <c r="AT647" s="1"/>
      <c r="AU647" s="1"/>
      <c r="AV647" s="1030"/>
      <c r="AW647" s="1030"/>
      <c r="AX647" s="125"/>
      <c r="AY647" s="125"/>
      <c r="AZ647" s="125"/>
      <c r="BA647" s="125"/>
    </row>
    <row r="648" spans="1:60">
      <c r="C648" s="1688" t="s">
        <v>119</v>
      </c>
      <c r="D648" s="1688"/>
      <c r="E648" s="293" t="s">
        <v>641</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29"/>
      <c r="AR648" s="1"/>
      <c r="AS648" s="1"/>
      <c r="AT648" s="1"/>
      <c r="AU648" s="1"/>
      <c r="AV648" s="1030"/>
      <c r="AW648" s="1030"/>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0"/>
      <c r="AW649" s="1030"/>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0"/>
      <c r="AW650" s="1030"/>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0"/>
      <c r="AW651" s="103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8" t="s">
        <v>136</v>
      </c>
      <c r="D653" s="1688"/>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45"/>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3"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8" t="s">
        <v>136</v>
      </c>
      <c r="D657" s="1688"/>
      <c r="E657" s="293" t="s">
        <v>992</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8" t="s">
        <v>136</v>
      </c>
      <c r="D661" s="1688"/>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8" t="s">
        <v>136</v>
      </c>
      <c r="D663" s="1688"/>
      <c r="E663" s="293" t="s">
        <v>799</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8" t="s">
        <v>136</v>
      </c>
      <c r="D668" s="1688"/>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0" t="s">
        <v>1132</v>
      </c>
      <c r="AK671" s="2365">
        <f>$AO$654</f>
        <v>2</v>
      </c>
      <c r="AL671" s="2366"/>
      <c r="AM671" s="2367"/>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54" t="s">
        <v>789</v>
      </c>
      <c r="B674" s="2554"/>
      <c r="C674" s="2554"/>
      <c r="D674" s="2554"/>
      <c r="E674" s="2554"/>
      <c r="F674" s="2554"/>
      <c r="G674" s="2554"/>
      <c r="H674" s="2554"/>
      <c r="I674" s="2554"/>
      <c r="J674" s="2554"/>
      <c r="K674" s="2554"/>
      <c r="L674" s="2554"/>
      <c r="M674" s="2554"/>
      <c r="N674" s="2554"/>
      <c r="O674" s="2554"/>
      <c r="P674" s="2554"/>
      <c r="Q674" s="2554"/>
      <c r="R674" s="2554"/>
      <c r="S674" s="2554"/>
      <c r="T674" s="2554"/>
      <c r="U674" s="2554"/>
      <c r="V674" s="2554"/>
      <c r="W674" s="2554"/>
      <c r="X674" s="2554"/>
      <c r="Y674" s="2554"/>
      <c r="Z674" s="2554"/>
      <c r="AA674" s="2554"/>
      <c r="AB674" s="2554"/>
      <c r="AC674" s="2554"/>
      <c r="AD674" s="2554"/>
      <c r="AE674" s="2554"/>
      <c r="AF674" s="2554"/>
      <c r="AG674" s="2554"/>
      <c r="AH674" s="2554"/>
      <c r="AI674" s="2554"/>
      <c r="AJ674" s="2554"/>
      <c r="AK674" s="2554"/>
      <c r="AL674" s="2554"/>
      <c r="AM674" s="2554"/>
    </row>
    <row r="675" spans="1:43">
      <c r="A675" s="2555"/>
      <c r="B675" s="2555"/>
      <c r="C675" s="2555"/>
      <c r="D675" s="2555"/>
      <c r="E675" s="2555"/>
      <c r="F675" s="2555"/>
      <c r="G675" s="2555"/>
      <c r="H675" s="2555"/>
      <c r="I675" s="2555"/>
      <c r="J675" s="2555"/>
      <c r="K675" s="2555"/>
      <c r="L675" s="2555"/>
      <c r="M675" s="2555"/>
      <c r="N675" s="2555"/>
      <c r="O675" s="2555"/>
      <c r="P675" s="2555"/>
      <c r="Q675" s="2555"/>
      <c r="R675" s="2555"/>
      <c r="S675" s="2555"/>
      <c r="T675" s="2555"/>
      <c r="U675" s="2555"/>
      <c r="V675" s="2555"/>
      <c r="W675" s="2555"/>
      <c r="X675" s="2555"/>
      <c r="Y675" s="2555"/>
      <c r="Z675" s="2555"/>
      <c r="AA675" s="2555"/>
      <c r="AB675" s="2555"/>
      <c r="AC675" s="2555"/>
      <c r="AD675" s="2555"/>
      <c r="AE675" s="2555"/>
      <c r="AF675" s="2555"/>
      <c r="AG675" s="2555"/>
      <c r="AH675" s="2555"/>
      <c r="AI675" s="2555"/>
      <c r="AJ675" s="2555"/>
      <c r="AK675" s="2555"/>
      <c r="AL675" s="2555"/>
      <c r="AM675" s="2555"/>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42" t="s">
        <v>2224</v>
      </c>
      <c r="B677" s="2442"/>
      <c r="C677" s="2442"/>
      <c r="D677" s="2442"/>
      <c r="E677" s="2442"/>
      <c r="F677" s="2442"/>
      <c r="G677" s="2442"/>
      <c r="H677" s="2442"/>
      <c r="I677" s="2442"/>
      <c r="J677" s="2442"/>
      <c r="K677" s="2442"/>
      <c r="L677" s="2442"/>
      <c r="M677" s="2442"/>
      <c r="N677" s="2442"/>
      <c r="O677" s="2442"/>
      <c r="P677" s="2442"/>
      <c r="Q677" s="2442"/>
      <c r="R677" s="2442"/>
      <c r="S677" s="2442"/>
      <c r="T677" s="2442"/>
      <c r="U677" s="2442"/>
      <c r="V677" s="2442"/>
      <c r="W677" s="2442"/>
      <c r="X677" s="2442"/>
      <c r="Y677" s="2442"/>
      <c r="Z677" s="2442"/>
      <c r="AA677" s="2442"/>
      <c r="AB677" s="2442"/>
      <c r="AC677" s="2442"/>
      <c r="AD677" s="2442"/>
      <c r="AE677" s="2442"/>
      <c r="AF677" s="2442"/>
      <c r="AG677" s="2442"/>
      <c r="AH677" s="2442"/>
      <c r="AI677" s="2442"/>
      <c r="AJ677" s="2442"/>
      <c r="AK677" s="2442"/>
      <c r="AL677" s="2442"/>
      <c r="AM677" s="2442"/>
      <c r="AP677" s="755"/>
      <c r="AQ677" s="751"/>
    </row>
    <row r="678" spans="1:43">
      <c r="A678" s="2442" t="s">
        <v>2225</v>
      </c>
      <c r="B678" s="2442"/>
      <c r="C678" s="2442"/>
      <c r="D678" s="2442"/>
      <c r="E678" s="2442"/>
      <c r="F678" s="2442"/>
      <c r="G678" s="2442"/>
      <c r="H678" s="2442"/>
      <c r="I678" s="2442"/>
      <c r="J678" s="2442"/>
      <c r="K678" s="2442"/>
      <c r="L678" s="2442"/>
      <c r="M678" s="2442"/>
      <c r="N678" s="2442"/>
      <c r="O678" s="2442"/>
      <c r="P678" s="2442"/>
      <c r="Q678" s="2442"/>
      <c r="R678" s="2442"/>
      <c r="S678" s="2442"/>
      <c r="T678" s="2442"/>
      <c r="U678" s="2442"/>
      <c r="V678" s="2442"/>
      <c r="W678" s="2442"/>
      <c r="X678" s="2442"/>
      <c r="Y678" s="2442"/>
      <c r="Z678" s="2442"/>
      <c r="AA678" s="2442"/>
      <c r="AB678" s="2442"/>
      <c r="AC678" s="2442"/>
      <c r="AD678" s="2442"/>
      <c r="AE678" s="2442"/>
      <c r="AF678" s="2442"/>
      <c r="AG678" s="2442"/>
      <c r="AH678" s="2442"/>
      <c r="AI678" s="2442"/>
      <c r="AJ678" s="2442"/>
      <c r="AK678" s="2442"/>
      <c r="AL678" s="2442"/>
      <c r="AM678" s="2442"/>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56"/>
      <c r="T679" s="2427" t="s">
        <v>261</v>
      </c>
      <c r="U679" s="2092"/>
      <c r="V679" s="2092"/>
      <c r="W679" s="2092"/>
      <c r="X679" s="2092"/>
      <c r="Y679" s="2093"/>
      <c r="Z679" s="2427" t="s">
        <v>260</v>
      </c>
      <c r="AA679" s="2092"/>
      <c r="AB679" s="2092"/>
      <c r="AC679" s="2092"/>
      <c r="AD679" s="2092"/>
      <c r="AE679" s="2093"/>
      <c r="AF679" s="2427" t="s">
        <v>262</v>
      </c>
      <c r="AG679" s="2092"/>
      <c r="AH679" s="2092"/>
      <c r="AI679" s="2092"/>
      <c r="AJ679" s="2092"/>
      <c r="AK679" s="2093"/>
      <c r="AL679" s="1301"/>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8"/>
      <c r="U680" s="2094"/>
      <c r="V680" s="2094"/>
      <c r="W680" s="2094"/>
      <c r="X680" s="2094"/>
      <c r="Y680" s="2095"/>
      <c r="Z680" s="2428"/>
      <c r="AA680" s="2094"/>
      <c r="AB680" s="2094"/>
      <c r="AC680" s="2094"/>
      <c r="AD680" s="2094"/>
      <c r="AE680" s="2095"/>
      <c r="AF680" s="2428"/>
      <c r="AG680" s="2094"/>
      <c r="AH680" s="2094"/>
      <c r="AI680" s="2094"/>
      <c r="AJ680" s="2094"/>
      <c r="AK680" s="2095"/>
      <c r="AL680" s="1301"/>
      <c r="AM680" s="474"/>
      <c r="AO680" s="751">
        <f>IF(T687&gt;10,10,T687)</f>
        <v>10</v>
      </c>
      <c r="AP680" s="751"/>
      <c r="AQ680" s="751"/>
    </row>
    <row r="681" spans="1:43">
      <c r="A681" s="961" t="s">
        <v>719</v>
      </c>
      <c r="B681" s="2423" t="s">
        <v>298</v>
      </c>
      <c r="C681" s="2423"/>
      <c r="D681" s="2423"/>
      <c r="E681" s="2423"/>
      <c r="F681" s="2423"/>
      <c r="G681" s="2423"/>
      <c r="H681" s="2423"/>
      <c r="I681" s="2423"/>
      <c r="J681" s="2423"/>
      <c r="K681" s="2423"/>
      <c r="L681" s="2423"/>
      <c r="M681" s="2423"/>
      <c r="N681" s="2423"/>
      <c r="O681" s="2423"/>
      <c r="P681" s="2423"/>
      <c r="Q681" s="2423"/>
      <c r="R681" s="2423"/>
      <c r="S681" s="2424"/>
      <c r="T681" s="2450">
        <f>SUM(T682:Y683)</f>
        <v>10</v>
      </c>
      <c r="U681" s="2450"/>
      <c r="V681" s="2450"/>
      <c r="W681" s="2450"/>
      <c r="X681" s="2450"/>
      <c r="Y681" s="2450"/>
      <c r="Z681" s="1771">
        <v>10</v>
      </c>
      <c r="AA681" s="1771"/>
      <c r="AB681" s="1771"/>
      <c r="AC681" s="1771"/>
      <c r="AD681" s="1771"/>
      <c r="AE681" s="1771"/>
      <c r="AF681" s="1771">
        <f>IF(T681&gt;Z681,Z681,T681)</f>
        <v>10</v>
      </c>
      <c r="AG681" s="1771"/>
      <c r="AH681" s="1771"/>
      <c r="AI681" s="1771"/>
      <c r="AJ681" s="1771"/>
      <c r="AK681" s="1771"/>
      <c r="AL681" s="1301"/>
      <c r="AM681" s="474"/>
    </row>
    <row r="682" spans="1:43">
      <c r="A682" s="963"/>
      <c r="B682" s="964"/>
      <c r="C682" s="972"/>
      <c r="D682" s="962" t="s">
        <v>233</v>
      </c>
      <c r="E682" s="2425" t="s">
        <v>263</v>
      </c>
      <c r="F682" s="2425"/>
      <c r="G682" s="2425"/>
      <c r="H682" s="2425"/>
      <c r="I682" s="2425"/>
      <c r="J682" s="2425"/>
      <c r="K682" s="2425"/>
      <c r="L682" s="2425"/>
      <c r="M682" s="2425"/>
      <c r="N682" s="2425"/>
      <c r="O682" s="2425"/>
      <c r="P682" s="2425"/>
      <c r="Q682" s="2425"/>
      <c r="R682" s="2425"/>
      <c r="S682" s="2426"/>
      <c r="T682" s="2429">
        <f>AJ31</f>
        <v>7</v>
      </c>
      <c r="U682" s="2429"/>
      <c r="V682" s="2429"/>
      <c r="W682" s="2429"/>
      <c r="X682" s="2429"/>
      <c r="Y682" s="2429"/>
      <c r="Z682" s="2454">
        <v>7</v>
      </c>
      <c r="AA682" s="2454"/>
      <c r="AB682" s="2454"/>
      <c r="AC682" s="2454"/>
      <c r="AD682" s="2454"/>
      <c r="AE682" s="2454"/>
      <c r="AF682" s="2556"/>
      <c r="AG682" s="2556"/>
      <c r="AH682" s="2556"/>
      <c r="AI682" s="2556"/>
      <c r="AJ682" s="2556"/>
      <c r="AK682" s="2556"/>
      <c r="AL682" s="1301"/>
      <c r="AM682" s="474"/>
    </row>
    <row r="683" spans="1:43">
      <c r="A683" s="966"/>
      <c r="B683" s="964"/>
      <c r="C683" s="965"/>
      <c r="D683" s="962" t="s">
        <v>477</v>
      </c>
      <c r="E683" s="2425" t="s">
        <v>264</v>
      </c>
      <c r="F683" s="2425"/>
      <c r="G683" s="2425"/>
      <c r="H683" s="2425"/>
      <c r="I683" s="2425"/>
      <c r="J683" s="2425"/>
      <c r="K683" s="2425"/>
      <c r="L683" s="2425"/>
      <c r="M683" s="2425"/>
      <c r="N683" s="2425"/>
      <c r="O683" s="2425"/>
      <c r="P683" s="2425"/>
      <c r="Q683" s="2425"/>
      <c r="R683" s="2425"/>
      <c r="S683" s="2426"/>
      <c r="T683" s="2429">
        <f>AJ47</f>
        <v>3</v>
      </c>
      <c r="U683" s="2429"/>
      <c r="V683" s="2429"/>
      <c r="W683" s="2429"/>
      <c r="X683" s="2429"/>
      <c r="Y683" s="2429"/>
      <c r="Z683" s="2454">
        <v>3</v>
      </c>
      <c r="AA683" s="2454"/>
      <c r="AB683" s="2454"/>
      <c r="AC683" s="2454"/>
      <c r="AD683" s="2454"/>
      <c r="AE683" s="2454"/>
      <c r="AF683" s="2556"/>
      <c r="AG683" s="2556"/>
      <c r="AH683" s="2556"/>
      <c r="AI683" s="2556"/>
      <c r="AJ683" s="2556"/>
      <c r="AK683" s="2556"/>
      <c r="AL683" s="1301"/>
      <c r="AM683" s="474"/>
      <c r="AO683" s="46">
        <f>IF(T690&gt;50,50,T690)</f>
        <v>50</v>
      </c>
    </row>
    <row r="684" spans="1:43">
      <c r="A684" s="961" t="s">
        <v>8</v>
      </c>
      <c r="B684" s="2423" t="s">
        <v>299</v>
      </c>
      <c r="C684" s="2423"/>
      <c r="D684" s="2423"/>
      <c r="E684" s="2423"/>
      <c r="F684" s="2423"/>
      <c r="G684" s="2423"/>
      <c r="H684" s="2423"/>
      <c r="I684" s="2423"/>
      <c r="J684" s="2423"/>
      <c r="K684" s="2423"/>
      <c r="L684" s="2423"/>
      <c r="M684" s="2423"/>
      <c r="N684" s="2423"/>
      <c r="O684" s="2423"/>
      <c r="P684" s="2423"/>
      <c r="Q684" s="2423"/>
      <c r="R684" s="2423"/>
      <c r="S684" s="2424"/>
      <c r="T684" s="2450">
        <f>AK73</f>
        <v>10</v>
      </c>
      <c r="U684" s="2450"/>
      <c r="V684" s="2450"/>
      <c r="W684" s="2450"/>
      <c r="X684" s="2450"/>
      <c r="Y684" s="2450"/>
      <c r="Z684" s="1771">
        <v>10</v>
      </c>
      <c r="AA684" s="1771"/>
      <c r="AB684" s="1771"/>
      <c r="AC684" s="1771"/>
      <c r="AD684" s="1771"/>
      <c r="AE684" s="1771"/>
      <c r="AF684" s="1771">
        <f>IF(T684&gt;Z684,Z684,T684)</f>
        <v>10</v>
      </c>
      <c r="AG684" s="1771"/>
      <c r="AH684" s="1771"/>
      <c r="AI684" s="1771"/>
      <c r="AJ684" s="1771"/>
      <c r="AK684" s="1771"/>
      <c r="AL684" s="1301"/>
      <c r="AM684" s="474"/>
    </row>
    <row r="685" spans="1:43">
      <c r="A685" s="961" t="s">
        <v>131</v>
      </c>
      <c r="B685" s="2423" t="s">
        <v>300</v>
      </c>
      <c r="C685" s="2423"/>
      <c r="D685" s="2423"/>
      <c r="E685" s="2423"/>
      <c r="F685" s="2423"/>
      <c r="G685" s="2423"/>
      <c r="H685" s="2423"/>
      <c r="I685" s="2423"/>
      <c r="J685" s="2423"/>
      <c r="K685" s="2423"/>
      <c r="L685" s="2423"/>
      <c r="M685" s="2423"/>
      <c r="N685" s="2423"/>
      <c r="O685" s="2423"/>
      <c r="P685" s="2423"/>
      <c r="Q685" s="2423"/>
      <c r="R685" s="2423"/>
      <c r="S685" s="2424"/>
      <c r="T685" s="2450">
        <f>AO678</f>
        <v>25</v>
      </c>
      <c r="U685" s="2450">
        <f>IF(AND(AND(A686&gt;15,15+A687),A687&gt;10,A686+10),A685,0)</f>
        <v>0</v>
      </c>
      <c r="V685" s="2450">
        <f>IF(AND(AND(B686&gt;15,15+B687),B687&gt;10,B686+10),#REF!,0)</f>
        <v>0</v>
      </c>
      <c r="W685" s="2450">
        <f>IF(AND(AND(C686&gt;15,15+C687),C687&gt;10,C686+10),B685,0)</f>
        <v>0</v>
      </c>
      <c r="X685" s="2450" t="e">
        <f>IF(AND(AND(D686&gt;15,15+D687),D687&gt;10,D686+10),D685,0)</f>
        <v>#VALUE!</v>
      </c>
      <c r="Y685" s="2450" t="e">
        <f>IF(AND(AND(E686&gt;15,15+E687),E687&gt;10,E686+10),E685,0)</f>
        <v>#VALUE!</v>
      </c>
      <c r="Z685" s="1771">
        <v>25</v>
      </c>
      <c r="AA685" s="1771"/>
      <c r="AB685" s="1771"/>
      <c r="AC685" s="1771"/>
      <c r="AD685" s="1771"/>
      <c r="AE685" s="1771"/>
      <c r="AF685" s="1771">
        <f>IF(T685&gt;Z685,Z685,T685)</f>
        <v>25</v>
      </c>
      <c r="AG685" s="1771"/>
      <c r="AH685" s="1771"/>
      <c r="AI685" s="1771"/>
      <c r="AJ685" s="1771"/>
      <c r="AK685" s="1771"/>
      <c r="AL685" s="1301"/>
      <c r="AM685" s="474"/>
    </row>
    <row r="686" spans="1:43">
      <c r="A686" s="961"/>
      <c r="B686" s="964"/>
      <c r="C686" s="965"/>
      <c r="D686" s="962" t="s">
        <v>1641</v>
      </c>
      <c r="E686" s="2425" t="s">
        <v>324</v>
      </c>
      <c r="F686" s="2425"/>
      <c r="G686" s="2425"/>
      <c r="H686" s="2425"/>
      <c r="I686" s="2425"/>
      <c r="J686" s="2425"/>
      <c r="K686" s="2425"/>
      <c r="L686" s="2425"/>
      <c r="M686" s="2425"/>
      <c r="N686" s="2425"/>
      <c r="O686" s="2425"/>
      <c r="P686" s="2425"/>
      <c r="Q686" s="2425"/>
      <c r="R686" s="2425"/>
      <c r="S686" s="2426"/>
      <c r="T686" s="2429">
        <f>AK285</f>
        <v>26</v>
      </c>
      <c r="U686" s="2429"/>
      <c r="V686" s="2429"/>
      <c r="W686" s="2429"/>
      <c r="X686" s="2429"/>
      <c r="Y686" s="2429"/>
      <c r="Z686" s="2454">
        <v>15</v>
      </c>
      <c r="AA686" s="2454"/>
      <c r="AB686" s="2454"/>
      <c r="AC686" s="2454"/>
      <c r="AD686" s="2454"/>
      <c r="AE686" s="2454"/>
      <c r="AF686" s="2556"/>
      <c r="AG686" s="2556"/>
      <c r="AH686" s="2556"/>
      <c r="AI686" s="2556"/>
      <c r="AJ686" s="2556"/>
      <c r="AK686" s="2556"/>
      <c r="AL686" s="1301"/>
      <c r="AM686" s="474"/>
    </row>
    <row r="687" spans="1:43">
      <c r="A687" s="967"/>
      <c r="B687" s="968"/>
      <c r="C687" s="969"/>
      <c r="D687" s="970" t="s">
        <v>1642</v>
      </c>
      <c r="E687" s="2425" t="s">
        <v>325</v>
      </c>
      <c r="F687" s="2425"/>
      <c r="G687" s="2425"/>
      <c r="H687" s="2425"/>
      <c r="I687" s="2425"/>
      <c r="J687" s="2425"/>
      <c r="K687" s="2425"/>
      <c r="L687" s="2425"/>
      <c r="M687" s="2425"/>
      <c r="N687" s="2425"/>
      <c r="O687" s="2425"/>
      <c r="P687" s="2425"/>
      <c r="Q687" s="2425"/>
      <c r="R687" s="2425"/>
      <c r="S687" s="2426"/>
      <c r="T687" s="2429">
        <f>AK476</f>
        <v>10</v>
      </c>
      <c r="U687" s="2429"/>
      <c r="V687" s="2429"/>
      <c r="W687" s="2429"/>
      <c r="X687" s="2429"/>
      <c r="Y687" s="2429"/>
      <c r="Z687" s="2454">
        <v>10</v>
      </c>
      <c r="AA687" s="2454"/>
      <c r="AB687" s="2454"/>
      <c r="AC687" s="2454"/>
      <c r="AD687" s="2454"/>
      <c r="AE687" s="2454"/>
      <c r="AF687" s="2556"/>
      <c r="AG687" s="2556"/>
      <c r="AH687" s="2556"/>
      <c r="AI687" s="2556"/>
      <c r="AJ687" s="2556"/>
      <c r="AK687" s="2556"/>
      <c r="AL687" s="1301"/>
      <c r="AM687" s="474"/>
    </row>
    <row r="688" spans="1:43" hidden="1">
      <c r="A688" s="961" t="s">
        <v>134</v>
      </c>
      <c r="B688" s="2423" t="s">
        <v>599</v>
      </c>
      <c r="C688" s="2423"/>
      <c r="D688" s="2423"/>
      <c r="E688" s="2423"/>
      <c r="F688" s="2423"/>
      <c r="G688" s="2423"/>
      <c r="H688" s="2423"/>
      <c r="I688" s="2423"/>
      <c r="J688" s="2423"/>
      <c r="K688" s="2423"/>
      <c r="L688" s="2423"/>
      <c r="M688" s="2423"/>
      <c r="N688" s="2423"/>
      <c r="O688" s="2423"/>
      <c r="P688" s="2423"/>
      <c r="Q688" s="2423"/>
      <c r="R688" s="2423"/>
      <c r="S688" s="2424"/>
      <c r="T688" s="2450"/>
      <c r="U688" s="2450"/>
      <c r="V688" s="2450"/>
      <c r="W688" s="2450"/>
      <c r="X688" s="2450"/>
      <c r="Y688" s="2450"/>
      <c r="Z688" s="1771"/>
      <c r="AA688" s="1771"/>
      <c r="AB688" s="1771"/>
      <c r="AC688" s="1771"/>
      <c r="AD688" s="1771"/>
      <c r="AE688" s="1771"/>
      <c r="AF688" s="1771"/>
      <c r="AG688" s="1771"/>
      <c r="AH688" s="1771"/>
      <c r="AI688" s="1771"/>
      <c r="AJ688" s="1771"/>
      <c r="AK688" s="1771"/>
      <c r="AL688" s="1301"/>
      <c r="AM688" s="474"/>
    </row>
    <row r="689" spans="1:39">
      <c r="A689" s="1379" t="s">
        <v>134</v>
      </c>
      <c r="B689" s="2423" t="s">
        <v>600</v>
      </c>
      <c r="C689" s="2423"/>
      <c r="D689" s="2423"/>
      <c r="E689" s="2423"/>
      <c r="F689" s="2423"/>
      <c r="G689" s="2423"/>
      <c r="H689" s="2423"/>
      <c r="I689" s="2423"/>
      <c r="J689" s="2423"/>
      <c r="K689" s="2423"/>
      <c r="L689" s="2423"/>
      <c r="M689" s="2423"/>
      <c r="N689" s="2423"/>
      <c r="O689" s="2423"/>
      <c r="P689" s="2423"/>
      <c r="Q689" s="2423"/>
      <c r="R689" s="2423"/>
      <c r="S689" s="2424"/>
      <c r="T689" s="2546">
        <f>IF(SUM(T690:Y691)&gt;52,52,SUM(T690:Y691))</f>
        <v>52</v>
      </c>
      <c r="U689" s="2547"/>
      <c r="V689" s="2547"/>
      <c r="W689" s="2547"/>
      <c r="X689" s="2547"/>
      <c r="Y689" s="2547"/>
      <c r="Z689" s="2547">
        <v>52</v>
      </c>
      <c r="AA689" s="2547"/>
      <c r="AB689" s="2547"/>
      <c r="AC689" s="2547"/>
      <c r="AD689" s="2547"/>
      <c r="AE689" s="2547"/>
      <c r="AF689" s="2547">
        <f>$AO$683+$T$691</f>
        <v>52</v>
      </c>
      <c r="AG689" s="2547"/>
      <c r="AH689" s="2547"/>
      <c r="AI689" s="2547"/>
      <c r="AJ689" s="2547"/>
      <c r="AK689" s="2547"/>
      <c r="AL689" s="1301"/>
      <c r="AM689" s="474"/>
    </row>
    <row r="690" spans="1:39">
      <c r="A690" s="971"/>
      <c r="B690" s="973"/>
      <c r="C690" s="974"/>
      <c r="D690" s="975" t="s">
        <v>1643</v>
      </c>
      <c r="E690" s="2425" t="s">
        <v>200</v>
      </c>
      <c r="F690" s="2425"/>
      <c r="G690" s="2425"/>
      <c r="H690" s="2425"/>
      <c r="I690" s="2425"/>
      <c r="J690" s="2425"/>
      <c r="K690" s="2425"/>
      <c r="L690" s="2425"/>
      <c r="M690" s="2425"/>
      <c r="N690" s="2425"/>
      <c r="O690" s="2425"/>
      <c r="P690" s="2425"/>
      <c r="Q690" s="2425"/>
      <c r="R690" s="2425"/>
      <c r="S690" s="2426"/>
      <c r="T690" s="2451">
        <f>AC592</f>
        <v>120</v>
      </c>
      <c r="U690" s="2452"/>
      <c r="V690" s="2452"/>
      <c r="W690" s="2452"/>
      <c r="X690" s="2452"/>
      <c r="Y690" s="2453"/>
      <c r="Z690" s="2451">
        <v>50</v>
      </c>
      <c r="AA690" s="2452"/>
      <c r="AB690" s="2452"/>
      <c r="AC690" s="2452"/>
      <c r="AD690" s="2452"/>
      <c r="AE690" s="2453"/>
      <c r="AF690" s="2551"/>
      <c r="AG690" s="2552"/>
      <c r="AH690" s="2552"/>
      <c r="AI690" s="2552"/>
      <c r="AJ690" s="2552"/>
      <c r="AK690" s="2553"/>
      <c r="AL690" s="1301"/>
      <c r="AM690" s="46"/>
    </row>
    <row r="691" spans="1:39">
      <c r="A691" s="976"/>
      <c r="B691" s="964"/>
      <c r="C691" s="965"/>
      <c r="D691" s="962" t="s">
        <v>1644</v>
      </c>
      <c r="E691" s="2425" t="s">
        <v>297</v>
      </c>
      <c r="F691" s="2425"/>
      <c r="G691" s="2425"/>
      <c r="H691" s="2425"/>
      <c r="I691" s="2425"/>
      <c r="J691" s="2425"/>
      <c r="K691" s="2425"/>
      <c r="L691" s="2425"/>
      <c r="M691" s="2425"/>
      <c r="N691" s="2425"/>
      <c r="O691" s="2425"/>
      <c r="P691" s="2425"/>
      <c r="Q691" s="2425"/>
      <c r="R691" s="2425"/>
      <c r="S691" s="2426"/>
      <c r="T691" s="2388">
        <f>IF(AJ616&gt;0,2,0)</f>
        <v>2</v>
      </c>
      <c r="U691" s="2389"/>
      <c r="V691" s="2389"/>
      <c r="W691" s="2389"/>
      <c r="X691" s="2389"/>
      <c r="Y691" s="2390"/>
      <c r="Z691" s="2365">
        <v>2</v>
      </c>
      <c r="AA691" s="2366"/>
      <c r="AB691" s="2366"/>
      <c r="AC691" s="2366"/>
      <c r="AD691" s="2366"/>
      <c r="AE691" s="2367"/>
      <c r="AF691" s="2567"/>
      <c r="AG691" s="2568"/>
      <c r="AH691" s="2568"/>
      <c r="AI691" s="2568"/>
      <c r="AJ691" s="2568"/>
      <c r="AK691" s="2569"/>
      <c r="AL691" s="1301"/>
      <c r="AM691" s="46"/>
    </row>
    <row r="692" spans="1:39">
      <c r="A692" s="971" t="s">
        <v>135</v>
      </c>
      <c r="B692" s="2423" t="s">
        <v>601</v>
      </c>
      <c r="C692" s="2423"/>
      <c r="D692" s="2423"/>
      <c r="E692" s="2423"/>
      <c r="F692" s="2423"/>
      <c r="G692" s="2423"/>
      <c r="H692" s="2423"/>
      <c r="I692" s="2423"/>
      <c r="J692" s="2423"/>
      <c r="K692" s="2423"/>
      <c r="L692" s="2423"/>
      <c r="M692" s="2423"/>
      <c r="N692" s="2423"/>
      <c r="O692" s="2423"/>
      <c r="P692" s="2423"/>
      <c r="Q692" s="2423"/>
      <c r="R692" s="2423"/>
      <c r="S692" s="2424"/>
      <c r="T692" s="2450">
        <f>AK643</f>
        <v>10</v>
      </c>
      <c r="U692" s="2450"/>
      <c r="V692" s="2450"/>
      <c r="W692" s="2450"/>
      <c r="X692" s="2450"/>
      <c r="Y692" s="2450"/>
      <c r="Z692" s="1771">
        <v>10</v>
      </c>
      <c r="AA692" s="1771"/>
      <c r="AB692" s="1771"/>
      <c r="AC692" s="1771"/>
      <c r="AD692" s="1771"/>
      <c r="AE692" s="1771"/>
      <c r="AF692" s="2101">
        <f>IF(T692&gt;Z692,Z692,T692)</f>
        <v>10</v>
      </c>
      <c r="AG692" s="2012"/>
      <c r="AH692" s="2012"/>
      <c r="AI692" s="2012"/>
      <c r="AJ692" s="2012"/>
      <c r="AK692" s="2013"/>
      <c r="AL692" s="1301"/>
      <c r="AM692" s="205"/>
    </row>
    <row r="693" spans="1:39">
      <c r="A693" s="971" t="s">
        <v>137</v>
      </c>
      <c r="B693" s="2423" t="s">
        <v>1089</v>
      </c>
      <c r="C693" s="2423"/>
      <c r="D693" s="2423"/>
      <c r="E693" s="2423"/>
      <c r="F693" s="2423"/>
      <c r="G693" s="2423"/>
      <c r="H693" s="2423"/>
      <c r="I693" s="2423"/>
      <c r="J693" s="2423"/>
      <c r="K693" s="2423"/>
      <c r="L693" s="2423"/>
      <c r="M693" s="2423"/>
      <c r="N693" s="2423"/>
      <c r="O693" s="2423"/>
      <c r="P693" s="2423"/>
      <c r="Q693" s="2423"/>
      <c r="R693" s="2423"/>
      <c r="S693" s="2424"/>
      <c r="T693" s="2548">
        <f>IF(AK671&gt;2,2,AK671)</f>
        <v>2</v>
      </c>
      <c r="U693" s="2549"/>
      <c r="V693" s="2549"/>
      <c r="W693" s="2549"/>
      <c r="X693" s="2549"/>
      <c r="Y693" s="2550"/>
      <c r="Z693" s="2101">
        <v>2</v>
      </c>
      <c r="AA693" s="2012"/>
      <c r="AB693" s="2012"/>
      <c r="AC693" s="2012"/>
      <c r="AD693" s="2012"/>
      <c r="AE693" s="2013"/>
      <c r="AF693" s="2101">
        <f>IF(T693&gt;Z693,Z693,T693)</f>
        <v>2</v>
      </c>
      <c r="AG693" s="2565"/>
      <c r="AH693" s="2565"/>
      <c r="AI693" s="2565"/>
      <c r="AJ693" s="2565"/>
      <c r="AK693" s="2566"/>
      <c r="AL693" s="358"/>
      <c r="AM693" s="205"/>
    </row>
    <row r="694" spans="1:39">
      <c r="A694" s="2422" t="s">
        <v>327</v>
      </c>
      <c r="B694" s="2423"/>
      <c r="C694" s="2423"/>
      <c r="D694" s="2423"/>
      <c r="E694" s="2423"/>
      <c r="F694" s="2423"/>
      <c r="G694" s="2423"/>
      <c r="H694" s="2423"/>
      <c r="I694" s="2423"/>
      <c r="J694" s="2423"/>
      <c r="K694" s="2423"/>
      <c r="L694" s="2423"/>
      <c r="M694" s="2423"/>
      <c r="N694" s="2423"/>
      <c r="O694" s="2423"/>
      <c r="P694" s="2423"/>
      <c r="Q694" s="2423"/>
      <c r="R694" s="2423"/>
      <c r="S694" s="2424"/>
      <c r="T694" s="2571"/>
      <c r="U694" s="2571"/>
      <c r="V694" s="2571"/>
      <c r="W694" s="2571"/>
      <c r="X694" s="2571"/>
      <c r="Y694" s="2571"/>
      <c r="Z694" s="2454" t="s">
        <v>326</v>
      </c>
      <c r="AA694" s="2454"/>
      <c r="AB694" s="2454"/>
      <c r="AC694" s="2454"/>
      <c r="AD694" s="2454"/>
      <c r="AE694" s="2454"/>
      <c r="AF694" s="2101">
        <f>IF(T694&gt;0,T694,0)</f>
        <v>0</v>
      </c>
      <c r="AG694" s="2012"/>
      <c r="AH694" s="2012"/>
      <c r="AI694" s="2012"/>
      <c r="AJ694" s="2012"/>
      <c r="AK694" s="2013"/>
      <c r="AL694" s="1292"/>
      <c r="AM694" s="205"/>
    </row>
    <row r="695" spans="1:39" ht="15.75">
      <c r="A695" s="2436" t="s">
        <v>788</v>
      </c>
      <c r="B695" s="2437"/>
      <c r="C695" s="2437"/>
      <c r="D695" s="2437"/>
      <c r="E695" s="2437"/>
      <c r="F695" s="2437"/>
      <c r="G695" s="2437"/>
      <c r="H695" s="2437"/>
      <c r="I695" s="2437"/>
      <c r="J695" s="2437"/>
      <c r="K695" s="2437"/>
      <c r="L695" s="2437"/>
      <c r="M695" s="2437"/>
      <c r="N695" s="2437"/>
      <c r="O695" s="2437"/>
      <c r="P695" s="2437"/>
      <c r="Q695" s="2437"/>
      <c r="R695" s="2437"/>
      <c r="S695" s="2437"/>
      <c r="T695" s="2437"/>
      <c r="U695" s="2437"/>
      <c r="V695" s="2437"/>
      <c r="W695" s="2437"/>
      <c r="X695" s="2437"/>
      <c r="Y695" s="2437"/>
      <c r="Z695" s="2437"/>
      <c r="AA695" s="2437"/>
      <c r="AB695" s="2437"/>
      <c r="AC695" s="2437"/>
      <c r="AD695" s="2437"/>
      <c r="AE695" s="2438"/>
      <c r="AF695" s="2557">
        <f>SUM(AF681:AK693)-AF694</f>
        <v>109</v>
      </c>
      <c r="AG695" s="2558"/>
      <c r="AH695" s="2558"/>
      <c r="AI695" s="2558"/>
      <c r="AJ695" s="2558"/>
      <c r="AK695" s="2559"/>
      <c r="AL695" s="1302"/>
      <c r="AM695" s="46"/>
    </row>
    <row r="696" spans="1:39" ht="15.75">
      <c r="A696" s="2439"/>
      <c r="B696" s="2440"/>
      <c r="C696" s="2440"/>
      <c r="D696" s="2440"/>
      <c r="E696" s="2440"/>
      <c r="F696" s="2440"/>
      <c r="G696" s="2440"/>
      <c r="H696" s="2440"/>
      <c r="I696" s="2440"/>
      <c r="J696" s="2440"/>
      <c r="K696" s="2440"/>
      <c r="L696" s="2440"/>
      <c r="M696" s="2440"/>
      <c r="N696" s="2440"/>
      <c r="O696" s="2440"/>
      <c r="P696" s="2440"/>
      <c r="Q696" s="2440"/>
      <c r="R696" s="2440"/>
      <c r="S696" s="2440"/>
      <c r="T696" s="2440"/>
      <c r="U696" s="2440"/>
      <c r="V696" s="2440"/>
      <c r="W696" s="2440"/>
      <c r="X696" s="2440"/>
      <c r="Y696" s="2440"/>
      <c r="Z696" s="2440"/>
      <c r="AA696" s="2440"/>
      <c r="AB696" s="2440"/>
      <c r="AC696" s="2440"/>
      <c r="AD696" s="2440"/>
      <c r="AE696" s="2441"/>
      <c r="AF696" s="2560"/>
      <c r="AG696" s="2561"/>
      <c r="AH696" s="2561"/>
      <c r="AI696" s="2561"/>
      <c r="AJ696" s="2561"/>
      <c r="AK696" s="2562"/>
      <c r="AL696" s="1302"/>
      <c r="AM696" s="46"/>
    </row>
    <row r="697" spans="1:39">
      <c r="A697" s="1623" t="s">
        <v>7</v>
      </c>
      <c r="B697" s="1623"/>
      <c r="C697" s="1623"/>
      <c r="D697" s="1623"/>
      <c r="E697" s="1623"/>
      <c r="F697" s="1623"/>
      <c r="G697" s="1623"/>
      <c r="H697" s="1623"/>
      <c r="I697" s="1623"/>
      <c r="J697" s="1623"/>
      <c r="K697" s="1623"/>
      <c r="L697" s="1623"/>
      <c r="M697" s="1623"/>
      <c r="N697" s="1623"/>
      <c r="O697" s="1623"/>
      <c r="P697" s="1623"/>
      <c r="Q697" s="1623"/>
      <c r="R697" s="1623"/>
      <c r="S697" s="1623"/>
      <c r="T697" s="1623"/>
      <c r="U697" s="1623"/>
      <c r="V697" s="1623"/>
      <c r="W697" s="1623"/>
      <c r="X697" s="1623"/>
      <c r="Y697" s="1623"/>
      <c r="Z697" s="1623"/>
      <c r="AA697" s="1623"/>
      <c r="AB697" s="1623"/>
      <c r="AC697" s="1623"/>
      <c r="AD697" s="1623"/>
      <c r="AE697" s="1623"/>
      <c r="AF697" s="1623"/>
      <c r="AG697" s="1623"/>
      <c r="AH697" s="1623"/>
      <c r="AI697" s="1623"/>
      <c r="AJ697" s="1623"/>
      <c r="AK697" s="1623"/>
      <c r="AL697" s="1623"/>
      <c r="AM697" s="2616"/>
    </row>
    <row r="698" spans="1:39" ht="12.4" customHeight="1">
      <c r="A698" s="1623"/>
      <c r="B698" s="1623"/>
      <c r="C698" s="1623"/>
      <c r="D698" s="1623"/>
      <c r="E698" s="1623"/>
      <c r="F698" s="1623"/>
      <c r="G698" s="1623"/>
      <c r="H698" s="1623"/>
      <c r="I698" s="1623"/>
      <c r="J698" s="1623"/>
      <c r="K698" s="1623"/>
      <c r="L698" s="1623"/>
      <c r="M698" s="1623"/>
      <c r="N698" s="1623"/>
      <c r="O698" s="1623"/>
      <c r="P698" s="1623"/>
      <c r="Q698" s="1623"/>
      <c r="R698" s="1623"/>
      <c r="S698" s="1623"/>
      <c r="T698" s="1623"/>
      <c r="U698" s="1623"/>
      <c r="V698" s="1623"/>
      <c r="W698" s="1623"/>
      <c r="X698" s="1623"/>
      <c r="Y698" s="1623"/>
      <c r="Z698" s="1623"/>
      <c r="AA698" s="1623"/>
      <c r="AB698" s="1623"/>
      <c r="AC698" s="1623"/>
      <c r="AD698" s="1623"/>
      <c r="AE698" s="1623"/>
      <c r="AF698" s="1623"/>
      <c r="AG698" s="1623"/>
      <c r="AH698" s="1623"/>
      <c r="AI698" s="1623"/>
      <c r="AJ698" s="1623"/>
      <c r="AK698" s="1623"/>
      <c r="AL698" s="1623"/>
      <c r="AM698" s="2616"/>
    </row>
    <row r="699" spans="1:39" ht="56.25" customHeight="1">
      <c r="A699" s="1623"/>
      <c r="B699" s="1623"/>
      <c r="C699" s="1623"/>
      <c r="D699" s="1623"/>
      <c r="E699" s="1623"/>
      <c r="F699" s="1623"/>
      <c r="G699" s="1623"/>
      <c r="H699" s="1623"/>
      <c r="I699" s="1623"/>
      <c r="J699" s="1623"/>
      <c r="K699" s="1623"/>
      <c r="L699" s="1623"/>
      <c r="M699" s="1623"/>
      <c r="N699" s="1623"/>
      <c r="O699" s="1623"/>
      <c r="P699" s="1623"/>
      <c r="Q699" s="1623"/>
      <c r="R699" s="1623"/>
      <c r="S699" s="1623"/>
      <c r="T699" s="1623"/>
      <c r="U699" s="1623"/>
      <c r="V699" s="1623"/>
      <c r="W699" s="1623"/>
      <c r="X699" s="1623"/>
      <c r="Y699" s="1623"/>
      <c r="Z699" s="1623"/>
      <c r="AA699" s="1623"/>
      <c r="AB699" s="1623"/>
      <c r="AC699" s="1623"/>
      <c r="AD699" s="1623"/>
      <c r="AE699" s="1623"/>
      <c r="AF699" s="1623"/>
      <c r="AG699" s="1623"/>
      <c r="AH699" s="1623"/>
      <c r="AI699" s="1623"/>
      <c r="AJ699" s="1623"/>
      <c r="AK699" s="1623"/>
      <c r="AL699" s="1623"/>
      <c r="AM699" s="2616"/>
    </row>
    <row r="700" spans="1:39" ht="12.4" hidden="1" customHeight="1">
      <c r="A700" s="1623"/>
      <c r="B700" s="1623"/>
      <c r="C700" s="1623"/>
      <c r="D700" s="1623"/>
      <c r="E700" s="1623"/>
      <c r="F700" s="1623"/>
      <c r="G700" s="1623"/>
      <c r="H700" s="1623"/>
      <c r="I700" s="1623"/>
      <c r="J700" s="1623"/>
      <c r="K700" s="1623"/>
      <c r="L700" s="1623"/>
      <c r="M700" s="1623"/>
      <c r="N700" s="1623"/>
      <c r="O700" s="1623"/>
      <c r="P700" s="1623"/>
      <c r="Q700" s="1623"/>
      <c r="R700" s="1623"/>
      <c r="S700" s="1623"/>
      <c r="T700" s="1623"/>
      <c r="U700" s="1623"/>
      <c r="V700" s="1623"/>
      <c r="W700" s="1623"/>
      <c r="X700" s="1623"/>
      <c r="Y700" s="1623"/>
      <c r="Z700" s="1623"/>
      <c r="AA700" s="1623"/>
      <c r="AB700" s="1623"/>
      <c r="AC700" s="1623"/>
      <c r="AD700" s="1623"/>
      <c r="AE700" s="1623"/>
      <c r="AF700" s="1623"/>
      <c r="AG700" s="1623"/>
      <c r="AH700" s="1623"/>
      <c r="AI700" s="1623"/>
      <c r="AJ700" s="1623"/>
      <c r="AK700" s="1623"/>
      <c r="AL700" s="1623"/>
      <c r="AM700" s="2616"/>
    </row>
    <row r="701" spans="1:39" ht="12.4" hidden="1" customHeight="1">
      <c r="A701" s="1623"/>
      <c r="B701" s="1623"/>
      <c r="C701" s="1623"/>
      <c r="D701" s="1623"/>
      <c r="E701" s="1623"/>
      <c r="F701" s="1623"/>
      <c r="G701" s="1623"/>
      <c r="H701" s="1623"/>
      <c r="I701" s="1623"/>
      <c r="J701" s="1623"/>
      <c r="K701" s="1623"/>
      <c r="L701" s="1623"/>
      <c r="M701" s="1623"/>
      <c r="N701" s="1623"/>
      <c r="O701" s="1623"/>
      <c r="P701" s="1623"/>
      <c r="Q701" s="1623"/>
      <c r="R701" s="1623"/>
      <c r="S701" s="1623"/>
      <c r="T701" s="1623"/>
      <c r="U701" s="1623"/>
      <c r="V701" s="1623"/>
      <c r="W701" s="1623"/>
      <c r="X701" s="1623"/>
      <c r="Y701" s="1623"/>
      <c r="Z701" s="1623"/>
      <c r="AA701" s="1623"/>
      <c r="AB701" s="1623"/>
      <c r="AC701" s="1623"/>
      <c r="AD701" s="1623"/>
      <c r="AE701" s="1623"/>
      <c r="AF701" s="1623"/>
      <c r="AG701" s="1623"/>
      <c r="AH701" s="1623"/>
      <c r="AI701" s="1623"/>
      <c r="AJ701" s="1623"/>
      <c r="AK701" s="1623"/>
      <c r="AL701" s="1623"/>
      <c r="AM701" s="2616"/>
    </row>
    <row r="702" spans="1:39" ht="12.4" hidden="1" customHeight="1">
      <c r="A702" s="1623"/>
      <c r="B702" s="1623"/>
      <c r="C702" s="1623"/>
      <c r="D702" s="1623"/>
      <c r="E702" s="1623"/>
      <c r="F702" s="1623"/>
      <c r="G702" s="1623"/>
      <c r="H702" s="1623"/>
      <c r="I702" s="1623"/>
      <c r="J702" s="1623"/>
      <c r="K702" s="1623"/>
      <c r="L702" s="1623"/>
      <c r="M702" s="1623"/>
      <c r="N702" s="1623"/>
      <c r="O702" s="1623"/>
      <c r="P702" s="1623"/>
      <c r="Q702" s="1623"/>
      <c r="R702" s="1623"/>
      <c r="S702" s="1623"/>
      <c r="T702" s="1623"/>
      <c r="U702" s="1623"/>
      <c r="V702" s="1623"/>
      <c r="W702" s="1623"/>
      <c r="X702" s="1623"/>
      <c r="Y702" s="1623"/>
      <c r="Z702" s="1623"/>
      <c r="AA702" s="1623"/>
      <c r="AB702" s="1623"/>
      <c r="AC702" s="1623"/>
      <c r="AD702" s="1623"/>
      <c r="AE702" s="1623"/>
      <c r="AF702" s="1623"/>
      <c r="AG702" s="1623"/>
      <c r="AH702" s="1623"/>
      <c r="AI702" s="1623"/>
      <c r="AJ702" s="1623"/>
      <c r="AK702" s="1623"/>
      <c r="AL702" s="1623"/>
      <c r="AM702" s="2616"/>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85" zoomScaleNormal="85" zoomScaleSheetLayoutView="80" workbookViewId="0">
      <selection activeCell="G26" sqref="G26"/>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25" t="s">
        <v>129</v>
      </c>
      <c r="B1" s="2625"/>
      <c r="C1" s="2625"/>
      <c r="D1" s="2625"/>
      <c r="E1" s="2625"/>
      <c r="F1" s="2625"/>
      <c r="G1" s="2625"/>
      <c r="H1" s="2625"/>
      <c r="I1" s="2625"/>
      <c r="J1" s="2625"/>
      <c r="K1" s="2625"/>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25"/>
      <c r="B2" s="2625"/>
      <c r="C2" s="2625"/>
      <c r="D2" s="2625"/>
      <c r="E2" s="2625"/>
      <c r="F2" s="2625"/>
      <c r="G2" s="2625"/>
      <c r="H2" s="2625"/>
      <c r="I2" s="2625"/>
      <c r="J2" s="2625"/>
      <c r="K2" s="262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7" t="s">
        <v>654</v>
      </c>
      <c r="D4" s="2637"/>
      <c r="E4" s="2637"/>
      <c r="F4" s="2637"/>
      <c r="G4" s="2637"/>
      <c r="H4" s="2637"/>
      <c r="I4" s="2637"/>
      <c r="J4" s="2637"/>
    </row>
    <row r="5" spans="1:33">
      <c r="C5" s="2637"/>
      <c r="D5" s="2637"/>
      <c r="E5" s="2637"/>
      <c r="F5" s="2637"/>
      <c r="G5" s="2637"/>
      <c r="H5" s="2637"/>
      <c r="I5" s="2637"/>
      <c r="J5" s="2637"/>
    </row>
    <row r="6" spans="1:33">
      <c r="C6" s="462"/>
      <c r="D6" s="462"/>
      <c r="E6" s="462"/>
      <c r="F6" s="462"/>
      <c r="G6" s="462"/>
      <c r="H6" s="462"/>
      <c r="I6" s="462"/>
      <c r="J6" s="462"/>
    </row>
    <row r="7" spans="1:33">
      <c r="C7" s="463" t="s">
        <v>814</v>
      </c>
      <c r="D7" s="462"/>
      <c r="E7" s="2632" t="str">
        <f>Application!H15</f>
        <v>MAAC, Inc</v>
      </c>
      <c r="F7" s="2632"/>
      <c r="G7" s="2632"/>
      <c r="H7" s="462"/>
      <c r="I7" s="463" t="s">
        <v>1947</v>
      </c>
      <c r="J7" s="1089">
        <f>Application!AG433+Application!AG431</f>
        <v>100</v>
      </c>
    </row>
    <row r="8" spans="1:33">
      <c r="C8" s="463" t="s">
        <v>815</v>
      </c>
      <c r="D8" s="462"/>
      <c r="E8" s="2632" t="str">
        <f>Application!H17</f>
        <v>Ventana al Sur</v>
      </c>
      <c r="F8" s="2632"/>
      <c r="G8" s="2632"/>
      <c r="H8" s="462"/>
      <c r="I8" s="463" t="s">
        <v>1948</v>
      </c>
      <c r="J8" s="1092">
        <f>Application!$CQ$650</f>
        <v>120</v>
      </c>
    </row>
    <row r="9" spans="1:33" ht="14.25" customHeight="1">
      <c r="C9" s="463" t="s">
        <v>816</v>
      </c>
      <c r="D9" s="462"/>
      <c r="E9" s="2638" t="str">
        <f>Application!D214</f>
        <v>Seniors</v>
      </c>
      <c r="F9" s="2638"/>
      <c r="G9" s="2638"/>
      <c r="H9" s="462"/>
      <c r="I9" s="463" t="s">
        <v>1949</v>
      </c>
      <c r="J9" s="732">
        <v>30</v>
      </c>
      <c r="N9" s="1088"/>
    </row>
    <row r="10" spans="1:33" ht="26.85" customHeight="1">
      <c r="C10" s="2637" t="s">
        <v>1946</v>
      </c>
      <c r="D10" s="2637"/>
      <c r="E10" s="2639" t="str">
        <f>Application!$E$217</f>
        <v>N/A</v>
      </c>
      <c r="F10" s="2639"/>
      <c r="G10" s="2639"/>
      <c r="H10" s="1086"/>
      <c r="I10" s="1091" t="s">
        <v>1950</v>
      </c>
      <c r="J10" s="1090">
        <f>IF(J9&gt;0,J8-J9,J8)</f>
        <v>90</v>
      </c>
      <c r="N10" s="1088"/>
    </row>
    <row r="11" spans="1:33">
      <c r="C11" s="451"/>
      <c r="N11" s="1088"/>
    </row>
    <row r="12" spans="1:33" ht="15" customHeight="1">
      <c r="C12" s="2626" t="s">
        <v>960</v>
      </c>
      <c r="D12" s="2627"/>
      <c r="E12" s="2628"/>
      <c r="F12" s="2633" t="s">
        <v>1219</v>
      </c>
      <c r="G12" s="2633" t="s">
        <v>961</v>
      </c>
      <c r="H12" s="2635" t="s">
        <v>2067</v>
      </c>
      <c r="I12" s="2633" t="s">
        <v>1220</v>
      </c>
      <c r="J12" s="2633" t="s">
        <v>2066</v>
      </c>
      <c r="N12" s="1088"/>
    </row>
    <row r="13" spans="1:33" ht="68.25" customHeight="1">
      <c r="C13" s="2629"/>
      <c r="D13" s="2630"/>
      <c r="E13" s="2631"/>
      <c r="F13" s="2634"/>
      <c r="G13" s="2634"/>
      <c r="H13" s="2636"/>
      <c r="I13" s="2634"/>
      <c r="J13" s="2634"/>
    </row>
    <row r="14" spans="1:33" ht="15" customHeight="1">
      <c r="C14" s="1103" t="s">
        <v>2208</v>
      </c>
      <c r="D14" s="1104"/>
      <c r="E14" s="1104"/>
      <c r="F14" s="1101"/>
      <c r="G14" s="1101"/>
      <c r="H14" s="1102"/>
      <c r="I14" s="1102"/>
      <c r="J14" s="1102"/>
    </row>
    <row r="15" spans="1:33">
      <c r="C15" s="452" t="s">
        <v>962</v>
      </c>
      <c r="D15" s="449" t="s">
        <v>972</v>
      </c>
      <c r="F15" s="459"/>
      <c r="G15" s="460"/>
      <c r="H15" s="642"/>
      <c r="I15" s="642"/>
      <c r="J15" s="642"/>
    </row>
    <row r="16" spans="1:33">
      <c r="C16" s="452" t="s">
        <v>963</v>
      </c>
      <c r="D16" s="449" t="s">
        <v>973</v>
      </c>
      <c r="F16" s="1532" t="s">
        <v>2518</v>
      </c>
      <c r="G16" s="1533">
        <v>5380</v>
      </c>
      <c r="H16" s="1534" t="s">
        <v>2519</v>
      </c>
      <c r="I16" s="1534" t="s">
        <v>2520</v>
      </c>
      <c r="J16" s="1534" t="s">
        <v>2396</v>
      </c>
    </row>
    <row r="17" spans="3:10">
      <c r="C17" s="452" t="s">
        <v>964</v>
      </c>
      <c r="D17" s="449" t="s">
        <v>1118</v>
      </c>
      <c r="F17" s="1532" t="s">
        <v>2521</v>
      </c>
      <c r="G17" s="1533">
        <f>20175*(528/(192+528))</f>
        <v>14794.999999999998</v>
      </c>
      <c r="H17" s="1534" t="s">
        <v>2519</v>
      </c>
      <c r="I17" s="1534" t="s">
        <v>2520</v>
      </c>
      <c r="J17" s="1534" t="s">
        <v>2396</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15"/>
      <c r="F20" s="1114"/>
      <c r="G20" s="639"/>
      <c r="H20" s="642"/>
      <c r="I20" s="642"/>
      <c r="J20" s="642"/>
    </row>
    <row r="21" spans="3:10">
      <c r="C21" s="1093"/>
      <c r="D21" s="1094"/>
      <c r="E21" s="1095"/>
      <c r="F21" s="1114"/>
      <c r="G21" s="639"/>
      <c r="H21" s="642"/>
      <c r="I21" s="642"/>
      <c r="J21" s="642"/>
    </row>
    <row r="22" spans="3:10">
      <c r="C22" s="1105" t="s">
        <v>1890</v>
      </c>
      <c r="D22" s="1106"/>
      <c r="E22" s="1106"/>
      <c r="F22" s="1107"/>
      <c r="G22" s="1108"/>
      <c r="H22" s="1109"/>
      <c r="I22" s="1109"/>
      <c r="J22" s="1109"/>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1964</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16"/>
      <c r="D29" s="451"/>
      <c r="E29" s="451"/>
      <c r="F29" s="459"/>
      <c r="G29" s="639"/>
      <c r="H29" s="642"/>
      <c r="I29" s="642"/>
      <c r="J29" s="642"/>
    </row>
    <row r="30" spans="3:10" ht="15">
      <c r="C30" s="1110" t="s">
        <v>971</v>
      </c>
      <c r="D30" s="1106"/>
      <c r="E30" s="1106"/>
      <c r="F30" s="1111"/>
      <c r="G30" s="1112"/>
      <c r="H30" s="1113"/>
      <c r="I30" s="1113"/>
      <c r="J30" s="1113"/>
    </row>
    <row r="31" spans="3:10">
      <c r="C31" s="452"/>
      <c r="D31" s="1535" t="s">
        <v>2522</v>
      </c>
      <c r="E31" s="1535"/>
      <c r="F31" s="1532" t="s">
        <v>2523</v>
      </c>
      <c r="G31" s="1533">
        <v>109850</v>
      </c>
      <c r="H31" s="1534" t="s">
        <v>2519</v>
      </c>
      <c r="I31" s="1534" t="s">
        <v>2520</v>
      </c>
      <c r="J31" s="1534" t="s">
        <v>2524</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130025</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taryn</cp:lastModifiedBy>
  <cp:lastPrinted>2021-06-22T18:16:09Z</cp:lastPrinted>
  <dcterms:created xsi:type="dcterms:W3CDTF">2007-12-27T18:26:28Z</dcterms:created>
  <dcterms:modified xsi:type="dcterms:W3CDTF">2021-07-01T19:00:03Z</dcterms:modified>
</cp:coreProperties>
</file>